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0" windowWidth="10992" windowHeight="7956" activeTab="1"/>
  </bookViews>
  <sheets>
    <sheet name="Entitlement vs Recovery " sheetId="1" r:id="rId1"/>
    <sheet name="Appendix 16" sheetId="2" r:id="rId2"/>
    <sheet name="App 1 - Continuity Schedule" sheetId="3" r:id="rId3"/>
    <sheet name="App 32 - Mar02 to Feb04 Revenue" sheetId="4" r:id="rId4"/>
    <sheet name="App 33 - Mar04 to Feb05 Revenue" sheetId="5" r:id="rId5"/>
    <sheet name="App 34 - Mar05 to Apr06 Revenue" sheetId="6" r:id="rId6"/>
    <sheet name="Rate Derivation" sheetId="7" state="hidden" r:id="rId7"/>
    <sheet name="PILS Entitlement Summary" sheetId="8" state="hidden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2">'App 1 - Continuity Schedule'!$A$1:$L$208</definedName>
    <definedName name="_xlnm.Print_Titles" localSheetId="2">'App 1 - Continuity Schedule'!$1:$2</definedName>
    <definedName name="_xlnm.Print_Titles" localSheetId="1">'Appendix 16'!$31:$31</definedName>
  </definedNames>
  <calcPr fullCalcOnLoad="1"/>
</workbook>
</file>

<file path=xl/comments3.xml><?xml version="1.0" encoding="utf-8"?>
<comments xmlns="http://schemas.openxmlformats.org/spreadsheetml/2006/main">
  <authors>
    <author>IMBSI</author>
    <author>Ian</author>
  </authors>
  <commentList>
    <comment ref="B7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Q4 2001</t>
        </r>
      </text>
    </comment>
    <comment ref="B16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2002</t>
        </r>
      </text>
    </comment>
    <comment ref="B34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Q4 2001 + 2002 PILS as per 2002 RAM due to rate freeze</t>
        </r>
      </text>
    </comment>
    <comment ref="B55" authorId="1">
      <text>
        <r>
          <rPr>
            <b/>
            <sz val="9"/>
            <rFont val="Tahoma"/>
            <family val="2"/>
          </rPr>
          <t>Ian:</t>
        </r>
        <r>
          <rPr>
            <sz val="9"/>
            <rFont val="Tahoma"/>
            <family val="2"/>
          </rPr>
          <t xml:space="preserve">
2004 PILS as per 2004 RAM </t>
        </r>
      </text>
    </comment>
    <comment ref="B73" authorId="1">
      <text>
        <r>
          <rPr>
            <b/>
            <sz val="9"/>
            <rFont val="Tahoma"/>
            <family val="2"/>
          </rPr>
          <t>Ian:</t>
        </r>
        <r>
          <rPr>
            <sz val="9"/>
            <rFont val="Tahoma"/>
            <family val="2"/>
          </rPr>
          <t xml:space="preserve">
2005 PILS as approved in 2005 RAM, in effect for 13 months until April 30, 2006</t>
        </r>
      </text>
    </comment>
  </commentList>
</comments>
</file>

<file path=xl/sharedStrings.xml><?xml version="1.0" encoding="utf-8"?>
<sst xmlns="http://schemas.openxmlformats.org/spreadsheetml/2006/main" count="604" uniqueCount="148">
  <si>
    <t>Year:</t>
  </si>
  <si>
    <t>Q4 2001</t>
  </si>
  <si>
    <t>Approved PILS Entitlement</t>
  </si>
  <si>
    <t>PILS Revenue</t>
  </si>
  <si>
    <t>Monthly</t>
  </si>
  <si>
    <t>Total Variance</t>
  </si>
  <si>
    <t>Approved Interest Rate</t>
  </si>
  <si>
    <t>January</t>
  </si>
  <si>
    <t>February</t>
  </si>
  <si>
    <t>March</t>
  </si>
  <si>
    <t>October</t>
  </si>
  <si>
    <t>November</t>
  </si>
  <si>
    <t>December</t>
  </si>
  <si>
    <t>Total</t>
  </si>
  <si>
    <t>Variance (neg. = payable)</t>
  </si>
  <si>
    <t>Interest Improvement (neg = payable)</t>
  </si>
  <si>
    <t>April</t>
  </si>
  <si>
    <t>May</t>
  </si>
  <si>
    <t>June</t>
  </si>
  <si>
    <t>July</t>
  </si>
  <si>
    <t>August</t>
  </si>
  <si>
    <t>September</t>
  </si>
  <si>
    <t>PILS Entitlement Amount</t>
  </si>
  <si>
    <t>Comments</t>
  </si>
  <si>
    <t>Monthly Amount</t>
  </si>
  <si>
    <t>Oct. 1, 2001</t>
  </si>
  <si>
    <t>Dec. 31, 2001</t>
  </si>
  <si>
    <t>Effective   Start Date</t>
  </si>
  <si>
    <t>Effective     End Date</t>
  </si>
  <si>
    <t>Jan. 1, 2002</t>
  </si>
  <si>
    <t>Dec. 31, 2002</t>
  </si>
  <si>
    <t>Jan. 1, 2003</t>
  </si>
  <si>
    <t>Dec. 31, 2003</t>
  </si>
  <si>
    <t>Jan. 1, 2004</t>
  </si>
  <si>
    <t>Mar. 1, 2005</t>
  </si>
  <si>
    <t>Mar. 1, 2004</t>
  </si>
  <si>
    <t>Feb. 28, 2005</t>
  </si>
  <si>
    <t>Apr. 30, 2006</t>
  </si>
  <si>
    <t>2005 Rate Year</t>
  </si>
  <si>
    <t>Effective Date</t>
  </si>
  <si>
    <t>Rate Class</t>
  </si>
  <si>
    <t>Approved Rates</t>
  </si>
  <si>
    <t>Fixed</t>
  </si>
  <si>
    <t>Variable</t>
  </si>
  <si>
    <t>PILS Portion</t>
  </si>
  <si>
    <t>Residential</t>
  </si>
  <si>
    <t>General Service &lt; 50 kW</t>
  </si>
  <si>
    <t>General Service &gt; 50 kW</t>
  </si>
  <si>
    <t>Sentinel Lights</t>
  </si>
  <si>
    <t>Street Lights</t>
  </si>
  <si>
    <t>Unmetered Loads</t>
  </si>
  <si>
    <t>Aug</t>
  </si>
  <si>
    <t>Sept</t>
  </si>
  <si>
    <t xml:space="preserve">Oct </t>
  </si>
  <si>
    <t>Nov</t>
  </si>
  <si>
    <t>Dec</t>
  </si>
  <si>
    <t>Jan</t>
  </si>
  <si>
    <t xml:space="preserve">Feb </t>
  </si>
  <si>
    <t xml:space="preserve">Mar </t>
  </si>
  <si>
    <t>Apr</t>
  </si>
  <si>
    <t>Calculated PILS Revenue</t>
  </si>
  <si>
    <t>2004 Rate Year</t>
  </si>
  <si>
    <t>Customer Counts</t>
  </si>
  <si>
    <t>2002 Rate Year</t>
  </si>
  <si>
    <t>Mar. 1, 2002</t>
  </si>
  <si>
    <t>Q4 2001 PILS Portion</t>
  </si>
  <si>
    <t>2002 PILS Portion</t>
  </si>
  <si>
    <t>Conclusion Date</t>
  </si>
  <si>
    <t>Billing Determinants</t>
  </si>
  <si>
    <t>Cumulative</t>
  </si>
  <si>
    <t>SIMPILS True-Up Adjustments    (neg = CR)</t>
  </si>
  <si>
    <t>Year</t>
  </si>
  <si>
    <t>Q4 2001 Entitlement / 3 months</t>
  </si>
  <si>
    <t>2002 Entitlement / 12 months</t>
  </si>
  <si>
    <t>(Q4 2001 + 2002 Entitlements) / 12 months</t>
  </si>
  <si>
    <t>2004 Entitlement / 12 months</t>
  </si>
  <si>
    <t>2005 Entitlement / 12 months</t>
  </si>
  <si>
    <t>References</t>
  </si>
  <si>
    <t>Rate Model</t>
  </si>
  <si>
    <t>PILS Model</t>
  </si>
  <si>
    <t>Decision</t>
  </si>
  <si>
    <t>Appendix 2</t>
  </si>
  <si>
    <t>Appendix 3</t>
  </si>
  <si>
    <t>Appendix 5</t>
  </si>
  <si>
    <t>Appendix 4</t>
  </si>
  <si>
    <t>Appendices 3&amp;4</t>
  </si>
  <si>
    <t>Appendix 6</t>
  </si>
  <si>
    <t>Appendix 7</t>
  </si>
  <si>
    <t>Appendix 8</t>
  </si>
  <si>
    <t>Appendix 9</t>
  </si>
  <si>
    <t>Appendix 10</t>
  </si>
  <si>
    <t>Appendix 11</t>
  </si>
  <si>
    <t>Feb. 29, 2004</t>
  </si>
  <si>
    <t>Customer Class Allocation</t>
  </si>
  <si>
    <t>Rate Rider Calculations</t>
  </si>
  <si>
    <t>Allocated 1562 Value</t>
  </si>
  <si>
    <t>Recovery Period (years)</t>
  </si>
  <si>
    <t>Annual Recovery Amount</t>
  </si>
  <si>
    <t>Proposed Rate Rider</t>
  </si>
  <si>
    <t>per kWh</t>
  </si>
  <si>
    <t>per kW</t>
  </si>
  <si>
    <t>Allocation %</t>
  </si>
  <si>
    <t>Allocated 1562 Disposition Value                         (including interest to Apr. 30, 2012)</t>
  </si>
  <si>
    <t>1562 Deferred PILS - Continuity Schedule</t>
  </si>
  <si>
    <t>2011    Approved DRR</t>
  </si>
  <si>
    <t>2011 Approved    Billing Determinant (kWh / kW)</t>
  </si>
  <si>
    <t>Mar</t>
  </si>
  <si>
    <t>Mar. 31, 2004</t>
  </si>
  <si>
    <t>Apr. 1, 2004</t>
  </si>
  <si>
    <t>Mar. 31, 2005</t>
  </si>
  <si>
    <t>Apr. 1, 2005</t>
  </si>
  <si>
    <t>Note: PSPC did not have any LCT included in approved PILS entitlement, therefore no adjustment to revenue required.</t>
  </si>
  <si>
    <t>Parry Sound Power Corporation</t>
  </si>
  <si>
    <t>Count</t>
  </si>
  <si>
    <t xml:space="preserve">Kwh </t>
  </si>
  <si>
    <t xml:space="preserve">GS&lt;50kw </t>
  </si>
  <si>
    <t xml:space="preserve">GS&gt;50kw </t>
  </si>
  <si>
    <t xml:space="preserve">kw </t>
  </si>
  <si>
    <t>1999 Load</t>
  </si>
  <si>
    <t xml:space="preserve">2002 RAM </t>
  </si>
  <si>
    <t>2002 Load</t>
  </si>
  <si>
    <t>2004 RAM</t>
  </si>
  <si>
    <t>2003 Load</t>
  </si>
  <si>
    <t>2005 RAM</t>
  </si>
  <si>
    <t>2006 EDR</t>
  </si>
  <si>
    <t>2004 Load</t>
  </si>
  <si>
    <t xml:space="preserve">PSPC Customer Statistics Analysis </t>
  </si>
  <si>
    <t>2004 Actual</t>
  </si>
  <si>
    <t>COS L/F</t>
  </si>
  <si>
    <t>2005 Actual</t>
  </si>
  <si>
    <t>2006 Actual</t>
  </si>
  <si>
    <t>average count</t>
  </si>
  <si>
    <t>for 10 mos</t>
  </si>
  <si>
    <t>consumption</t>
  </si>
  <si>
    <t xml:space="preserve">normalized </t>
  </si>
  <si>
    <t xml:space="preserve">for 12 mos </t>
  </si>
  <si>
    <t xml:space="preserve">kwh </t>
  </si>
  <si>
    <t>for 12 mos</t>
  </si>
  <si>
    <t xml:space="preserve">Jan-Feb </t>
  </si>
  <si>
    <t>Jan-Feb</t>
  </si>
  <si>
    <t>Entitlement</t>
  </si>
  <si>
    <t xml:space="preserve">Recoveries </t>
  </si>
  <si>
    <t xml:space="preserve">incorrect </t>
  </si>
  <si>
    <t>2004 to 2011</t>
  </si>
  <si>
    <t xml:space="preserve">Average per </t>
  </si>
  <si>
    <t xml:space="preserve">DATA from RAM Models and COS Load Forecast </t>
  </si>
  <si>
    <t>12 months of</t>
  </si>
  <si>
    <t xml:space="preserve">Customer Stats Used for Recoveries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</si>
</sst>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00_-;\-&quot;$&quot;* #,##0.0000_-;_-&quot;$&quot;* &quot;-&quot;??_-;_-@_-"/>
    <numFmt numFmtId="173" formatCode="_-* #,##0_-;\-* #,##0_-;_-* &quot;-&quot;??_-;_-@_-"/>
    <numFmt numFmtId="174" formatCode="#,##0;[Red]\(#,##0\)"/>
    <numFmt numFmtId="175" formatCode="_-&quot;$&quot;* #,##0_-;\-&quot;$&quot;* #,##0_-;_-&quot;$&quot;* &quot;-&quot;??_-;_-@_-"/>
    <numFmt numFmtId="176" formatCode="#,##0.00;[Red]\(#,##0.00\)"/>
    <numFmt numFmtId="177" formatCode="#,##0.0000;[Red]\(#,##0.0000\)"/>
    <numFmt numFmtId="178" formatCode="_-&quot;$&quot;* #,##0.000000_-;\-&quot;$&quot;* #,##0.000000_-;_-&quot;$&quot;* &quot;-&quot;??_-;_-@_-"/>
    <numFmt numFmtId="179" formatCode="_-* #,##0.0_-;\-* #,##0.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u val="singleAccounting"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Arial"/>
      <family val="2"/>
    </font>
    <font>
      <b/>
      <sz val="2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10" fontId="0" fillId="33" borderId="0" xfId="59" applyNumberFormat="1" applyFont="1" applyFill="1" applyAlignment="1">
      <alignment/>
    </xf>
    <xf numFmtId="0" fontId="53" fillId="0" borderId="0" xfId="0" applyFont="1" applyAlignment="1">
      <alignment/>
    </xf>
    <xf numFmtId="44" fontId="0" fillId="33" borderId="0" xfId="45" applyFont="1" applyFill="1" applyAlignment="1">
      <alignment/>
    </xf>
    <xf numFmtId="44" fontId="0" fillId="33" borderId="10" xfId="45" applyFont="1" applyFill="1" applyBorder="1" applyAlignment="1">
      <alignment/>
    </xf>
    <xf numFmtId="44" fontId="0" fillId="0" borderId="0" xfId="45" applyFont="1" applyAlignment="1">
      <alignment/>
    </xf>
    <xf numFmtId="44" fontId="53" fillId="0" borderId="0" xfId="45" applyFont="1" applyAlignment="1">
      <alignment/>
    </xf>
    <xf numFmtId="44" fontId="51" fillId="0" borderId="0" xfId="45" applyFont="1" applyAlignment="1">
      <alignment horizontal="center"/>
    </xf>
    <xf numFmtId="44" fontId="51" fillId="0" borderId="0" xfId="45" applyFont="1" applyAlignment="1">
      <alignment horizontal="center" wrapText="1"/>
    </xf>
    <xf numFmtId="44" fontId="0" fillId="0" borderId="0" xfId="45" applyFont="1" applyFill="1" applyAlignment="1">
      <alignment/>
    </xf>
    <xf numFmtId="44" fontId="0" fillId="0" borderId="10" xfId="45" applyFont="1" applyFill="1" applyBorder="1" applyAlignment="1">
      <alignment/>
    </xf>
    <xf numFmtId="44" fontId="0" fillId="0" borderId="10" xfId="45" applyFont="1" applyBorder="1" applyAlignment="1">
      <alignment/>
    </xf>
    <xf numFmtId="10" fontId="0" fillId="0" borderId="0" xfId="59" applyNumberFormat="1" applyFont="1" applyAlignment="1">
      <alignment/>
    </xf>
    <xf numFmtId="10" fontId="51" fillId="0" borderId="0" xfId="59" applyNumberFormat="1" applyFont="1" applyAlignment="1">
      <alignment horizontal="center" wrapText="1"/>
    </xf>
    <xf numFmtId="10" fontId="0" fillId="0" borderId="10" xfId="59" applyNumberFormat="1" applyFont="1" applyBorder="1" applyAlignment="1">
      <alignment/>
    </xf>
    <xf numFmtId="10" fontId="0" fillId="0" borderId="0" xfId="59" applyNumberFormat="1" applyFont="1" applyFill="1" applyAlignment="1">
      <alignment/>
    </xf>
    <xf numFmtId="1" fontId="53" fillId="0" borderId="0" xfId="45" applyNumberFormat="1" applyFont="1" applyAlignment="1">
      <alignment horizontal="left"/>
    </xf>
    <xf numFmtId="44" fontId="0" fillId="0" borderId="0" xfId="45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center"/>
    </xf>
    <xf numFmtId="172" fontId="0" fillId="0" borderId="0" xfId="45" applyNumberFormat="1" applyFont="1" applyAlignment="1">
      <alignment/>
    </xf>
    <xf numFmtId="0" fontId="54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" fillId="0" borderId="0" xfId="56">
      <alignment/>
      <protection/>
    </xf>
    <xf numFmtId="174" fontId="4" fillId="0" borderId="0" xfId="56" applyNumberFormat="1">
      <alignment/>
      <protection/>
    </xf>
    <xf numFmtId="0" fontId="4" fillId="0" borderId="0" xfId="56" applyAlignment="1">
      <alignment horizontal="center"/>
      <protection/>
    </xf>
    <xf numFmtId="173" fontId="0" fillId="0" borderId="0" xfId="0" applyNumberFormat="1" applyFill="1" applyAlignment="1">
      <alignment/>
    </xf>
    <xf numFmtId="0" fontId="0" fillId="33" borderId="0" xfId="0" applyFill="1" applyAlignment="1">
      <alignment/>
    </xf>
    <xf numFmtId="173" fontId="24" fillId="0" borderId="0" xfId="0" applyNumberFormat="1" applyFont="1" applyFill="1" applyAlignment="1">
      <alignment/>
    </xf>
    <xf numFmtId="173" fontId="4" fillId="0" borderId="0" xfId="56" applyNumberFormat="1">
      <alignment/>
      <protection/>
    </xf>
    <xf numFmtId="0" fontId="55" fillId="0" borderId="0" xfId="0" applyFont="1" applyAlignment="1">
      <alignment/>
    </xf>
    <xf numFmtId="0" fontId="0" fillId="0" borderId="0" xfId="0" applyAlignment="1" quotePrefix="1">
      <alignment horizontal="left"/>
    </xf>
    <xf numFmtId="0" fontId="5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175" fontId="0" fillId="0" borderId="0" xfId="45" applyNumberFormat="1" applyFont="1" applyAlignment="1">
      <alignment/>
    </xf>
    <xf numFmtId="0" fontId="0" fillId="0" borderId="10" xfId="0" applyBorder="1" applyAlignment="1">
      <alignment/>
    </xf>
    <xf numFmtId="175" fontId="0" fillId="0" borderId="10" xfId="45" applyNumberFormat="1" applyFont="1" applyBorder="1" applyAlignment="1">
      <alignment/>
    </xf>
    <xf numFmtId="0" fontId="56" fillId="0" borderId="0" xfId="0" applyFont="1" applyAlignment="1">
      <alignment/>
    </xf>
    <xf numFmtId="175" fontId="51" fillId="0" borderId="0" xfId="45" applyNumberFormat="1" applyFont="1" applyAlignment="1">
      <alignment/>
    </xf>
    <xf numFmtId="10" fontId="51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51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8" fontId="0" fillId="0" borderId="0" xfId="45" applyNumberFormat="1" applyFont="1" applyAlignment="1">
      <alignment/>
    </xf>
    <xf numFmtId="178" fontId="0" fillId="0" borderId="0" xfId="45" applyNumberFormat="1" applyFont="1" applyAlignment="1">
      <alignment/>
    </xf>
    <xf numFmtId="173" fontId="4" fillId="0" borderId="0" xfId="56" applyNumberFormat="1" applyAlignment="1">
      <alignment horizontal="center"/>
      <protection/>
    </xf>
    <xf numFmtId="173" fontId="4" fillId="0" borderId="0" xfId="56" applyNumberFormat="1" applyFill="1" applyAlignment="1">
      <alignment horizontal="center"/>
      <protection/>
    </xf>
    <xf numFmtId="44" fontId="0" fillId="0" borderId="0" xfId="45" applyFont="1" applyAlignment="1">
      <alignment/>
    </xf>
    <xf numFmtId="37" fontId="4" fillId="0" borderId="0" xfId="56" applyNumberFormat="1">
      <alignment/>
      <protection/>
    </xf>
    <xf numFmtId="37" fontId="0" fillId="0" borderId="0" xfId="0" applyNumberFormat="1" applyAlignment="1">
      <alignment/>
    </xf>
    <xf numFmtId="0" fontId="40" fillId="34" borderId="0" xfId="0" applyFont="1" applyFill="1" applyAlignment="1">
      <alignment horizontal="center" wrapText="1"/>
    </xf>
    <xf numFmtId="0" fontId="40" fillId="34" borderId="0" xfId="0" applyFont="1" applyFill="1" applyAlignment="1">
      <alignment horizontal="center"/>
    </xf>
    <xf numFmtId="0" fontId="57" fillId="0" borderId="0" xfId="0" applyFont="1" applyAlignment="1">
      <alignment/>
    </xf>
    <xf numFmtId="173" fontId="58" fillId="0" borderId="0" xfId="42" applyNumberFormat="1" applyFont="1" applyAlignment="1">
      <alignment/>
    </xf>
    <xf numFmtId="173" fontId="57" fillId="0" borderId="0" xfId="42" applyNumberFormat="1" applyFont="1" applyAlignment="1">
      <alignment/>
    </xf>
    <xf numFmtId="173" fontId="59" fillId="0" borderId="0" xfId="42" applyNumberFormat="1" applyFont="1" applyAlignment="1">
      <alignment horizontal="center"/>
    </xf>
    <xf numFmtId="173" fontId="60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173" fontId="5" fillId="35" borderId="0" xfId="42" applyNumberFormat="1" applyFont="1" applyFill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173" fontId="63" fillId="0" borderId="0" xfId="42" applyNumberFormat="1" applyFont="1" applyAlignment="1">
      <alignment/>
    </xf>
    <xf numFmtId="173" fontId="63" fillId="0" borderId="10" xfId="42" applyNumberFormat="1" applyFont="1" applyBorder="1" applyAlignment="1">
      <alignment/>
    </xf>
    <xf numFmtId="173" fontId="63" fillId="0" borderId="0" xfId="0" applyNumberFormat="1" applyFont="1" applyAlignment="1">
      <alignment/>
    </xf>
    <xf numFmtId="173" fontId="57" fillId="36" borderId="0" xfId="42" applyNumberFormat="1" applyFont="1" applyFill="1" applyAlignment="1">
      <alignment/>
    </xf>
    <xf numFmtId="173" fontId="57" fillId="37" borderId="0" xfId="42" applyNumberFormat="1" applyFont="1" applyFill="1" applyAlignment="1">
      <alignment/>
    </xf>
    <xf numFmtId="173" fontId="5" fillId="37" borderId="0" xfId="42" applyNumberFormat="1" applyFont="1" applyFill="1" applyAlignment="1">
      <alignment/>
    </xf>
    <xf numFmtId="173" fontId="57" fillId="0" borderId="0" xfId="42" applyNumberFormat="1" applyFont="1" applyAlignment="1">
      <alignment horizontal="center"/>
    </xf>
    <xf numFmtId="44" fontId="51" fillId="0" borderId="0" xfId="45" applyFont="1" applyAlignment="1">
      <alignment horizontal="center" wrapText="1"/>
    </xf>
    <xf numFmtId="0" fontId="64" fillId="0" borderId="0" xfId="0" applyFont="1" applyAlignment="1">
      <alignment horizontal="center"/>
    </xf>
    <xf numFmtId="44" fontId="51" fillId="0" borderId="0" xfId="45" applyFont="1" applyAlignment="1">
      <alignment horizontal="center"/>
    </xf>
    <xf numFmtId="0" fontId="53" fillId="38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65" fillId="39" borderId="0" xfId="0" applyFont="1" applyFill="1" applyAlignment="1">
      <alignment horizontal="center"/>
    </xf>
    <xf numFmtId="0" fontId="36" fillId="40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40" fillId="34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2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5">
        <row r="54">
          <cell r="B54">
            <v>0.0002567910896456893</v>
          </cell>
        </row>
        <row r="58">
          <cell r="C58">
            <v>0.3981363086479219</v>
          </cell>
        </row>
        <row r="78">
          <cell r="B78">
            <v>0.0002006372112475747</v>
          </cell>
        </row>
        <row r="82">
          <cell r="C82">
            <v>0.6066801095415214</v>
          </cell>
        </row>
        <row r="102">
          <cell r="B102">
            <v>0.07156628176177782</v>
          </cell>
        </row>
        <row r="106">
          <cell r="C106">
            <v>4.066099154466812</v>
          </cell>
        </row>
        <row r="201">
          <cell r="B201">
            <v>0.12901040395081928</v>
          </cell>
        </row>
        <row r="205">
          <cell r="C205">
            <v>0.040805277371045334</v>
          </cell>
        </row>
        <row r="226">
          <cell r="B226">
            <v>0.08387441862257275</v>
          </cell>
        </row>
        <row r="230">
          <cell r="C230">
            <v>0.009768549482620757</v>
          </cell>
        </row>
      </sheetData>
      <sheetData sheetId="7">
        <row r="54">
          <cell r="B54">
            <v>0.0011890009400678029</v>
          </cell>
        </row>
        <row r="58">
          <cell r="C58">
            <v>1.8434613362584427</v>
          </cell>
        </row>
        <row r="78">
          <cell r="B78">
            <v>0.0009289957572714138</v>
          </cell>
        </row>
        <row r="82">
          <cell r="C82">
            <v>2.809066395413442</v>
          </cell>
        </row>
        <row r="102">
          <cell r="B102">
            <v>0.3313681031897109</v>
          </cell>
        </row>
        <row r="106">
          <cell r="C106">
            <v>18.8269605605885</v>
          </cell>
        </row>
        <row r="201">
          <cell r="B201">
            <v>0.5973474071382217</v>
          </cell>
        </row>
        <row r="205">
          <cell r="C205">
            <v>0.18893768168063382</v>
          </cell>
        </row>
        <row r="226">
          <cell r="B226">
            <v>0.38835756617364986</v>
          </cell>
        </row>
        <row r="230">
          <cell r="C230">
            <v>0.045230597891697165</v>
          </cell>
        </row>
      </sheetData>
      <sheetData sheetId="15">
        <row r="19">
          <cell r="F19">
            <v>15.988883309645427</v>
          </cell>
        </row>
        <row r="20">
          <cell r="F20">
            <v>0.01028268530402781</v>
          </cell>
        </row>
        <row r="37">
          <cell r="F37">
            <v>24.369620351215325</v>
          </cell>
        </row>
        <row r="38">
          <cell r="F38">
            <v>0.008052112947449275</v>
          </cell>
        </row>
        <row r="57">
          <cell r="F57">
            <v>163.45810362985117</v>
          </cell>
        </row>
        <row r="58">
          <cell r="F58">
            <v>2.8726121729370715</v>
          </cell>
        </row>
        <row r="113">
          <cell r="F113">
            <v>1.6303831369578434</v>
          </cell>
        </row>
        <row r="114">
          <cell r="F114">
            <v>5.179593341047184</v>
          </cell>
        </row>
        <row r="128">
          <cell r="F128">
            <v>0.39244550319983224</v>
          </cell>
        </row>
        <row r="129">
          <cell r="F129">
            <v>3.3674586967886166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5">
        <row r="78">
          <cell r="B78">
            <v>0.0011670729159412214</v>
          </cell>
        </row>
        <row r="82">
          <cell r="C82">
            <v>0.22800000000000006</v>
          </cell>
        </row>
      </sheetData>
      <sheetData sheetId="7">
        <row r="78">
          <cell r="B78">
            <v>0.005403927850128838</v>
          </cell>
        </row>
        <row r="82">
          <cell r="C82">
            <v>1.0557142857142858</v>
          </cell>
        </row>
      </sheetData>
      <sheetData sheetId="15">
        <row r="37">
          <cell r="F37">
            <v>8.595475785714285</v>
          </cell>
        </row>
        <row r="38">
          <cell r="F38">
            <v>0.0440316318093182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Dec. 31, 2002 Reg. Assets"/>
      <sheetName val="2. 2002 Base Rate Schedule"/>
      <sheetName val="3. 2002 Data &amp; add 4 RSVAs"/>
      <sheetName val="4. 2004 Rate Sch. with 4 RSVAs"/>
      <sheetName val="5. 2002 Data &amp; Int. Reg. Assets"/>
      <sheetName val="6. 2004 Rate Sch. with Interims"/>
      <sheetName val="7. 2002 Data &amp; 2004 PILs"/>
      <sheetName val="8. 2004 Rate Sch. with PILs"/>
      <sheetName val="9. Service Charge Adj."/>
      <sheetName val="10. 2004 Rate Schedule "/>
      <sheetName val="11.Bill Impact (no commod. in.)"/>
      <sheetName val="12. Bill Impact (commod. inc.) "/>
    </sheetNames>
    <sheetDataSet>
      <sheetData sheetId="6">
        <row r="48">
          <cell r="B48">
            <v>0.003064078688955267</v>
          </cell>
        </row>
        <row r="66">
          <cell r="B66">
            <v>0.0016457101558318091</v>
          </cell>
        </row>
        <row r="84">
          <cell r="B84">
            <v>0.5027284015172294</v>
          </cell>
        </row>
        <row r="120">
          <cell r="B120">
            <v>0.006258517698367678</v>
          </cell>
        </row>
        <row r="156">
          <cell r="B156">
            <v>1.266386715669602</v>
          </cell>
        </row>
        <row r="174">
          <cell r="B174">
            <v>0.8692208663769545</v>
          </cell>
        </row>
      </sheetData>
      <sheetData sheetId="9">
        <row r="10">
          <cell r="F10">
            <v>15.99</v>
          </cell>
        </row>
        <row r="11">
          <cell r="F11">
            <v>0.012993130666277228</v>
          </cell>
        </row>
        <row r="22">
          <cell r="F22">
            <v>24.37</v>
          </cell>
        </row>
        <row r="23">
          <cell r="F23">
            <v>0.009760199144416986</v>
          </cell>
        </row>
        <row r="28">
          <cell r="F28">
            <v>163.46</v>
          </cell>
        </row>
        <row r="29">
          <cell r="F29">
            <v>3.303052193655666</v>
          </cell>
        </row>
        <row r="40">
          <cell r="F40">
            <v>8.6</v>
          </cell>
        </row>
        <row r="41">
          <cell r="F41">
            <v>0.04485044471229015</v>
          </cell>
        </row>
        <row r="63">
          <cell r="F63">
            <v>1.63</v>
          </cell>
        </row>
        <row r="64">
          <cell r="F64">
            <v>4.714867138332227</v>
          </cell>
        </row>
        <row r="75">
          <cell r="F75">
            <v>0.39</v>
          </cell>
        </row>
        <row r="76">
          <cell r="F76">
            <v>4.246798676922417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1. 2002 Base Rate Schedule"/>
      <sheetName val="2. Adding Final 3rd MARR"/>
      <sheetName val="3. 2005 Base Rate Schedule"/>
      <sheetName val="4. 2003 Data &amp; 2005 PILs"/>
      <sheetName val="5. 2005 Rate Sch. with PILs"/>
      <sheetName val="6. Dec. 31, 2003 Reg. Assets"/>
      <sheetName val="7. 2003 Data &amp; add RSVA"/>
      <sheetName val="8. 2003 Data &amp; Non-RSVA"/>
      <sheetName val="9. 2005 Rate Sch. Reg. Assets"/>
      <sheetName val="10. Rate Rider Calculations"/>
      <sheetName val="11. 2005 Final Rate Schedule "/>
      <sheetName val="12. Current Rates"/>
      <sheetName val="13. Bill Impact"/>
    </sheetNames>
    <sheetDataSet>
      <sheetData sheetId="4">
        <row r="50">
          <cell r="B50">
            <v>0.0023789837562859326</v>
          </cell>
        </row>
        <row r="67">
          <cell r="B67">
            <v>0.0017518867783845493</v>
          </cell>
        </row>
        <row r="84">
          <cell r="B84">
            <v>0.4321582099720993</v>
          </cell>
        </row>
        <row r="101">
          <cell r="B101">
            <v>0.006072578756624929</v>
          </cell>
        </row>
        <row r="152">
          <cell r="B152">
            <v>1.1677918114135755</v>
          </cell>
        </row>
        <row r="169">
          <cell r="B169">
            <v>0.5316783751193801</v>
          </cell>
        </row>
      </sheetData>
      <sheetData sheetId="11">
        <row r="13">
          <cell r="F13">
            <v>15.70891199807245</v>
          </cell>
        </row>
        <row r="14">
          <cell r="F14">
            <v>0.01452207195394337</v>
          </cell>
        </row>
        <row r="25">
          <cell r="F25">
            <v>23.942132115136392</v>
          </cell>
        </row>
        <row r="26">
          <cell r="F26">
            <v>0.011705992653432614</v>
          </cell>
        </row>
        <row r="31">
          <cell r="F31">
            <v>160.61519361329238</v>
          </cell>
        </row>
        <row r="32">
          <cell r="F32">
            <v>4.04038517829835</v>
          </cell>
        </row>
        <row r="37">
          <cell r="F37">
            <v>8.484076947685862</v>
          </cell>
        </row>
        <row r="38">
          <cell r="F38">
            <v>0.05155988654870163</v>
          </cell>
        </row>
        <row r="56">
          <cell r="F56">
            <v>1.6099944681612635</v>
          </cell>
        </row>
        <row r="57">
          <cell r="F57">
            <v>6.984797905607287</v>
          </cell>
        </row>
        <row r="68">
          <cell r="F68">
            <v>0.3902714718651938</v>
          </cell>
        </row>
        <row r="69">
          <cell r="F69">
            <v>4.56839562254055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6.140625" style="72" customWidth="1"/>
    <col min="2" max="2" width="27.421875" style="72" customWidth="1"/>
    <col min="3" max="16384" width="8.8515625" style="72" customWidth="1"/>
  </cols>
  <sheetData>
    <row r="3" spans="1:2" ht="15">
      <c r="A3" s="72" t="s">
        <v>140</v>
      </c>
      <c r="B3" s="73">
        <f>'App 1 - Continuity Schedule'!B10+'App 1 - Continuity Schedule'!B28+'App 1 - Continuity Schedule'!B46+'App 1 - Continuity Schedule'!B64+'App 1 - Continuity Schedule'!B82+'App 1 - Continuity Schedule'!B100</f>
        <v>822743</v>
      </c>
    </row>
    <row r="5" spans="1:2" ht="15">
      <c r="A5" s="72" t="s">
        <v>141</v>
      </c>
      <c r="B5" s="74">
        <f>'App 1 - Continuity Schedule'!C28+'App 1 - Continuity Schedule'!C46+'App 1 - Continuity Schedule'!C64+'App 1 - Continuity Schedule'!C82+'App 1 - Continuity Schedule'!C100</f>
        <v>754903.5414616433</v>
      </c>
    </row>
    <row r="7" ht="15">
      <c r="B7" s="75">
        <f>B3-B5</f>
        <v>67839.4585383567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5"/>
  <sheetViews>
    <sheetView tabSelected="1" zoomScalePageLayoutView="0" workbookViewId="0" topLeftCell="A28">
      <selection activeCell="A30" sqref="A30"/>
    </sheetView>
  </sheetViews>
  <sheetFormatPr defaultColWidth="9.140625" defaultRowHeight="15"/>
  <cols>
    <col min="1" max="1" width="15.8515625" style="63" customWidth="1"/>
    <col min="2" max="2" width="8.8515625" style="63" customWidth="1"/>
    <col min="3" max="3" width="16.7109375" style="65" customWidth="1"/>
    <col min="4" max="5" width="17.57421875" style="63" customWidth="1"/>
    <col min="6" max="6" width="19.140625" style="63" customWidth="1"/>
    <col min="7" max="8" width="15.421875" style="63" customWidth="1"/>
    <col min="9" max="9" width="18.140625" style="63" customWidth="1"/>
    <col min="10" max="10" width="16.28125" style="63" customWidth="1"/>
    <col min="11" max="11" width="13.7109375" style="63" customWidth="1"/>
    <col min="12" max="12" width="13.00390625" style="63" customWidth="1"/>
    <col min="13" max="16384" width="8.8515625" style="63" customWidth="1"/>
  </cols>
  <sheetData>
    <row r="1" ht="17.25">
      <c r="C1" s="64" t="s">
        <v>126</v>
      </c>
    </row>
    <row r="2" ht="17.25">
      <c r="C2" s="64"/>
    </row>
    <row r="3" spans="1:3" ht="17.25">
      <c r="A3" s="69" t="s">
        <v>145</v>
      </c>
      <c r="C3" s="64"/>
    </row>
    <row r="4" ht="13.5">
      <c r="L4" s="66" t="s">
        <v>143</v>
      </c>
    </row>
    <row r="5" spans="3:12" ht="13.5">
      <c r="C5" s="66" t="s">
        <v>118</v>
      </c>
      <c r="D5" s="66" t="s">
        <v>120</v>
      </c>
      <c r="E5" s="66" t="s">
        <v>120</v>
      </c>
      <c r="F5" s="66" t="s">
        <v>122</v>
      </c>
      <c r="G5" s="66" t="s">
        <v>122</v>
      </c>
      <c r="H5" s="66" t="s">
        <v>125</v>
      </c>
      <c r="I5" s="66" t="s">
        <v>127</v>
      </c>
      <c r="J5" s="66" t="s">
        <v>129</v>
      </c>
      <c r="K5" s="66" t="s">
        <v>130</v>
      </c>
      <c r="L5" s="66" t="s">
        <v>144</v>
      </c>
    </row>
    <row r="6" spans="3:12" ht="17.25">
      <c r="C6" s="67" t="s">
        <v>119</v>
      </c>
      <c r="D6" s="67" t="s">
        <v>121</v>
      </c>
      <c r="E6" s="67" t="s">
        <v>124</v>
      </c>
      <c r="F6" s="67" t="s">
        <v>123</v>
      </c>
      <c r="G6" s="67" t="s">
        <v>124</v>
      </c>
      <c r="H6" s="67" t="s">
        <v>124</v>
      </c>
      <c r="I6" s="67" t="s">
        <v>128</v>
      </c>
      <c r="J6" s="67" t="s">
        <v>128</v>
      </c>
      <c r="K6" s="67" t="s">
        <v>128</v>
      </c>
      <c r="L6" s="67" t="s">
        <v>128</v>
      </c>
    </row>
    <row r="8" ht="13.5">
      <c r="A8" s="68" t="s">
        <v>45</v>
      </c>
    </row>
    <row r="10" spans="2:11" ht="13.5">
      <c r="B10" s="63" t="s">
        <v>113</v>
      </c>
      <c r="C10" s="65">
        <v>2561</v>
      </c>
      <c r="D10" s="65">
        <v>2642</v>
      </c>
      <c r="E10" s="65">
        <v>2642</v>
      </c>
      <c r="F10" s="65">
        <v>2570</v>
      </c>
      <c r="G10" s="65">
        <v>2570</v>
      </c>
      <c r="H10" s="65">
        <v>2595</v>
      </c>
      <c r="I10" s="65">
        <v>2581</v>
      </c>
      <c r="J10" s="65">
        <v>2603</v>
      </c>
      <c r="K10" s="65">
        <v>2610</v>
      </c>
    </row>
    <row r="11" spans="4:11" ht="13.5">
      <c r="D11" s="65"/>
      <c r="E11" s="65"/>
      <c r="F11" s="65"/>
      <c r="G11" s="65"/>
      <c r="H11" s="65"/>
      <c r="I11" s="65"/>
      <c r="J11" s="65"/>
      <c r="K11" s="65"/>
    </row>
    <row r="12" spans="2:12" ht="13.5">
      <c r="B12" s="63" t="s">
        <v>114</v>
      </c>
      <c r="C12" s="65">
        <v>36091727</v>
      </c>
      <c r="D12" s="65">
        <v>29878037</v>
      </c>
      <c r="E12" s="65">
        <v>29878846</v>
      </c>
      <c r="F12" s="65">
        <v>37654384</v>
      </c>
      <c r="G12" s="65">
        <v>37654384</v>
      </c>
      <c r="H12" s="65">
        <v>35377361</v>
      </c>
      <c r="I12" s="65">
        <v>35384766</v>
      </c>
      <c r="J12" s="65">
        <v>34829575</v>
      </c>
      <c r="K12" s="65">
        <v>33237936</v>
      </c>
      <c r="L12" s="65">
        <v>34213302.45126052</v>
      </c>
    </row>
    <row r="13" spans="4:11" ht="13.5">
      <c r="D13" s="65"/>
      <c r="E13" s="65"/>
      <c r="F13" s="65"/>
      <c r="G13" s="65"/>
      <c r="H13" s="65"/>
      <c r="I13" s="65"/>
      <c r="J13" s="65"/>
      <c r="K13" s="65"/>
    </row>
    <row r="14" spans="4:11" ht="13.5">
      <c r="D14" s="65"/>
      <c r="E14" s="65"/>
      <c r="F14" s="65"/>
      <c r="G14" s="65"/>
      <c r="H14" s="65"/>
      <c r="I14" s="65"/>
      <c r="J14" s="65"/>
      <c r="K14" s="65"/>
    </row>
    <row r="15" spans="1:11" ht="13.5">
      <c r="A15" s="68" t="s">
        <v>115</v>
      </c>
      <c r="D15" s="65"/>
      <c r="E15" s="65"/>
      <c r="F15" s="65"/>
      <c r="G15" s="65"/>
      <c r="H15" s="65"/>
      <c r="I15" s="65"/>
      <c r="J15" s="65"/>
      <c r="K15" s="65"/>
    </row>
    <row r="16" spans="2:11" ht="13.5">
      <c r="B16" s="63" t="s">
        <v>113</v>
      </c>
      <c r="C16" s="65">
        <v>545</v>
      </c>
      <c r="D16" s="65">
        <v>632</v>
      </c>
      <c r="E16" s="65">
        <v>632</v>
      </c>
      <c r="F16" s="65">
        <v>563</v>
      </c>
      <c r="G16" s="65">
        <v>563</v>
      </c>
      <c r="H16" s="65">
        <v>535</v>
      </c>
      <c r="I16" s="65">
        <v>500</v>
      </c>
      <c r="J16" s="65">
        <v>503</v>
      </c>
      <c r="K16" s="65">
        <v>505</v>
      </c>
    </row>
    <row r="17" spans="4:11" ht="13.5">
      <c r="D17" s="65"/>
      <c r="E17" s="65"/>
      <c r="F17" s="65"/>
      <c r="G17" s="65"/>
      <c r="H17" s="65"/>
      <c r="I17" s="65"/>
      <c r="J17" s="65"/>
      <c r="K17" s="65"/>
    </row>
    <row r="18" spans="2:12" ht="13.5">
      <c r="B18" s="63" t="s">
        <v>114</v>
      </c>
      <c r="C18" s="65">
        <v>14979283</v>
      </c>
      <c r="D18" s="70">
        <v>28239037</v>
      </c>
      <c r="E18" s="70">
        <v>28239037</v>
      </c>
      <c r="F18" s="65">
        <v>17485309</v>
      </c>
      <c r="G18" s="65">
        <v>17485309</v>
      </c>
      <c r="H18" s="65">
        <v>16620560</v>
      </c>
      <c r="I18" s="65">
        <v>16475395</v>
      </c>
      <c r="J18" s="65">
        <v>16712968</v>
      </c>
      <c r="K18" s="65">
        <v>16473586</v>
      </c>
      <c r="L18" s="65">
        <v>16689647.41278951</v>
      </c>
    </row>
    <row r="19" spans="4:11" ht="13.5">
      <c r="D19" s="79" t="s">
        <v>142</v>
      </c>
      <c r="E19" s="79"/>
      <c r="F19" s="65"/>
      <c r="G19" s="65"/>
      <c r="H19" s="65"/>
      <c r="I19" s="65"/>
      <c r="J19" s="65"/>
      <c r="K19" s="65"/>
    </row>
    <row r="20" spans="4:11" ht="13.5">
      <c r="D20" s="65"/>
      <c r="E20" s="65"/>
      <c r="F20" s="65"/>
      <c r="G20" s="65"/>
      <c r="H20" s="65"/>
      <c r="I20" s="65"/>
      <c r="J20" s="65"/>
      <c r="K20" s="65"/>
    </row>
    <row r="21" spans="1:11" ht="13.5">
      <c r="A21" s="68" t="s">
        <v>116</v>
      </c>
      <c r="D21" s="65"/>
      <c r="E21" s="65"/>
      <c r="F21" s="65"/>
      <c r="G21" s="65"/>
      <c r="H21" s="65"/>
      <c r="I21" s="65"/>
      <c r="J21" s="65"/>
      <c r="K21" s="65"/>
    </row>
    <row r="22" spans="2:11" ht="13.5">
      <c r="B22" s="63" t="s">
        <v>113</v>
      </c>
      <c r="C22" s="65">
        <v>61</v>
      </c>
      <c r="D22" s="65">
        <v>57</v>
      </c>
      <c r="E22" s="65">
        <v>57</v>
      </c>
      <c r="F22" s="65">
        <v>59</v>
      </c>
      <c r="G22" s="65">
        <v>59</v>
      </c>
      <c r="H22" s="65">
        <v>60</v>
      </c>
      <c r="I22" s="65">
        <v>59</v>
      </c>
      <c r="J22" s="65">
        <v>60</v>
      </c>
      <c r="K22" s="65">
        <v>61</v>
      </c>
    </row>
    <row r="23" spans="4:11" ht="13.5">
      <c r="D23" s="65"/>
      <c r="E23" s="65"/>
      <c r="F23" s="65"/>
      <c r="G23" s="65"/>
      <c r="H23" s="65"/>
      <c r="I23" s="65"/>
      <c r="J23" s="65"/>
      <c r="K23" s="65"/>
    </row>
    <row r="24" spans="2:11" ht="13.5">
      <c r="B24" s="63" t="s">
        <v>117</v>
      </c>
      <c r="C24" s="65">
        <v>77920</v>
      </c>
      <c r="D24" s="65">
        <v>69830</v>
      </c>
      <c r="E24" s="65">
        <v>69830</v>
      </c>
      <c r="F24" s="65">
        <v>81649</v>
      </c>
      <c r="G24" s="65">
        <v>81649</v>
      </c>
      <c r="H24" s="65">
        <v>84305</v>
      </c>
      <c r="I24" s="65">
        <v>81896</v>
      </c>
      <c r="J24" s="65">
        <v>89198</v>
      </c>
      <c r="K24" s="65">
        <v>88798</v>
      </c>
    </row>
    <row r="25" spans="4:11" ht="13.5">
      <c r="D25" s="65"/>
      <c r="E25" s="65"/>
      <c r="F25" s="65"/>
      <c r="G25" s="65"/>
      <c r="H25" s="65"/>
      <c r="I25" s="65"/>
      <c r="J25" s="65"/>
      <c r="K25" s="65"/>
    </row>
    <row r="28" spans="1:11" ht="14.25">
      <c r="A28" s="69" t="s">
        <v>147</v>
      </c>
      <c r="G28"/>
      <c r="H28"/>
      <c r="I28"/>
      <c r="J28"/>
      <c r="K28"/>
    </row>
    <row r="29" spans="1:11" ht="14.25">
      <c r="A29" s="69"/>
      <c r="G29"/>
      <c r="H29"/>
      <c r="I29"/>
      <c r="J29"/>
      <c r="K29"/>
    </row>
    <row r="31" spans="3:6" ht="13.5">
      <c r="C31" s="71">
        <v>2002</v>
      </c>
      <c r="D31" s="71">
        <v>2003</v>
      </c>
      <c r="E31" s="71">
        <v>2004</v>
      </c>
      <c r="F31" s="71">
        <v>2005</v>
      </c>
    </row>
    <row r="33" spans="1:6" ht="13.5">
      <c r="A33" s="68" t="s">
        <v>45</v>
      </c>
      <c r="B33" s="63" t="s">
        <v>113</v>
      </c>
      <c r="C33" s="76">
        <f>SUM('App 32 - Mar02 to Feb04 Revenue'!B18:K18)/10</f>
        <v>2551.7</v>
      </c>
      <c r="D33" s="76">
        <f>SUM('App 32 - Mar02 to Feb04 Revenue'!L18:W18)/12</f>
        <v>2570.9166666666665</v>
      </c>
      <c r="E33" s="65"/>
      <c r="F33" s="65"/>
    </row>
    <row r="34" spans="5:6" ht="13.5">
      <c r="E34" s="65"/>
      <c r="F34" s="65"/>
    </row>
    <row r="35" spans="2:6" ht="13.5">
      <c r="B35" s="63" t="s">
        <v>136</v>
      </c>
      <c r="C35" s="78">
        <f>(SUM('App 32 - Mar02 to Feb04 Revenue'!B29:K29)/10)*12</f>
        <v>31424833.784243338</v>
      </c>
      <c r="D35" s="77">
        <f>SUM('App 32 - Mar02 to Feb04 Revenue'!L29:W29)</f>
        <v>36574670.54600415</v>
      </c>
      <c r="E35" s="76">
        <f>'App 32 - Mar02 to Feb04 Revenue'!AB29+'App 33 - Mar04 to Feb05 Revenue'!P18</f>
        <v>35384765.95503497</v>
      </c>
      <c r="F35" s="76">
        <f>'App 33 - Mar04 to Feb05 Revenue'!Q18+'App 34 - Mar05 to Apr06 Revenue'!R18</f>
        <v>34829575.04250899</v>
      </c>
    </row>
    <row r="36" spans="3:6" ht="14.25">
      <c r="C36"/>
      <c r="D36"/>
      <c r="E36"/>
      <c r="F36"/>
    </row>
    <row r="37" spans="4:6" ht="13.5">
      <c r="D37" s="65"/>
      <c r="E37" s="65"/>
      <c r="F37" s="65"/>
    </row>
    <row r="38" spans="5:6" ht="13.5">
      <c r="E38" s="65"/>
      <c r="F38" s="65"/>
    </row>
    <row r="39" spans="1:6" ht="13.5">
      <c r="A39" s="68" t="s">
        <v>115</v>
      </c>
      <c r="B39" s="63" t="s">
        <v>113</v>
      </c>
      <c r="C39" s="76">
        <f>SUM('App 32 - Mar02 to Feb04 Revenue'!B19:K19)/10</f>
        <v>515.2</v>
      </c>
      <c r="D39" s="76">
        <f>SUM('App 32 - Mar02 to Feb04 Revenue'!L19:W19)/12</f>
        <v>496.1666666666667</v>
      </c>
      <c r="E39" s="65"/>
      <c r="F39" s="65"/>
    </row>
    <row r="40" spans="5:6" ht="13.5">
      <c r="E40" s="65"/>
      <c r="F40" s="65"/>
    </row>
    <row r="41" spans="2:6" ht="13.5">
      <c r="B41" s="63" t="s">
        <v>136</v>
      </c>
      <c r="C41" s="77">
        <f>(SUM('App 32 - Mar02 to Feb04 Revenue'!B30:K30)/10)*12</f>
        <v>19634697.268089935</v>
      </c>
      <c r="D41" s="76">
        <f>SUM('App 32 - Mar02 to Feb04 Revenue'!L30:W30)</f>
        <v>16893041.649348192</v>
      </c>
      <c r="E41" s="76">
        <f>'App 32 - Mar02 to Feb04 Revenue'!AB30+'App 33 - Mar04 to Feb05 Revenue'!P19</f>
        <v>16475394.88003023</v>
      </c>
      <c r="F41" s="76">
        <f>'App 33 - Mar04 to Feb05 Revenue'!Q19+'App 34 - Mar05 to Apr06 Revenue'!R19</f>
        <v>16712968.307198182</v>
      </c>
    </row>
    <row r="42" spans="3:6" ht="14.25">
      <c r="C42"/>
      <c r="D42"/>
      <c r="E42"/>
      <c r="F42"/>
    </row>
    <row r="43" spans="4:6" ht="13.5">
      <c r="D43" s="65"/>
      <c r="E43" s="65"/>
      <c r="F43" s="65"/>
    </row>
    <row r="44" spans="5:6" ht="13.5">
      <c r="E44" s="65"/>
      <c r="F44" s="65"/>
    </row>
    <row r="45" spans="1:6" ht="13.5">
      <c r="A45" s="68" t="s">
        <v>116</v>
      </c>
      <c r="B45" s="63" t="s">
        <v>113</v>
      </c>
      <c r="C45" s="77">
        <f>SUM('App 32 - Mar02 to Feb04 Revenue'!B20:K20)/10</f>
        <v>40</v>
      </c>
      <c r="D45" s="76">
        <f>SUM('App 32 - Mar02 to Feb04 Revenue'!L20:W20)/12</f>
        <v>60.333333333333336</v>
      </c>
      <c r="E45" s="65"/>
      <c r="F45" s="65"/>
    </row>
    <row r="46" spans="5:6" ht="13.5">
      <c r="E46" s="65"/>
      <c r="F46" s="65"/>
    </row>
    <row r="47" spans="2:6" ht="13.5">
      <c r="B47" s="63" t="s">
        <v>117</v>
      </c>
      <c r="C47" s="77">
        <f>(SUM('App 32 - Mar02 to Feb04 Revenue'!B31:K31)/10)*12</f>
        <v>45195.588</v>
      </c>
      <c r="D47" s="77">
        <f>SUM('App 32 - Mar02 to Feb04 Revenue'!L31:W31)</f>
        <v>48209.67999999999</v>
      </c>
      <c r="E47" s="76">
        <f>'App 32 - Mar02 to Feb04 Revenue'!AB31+'App 33 - Mar04 to Feb05 Revenue'!P20</f>
        <v>81896.48</v>
      </c>
      <c r="F47" s="76">
        <f>'App 33 - Mar04 to Feb05 Revenue'!Q20+'App 34 - Mar05 to Apr06 Revenue'!R20</f>
        <v>89197.5</v>
      </c>
    </row>
    <row r="48" spans="4:6" ht="13.5">
      <c r="D48" s="65"/>
      <c r="E48" s="65"/>
      <c r="F48" s="65"/>
    </row>
    <row r="49" spans="5:6" ht="13.5">
      <c r="E49" s="65"/>
      <c r="F49" s="65"/>
    </row>
    <row r="50" spans="3:6" ht="13.5">
      <c r="C50" s="65" t="s">
        <v>131</v>
      </c>
      <c r="D50" s="65" t="s">
        <v>131</v>
      </c>
      <c r="E50" s="65"/>
      <c r="F50" s="65"/>
    </row>
    <row r="51" spans="3:4" ht="13.5">
      <c r="C51" s="65" t="s">
        <v>132</v>
      </c>
      <c r="D51" s="65" t="s">
        <v>137</v>
      </c>
    </row>
    <row r="53" spans="3:4" ht="13.5">
      <c r="C53" s="65" t="s">
        <v>133</v>
      </c>
      <c r="D53" s="63" t="s">
        <v>146</v>
      </c>
    </row>
    <row r="54" spans="3:4" ht="13.5">
      <c r="C54" s="65" t="s">
        <v>134</v>
      </c>
      <c r="D54" s="63" t="s">
        <v>133</v>
      </c>
    </row>
    <row r="55" ht="13.5">
      <c r="C55" s="65" t="s">
        <v>135</v>
      </c>
    </row>
  </sheetData>
  <sheetProtection/>
  <mergeCells count="1">
    <mergeCell ref="D19:E19"/>
  </mergeCells>
  <printOptions/>
  <pageMargins left="0.7" right="0.7" top="0.75" bottom="0.75" header="0.3" footer="0.3"/>
  <pageSetup cellComments="asDisplayed" fitToHeight="2" fitToWidth="1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2"/>
  <sheetViews>
    <sheetView zoomScale="120" zoomScaleNormal="120" zoomScalePageLayoutView="40" workbookViewId="0" topLeftCell="A82">
      <selection activeCell="N9" sqref="N9"/>
    </sheetView>
  </sheetViews>
  <sheetFormatPr defaultColWidth="9.140625" defaultRowHeight="15"/>
  <cols>
    <col min="1" max="1" width="10.421875" style="0" bestFit="1" customWidth="1"/>
    <col min="2" max="2" width="15.00390625" style="0" customWidth="1"/>
    <col min="3" max="3" width="14.28125" style="0" bestFit="1" customWidth="1"/>
    <col min="4" max="4" width="16.57421875" style="0" customWidth="1"/>
    <col min="5" max="5" width="13.00390625" style="0" customWidth="1"/>
    <col min="6" max="6" width="14.28125" style="0" bestFit="1" customWidth="1"/>
    <col min="7" max="7" width="2.57421875" style="0" customWidth="1"/>
    <col min="8" max="8" width="13.00390625" style="15" customWidth="1"/>
    <col min="9" max="9" width="12.7109375" style="0" bestFit="1" customWidth="1"/>
    <col min="10" max="10" width="14.28125" style="0" bestFit="1" customWidth="1"/>
    <col min="11" max="11" width="3.57421875" style="0" customWidth="1"/>
    <col min="12" max="12" width="15.28125" style="0" bestFit="1" customWidth="1"/>
    <col min="13" max="13" width="11.57421875" style="0" bestFit="1" customWidth="1"/>
    <col min="14" max="14" width="14.28125" style="0" bestFit="1" customWidth="1"/>
  </cols>
  <sheetData>
    <row r="1" spans="1:12" ht="28.5">
      <c r="A1" s="81" t="s">
        <v>112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8.5">
      <c r="A2" s="81" t="s">
        <v>103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ht="15"/>
    <row r="4" spans="1:12" ht="18.75">
      <c r="A4" s="5" t="s">
        <v>0</v>
      </c>
      <c r="B4" s="9" t="s">
        <v>1</v>
      </c>
      <c r="C4" s="8"/>
      <c r="D4" s="8"/>
      <c r="E4" s="8"/>
      <c r="F4" s="8"/>
      <c r="G4" s="8"/>
      <c r="I4" s="8"/>
      <c r="J4" s="8"/>
      <c r="K4" s="8"/>
      <c r="L4" s="8"/>
    </row>
    <row r="5" spans="2:13" ht="15">
      <c r="B5" s="10"/>
      <c r="C5" s="10"/>
      <c r="D5" s="80" t="s">
        <v>70</v>
      </c>
      <c r="E5" s="82" t="s">
        <v>14</v>
      </c>
      <c r="F5" s="82"/>
      <c r="G5" s="10"/>
      <c r="H5" s="82" t="s">
        <v>15</v>
      </c>
      <c r="I5" s="82"/>
      <c r="J5" s="82"/>
      <c r="K5" s="10"/>
      <c r="L5" s="80" t="s">
        <v>5</v>
      </c>
      <c r="M5" s="3"/>
    </row>
    <row r="6" spans="2:13" ht="28.5" customHeight="1">
      <c r="B6" s="11" t="s">
        <v>2</v>
      </c>
      <c r="C6" s="11" t="s">
        <v>3</v>
      </c>
      <c r="D6" s="80"/>
      <c r="E6" s="10" t="s">
        <v>4</v>
      </c>
      <c r="F6" s="10" t="s">
        <v>69</v>
      </c>
      <c r="G6" s="10"/>
      <c r="H6" s="16" t="s">
        <v>6</v>
      </c>
      <c r="I6" s="10" t="s">
        <v>4</v>
      </c>
      <c r="J6" s="10" t="s">
        <v>69</v>
      </c>
      <c r="K6" s="10"/>
      <c r="L6" s="80"/>
      <c r="M6" s="3"/>
    </row>
    <row r="7" spans="1:12" ht="15">
      <c r="A7" t="s">
        <v>10</v>
      </c>
      <c r="B7" s="6">
        <f>'PILS Entitlement Summary'!H3</f>
        <v>12562.666666666666</v>
      </c>
      <c r="C7" s="6">
        <v>0</v>
      </c>
      <c r="D7" s="8"/>
      <c r="E7" s="8">
        <f>B7-C7+D7</f>
        <v>12562.666666666666</v>
      </c>
      <c r="F7" s="8">
        <f>E7</f>
        <v>12562.666666666666</v>
      </c>
      <c r="G7" s="8"/>
      <c r="H7" s="4">
        <v>0.0725</v>
      </c>
      <c r="I7" s="8">
        <v>0</v>
      </c>
      <c r="J7" s="8">
        <f>I7</f>
        <v>0</v>
      </c>
      <c r="K7" s="8"/>
      <c r="L7" s="8">
        <f>F7+J7</f>
        <v>12562.666666666666</v>
      </c>
    </row>
    <row r="8" spans="1:12" ht="15">
      <c r="A8" t="s">
        <v>11</v>
      </c>
      <c r="B8" s="12">
        <f>B7</f>
        <v>12562.666666666666</v>
      </c>
      <c r="C8" s="6">
        <v>0</v>
      </c>
      <c r="D8" s="8"/>
      <c r="E8" s="8">
        <f>B8-C8+D8</f>
        <v>12562.666666666666</v>
      </c>
      <c r="F8" s="8">
        <f>F7+E8</f>
        <v>25125.333333333332</v>
      </c>
      <c r="G8" s="8"/>
      <c r="H8" s="15">
        <f>H7</f>
        <v>0.0725</v>
      </c>
      <c r="I8" s="8">
        <f>F7*H8/12</f>
        <v>75.89944444444443</v>
      </c>
      <c r="J8" s="8">
        <f>I8+J7</f>
        <v>75.89944444444443</v>
      </c>
      <c r="K8" s="8"/>
      <c r="L8" s="8">
        <f>F8+J8</f>
        <v>25201.232777777775</v>
      </c>
    </row>
    <row r="9" spans="1:12" ht="15">
      <c r="A9" t="s">
        <v>12</v>
      </c>
      <c r="B9" s="13">
        <f>B8</f>
        <v>12562.666666666666</v>
      </c>
      <c r="C9" s="7">
        <v>0</v>
      </c>
      <c r="D9" s="14"/>
      <c r="E9" s="14">
        <f>B9-C9+D9</f>
        <v>12562.666666666666</v>
      </c>
      <c r="F9" s="14">
        <f>F8+E9</f>
        <v>37688</v>
      </c>
      <c r="G9" s="14"/>
      <c r="H9" s="17">
        <f>H8</f>
        <v>0.0725</v>
      </c>
      <c r="I9" s="14">
        <f>F8*H9/12</f>
        <v>151.79888888888885</v>
      </c>
      <c r="J9" s="14">
        <f>I9+J8</f>
        <v>227.69833333333327</v>
      </c>
      <c r="K9" s="14"/>
      <c r="L9" s="14">
        <f>F9+J9</f>
        <v>37915.698333333334</v>
      </c>
    </row>
    <row r="10" spans="1:12" ht="15">
      <c r="A10" s="2" t="s">
        <v>13</v>
      </c>
      <c r="B10" s="8">
        <f>SUM(B7:B9)</f>
        <v>37688</v>
      </c>
      <c r="C10" s="8">
        <f>SUM(C7:C9)</f>
        <v>0</v>
      </c>
      <c r="D10" s="8">
        <f>SUM(D7:D9)</f>
        <v>0</v>
      </c>
      <c r="E10" s="8">
        <f>SUM(E7:E9)</f>
        <v>37688</v>
      </c>
      <c r="F10" s="8"/>
      <c r="G10" s="8"/>
      <c r="I10" s="8">
        <f>SUM(I7:I9)</f>
        <v>227.69833333333327</v>
      </c>
      <c r="J10" s="8"/>
      <c r="K10" s="8"/>
      <c r="L10" s="8"/>
    </row>
    <row r="11" spans="2:12" ht="15">
      <c r="B11" s="8"/>
      <c r="C11" s="8"/>
      <c r="D11" s="8"/>
      <c r="E11" s="8"/>
      <c r="F11" s="8"/>
      <c r="G11" s="8"/>
      <c r="I11" s="8"/>
      <c r="J11" s="8"/>
      <c r="K11" s="8"/>
      <c r="L11" s="8"/>
    </row>
    <row r="12" spans="2:12" ht="15">
      <c r="B12" s="8"/>
      <c r="C12" s="8"/>
      <c r="D12" s="8"/>
      <c r="E12" s="8"/>
      <c r="F12" s="8"/>
      <c r="G12" s="8"/>
      <c r="I12" s="8"/>
      <c r="J12" s="8"/>
      <c r="K12" s="8"/>
      <c r="L12" s="8"/>
    </row>
    <row r="13" spans="1:12" ht="18.75">
      <c r="A13" s="5" t="s">
        <v>0</v>
      </c>
      <c r="B13" s="19">
        <v>2002</v>
      </c>
      <c r="C13" s="8"/>
      <c r="D13" s="8"/>
      <c r="E13" s="8"/>
      <c r="F13" s="8"/>
      <c r="G13" s="8"/>
      <c r="I13" s="8"/>
      <c r="J13" s="8"/>
      <c r="K13" s="8"/>
      <c r="L13" s="8"/>
    </row>
    <row r="14" spans="2:12" ht="15">
      <c r="B14" s="10"/>
      <c r="C14" s="10"/>
      <c r="D14" s="80" t="str">
        <f>$D$5</f>
        <v>SIMPILS True-Up Adjustments    (neg = CR)</v>
      </c>
      <c r="E14" s="82" t="s">
        <v>14</v>
      </c>
      <c r="F14" s="82"/>
      <c r="G14" s="10"/>
      <c r="H14" s="82" t="s">
        <v>15</v>
      </c>
      <c r="I14" s="82"/>
      <c r="J14" s="82"/>
      <c r="K14" s="10"/>
      <c r="L14" s="80" t="s">
        <v>5</v>
      </c>
    </row>
    <row r="15" spans="2:12" ht="45">
      <c r="B15" s="11" t="s">
        <v>2</v>
      </c>
      <c r="C15" s="11" t="s">
        <v>3</v>
      </c>
      <c r="D15" s="80"/>
      <c r="E15" s="10" t="s">
        <v>4</v>
      </c>
      <c r="F15" s="10" t="s">
        <v>69</v>
      </c>
      <c r="G15" s="10"/>
      <c r="H15" s="16" t="s">
        <v>6</v>
      </c>
      <c r="I15" s="10" t="s">
        <v>4</v>
      </c>
      <c r="J15" s="10" t="s">
        <v>69</v>
      </c>
      <c r="K15" s="10"/>
      <c r="L15" s="80"/>
    </row>
    <row r="16" spans="1:12" ht="15">
      <c r="A16" t="s">
        <v>7</v>
      </c>
      <c r="B16" s="6">
        <f>'PILS Entitlement Summary'!H4</f>
        <v>14542</v>
      </c>
      <c r="C16" s="6">
        <v>0</v>
      </c>
      <c r="D16" s="8"/>
      <c r="E16" s="8">
        <f aca="true" t="shared" si="0" ref="E16:E27">B16-C16+D16</f>
        <v>14542</v>
      </c>
      <c r="F16" s="8">
        <f>F9+E16</f>
        <v>52230</v>
      </c>
      <c r="G16" s="8"/>
      <c r="H16" s="15">
        <f>H9</f>
        <v>0.0725</v>
      </c>
      <c r="I16" s="8">
        <f>H16*F9/12</f>
        <v>227.6983333333333</v>
      </c>
      <c r="J16" s="8">
        <f>J9+I16</f>
        <v>455.39666666666653</v>
      </c>
      <c r="K16" s="8"/>
      <c r="L16" s="8">
        <f aca="true" t="shared" si="1" ref="L16:L27">F16+J16</f>
        <v>52685.39666666667</v>
      </c>
    </row>
    <row r="17" spans="1:12" ht="15">
      <c r="A17" t="s">
        <v>8</v>
      </c>
      <c r="B17" s="12">
        <f>B16</f>
        <v>14542</v>
      </c>
      <c r="C17" s="6">
        <v>0</v>
      </c>
      <c r="D17" s="8"/>
      <c r="E17" s="8">
        <f t="shared" si="0"/>
        <v>14542</v>
      </c>
      <c r="F17" s="8">
        <f>F16+E17</f>
        <v>66772</v>
      </c>
      <c r="G17" s="8"/>
      <c r="H17" s="15">
        <f>H16</f>
        <v>0.0725</v>
      </c>
      <c r="I17" s="8">
        <f>H17*F16/12</f>
        <v>315.55625</v>
      </c>
      <c r="J17" s="8">
        <f>I17+J16</f>
        <v>770.9529166666665</v>
      </c>
      <c r="K17" s="8"/>
      <c r="L17" s="8">
        <f t="shared" si="1"/>
        <v>67542.95291666666</v>
      </c>
    </row>
    <row r="18" spans="1:12" ht="15">
      <c r="A18" t="s">
        <v>9</v>
      </c>
      <c r="B18" s="12">
        <f>B17</f>
        <v>14542</v>
      </c>
      <c r="C18" s="6">
        <f>'App 32 - Mar02 to Feb04 Revenue'!B$47</f>
        <v>8442.48824354539</v>
      </c>
      <c r="D18" s="8"/>
      <c r="E18" s="8">
        <f t="shared" si="0"/>
        <v>6099.511756454611</v>
      </c>
      <c r="F18" s="8">
        <f aca="true" t="shared" si="2" ref="F18:F27">F17+E18</f>
        <v>72871.51175645461</v>
      </c>
      <c r="G18" s="8"/>
      <c r="H18" s="15">
        <f aca="true" t="shared" si="3" ref="H18:H27">H17</f>
        <v>0.0725</v>
      </c>
      <c r="I18" s="8">
        <f aca="true" t="shared" si="4" ref="I18:I27">H18*F17/12</f>
        <v>403.41416666666663</v>
      </c>
      <c r="J18" s="8">
        <f aca="true" t="shared" si="5" ref="J18:J27">I18+J17</f>
        <v>1174.367083333333</v>
      </c>
      <c r="K18" s="8"/>
      <c r="L18" s="8">
        <f t="shared" si="1"/>
        <v>74045.87883978794</v>
      </c>
    </row>
    <row r="19" spans="1:12" ht="15">
      <c r="A19" t="s">
        <v>16</v>
      </c>
      <c r="B19" s="12">
        <f aca="true" t="shared" si="6" ref="B19:B27">B18</f>
        <v>14542</v>
      </c>
      <c r="C19" s="6">
        <f>'App 32 - Mar02 to Feb04 Revenue'!C$47</f>
        <v>17267.717666414563</v>
      </c>
      <c r="D19" s="8"/>
      <c r="E19" s="8">
        <f t="shared" si="0"/>
        <v>-2725.7176664145627</v>
      </c>
      <c r="F19" s="8">
        <f t="shared" si="2"/>
        <v>70145.79409004004</v>
      </c>
      <c r="G19" s="8"/>
      <c r="H19" s="15">
        <f t="shared" si="3"/>
        <v>0.0725</v>
      </c>
      <c r="I19" s="8">
        <f>H19*F18/12</f>
        <v>440.2653835285799</v>
      </c>
      <c r="J19" s="8">
        <f>I19+J18</f>
        <v>1614.632466861913</v>
      </c>
      <c r="K19" s="8"/>
      <c r="L19" s="8">
        <f t="shared" si="1"/>
        <v>71760.42655690196</v>
      </c>
    </row>
    <row r="20" spans="1:12" ht="15">
      <c r="A20" t="s">
        <v>17</v>
      </c>
      <c r="B20" s="12">
        <f t="shared" si="6"/>
        <v>14542</v>
      </c>
      <c r="C20" s="6">
        <f>'App 32 - Mar02 to Feb04 Revenue'!D$47</f>
        <v>16220.129730169243</v>
      </c>
      <c r="D20" s="8"/>
      <c r="E20" s="8">
        <f t="shared" si="0"/>
        <v>-1678.129730169243</v>
      </c>
      <c r="F20" s="8">
        <f t="shared" si="2"/>
        <v>68467.6643598708</v>
      </c>
      <c r="G20" s="8"/>
      <c r="H20" s="15">
        <f t="shared" si="3"/>
        <v>0.0725</v>
      </c>
      <c r="I20" s="8">
        <f t="shared" si="4"/>
        <v>423.79750596065855</v>
      </c>
      <c r="J20" s="8">
        <f t="shared" si="5"/>
        <v>2038.4299728225715</v>
      </c>
      <c r="K20" s="8"/>
      <c r="L20" s="8">
        <f t="shared" si="1"/>
        <v>70506.09433269338</v>
      </c>
    </row>
    <row r="21" spans="1:12" ht="15">
      <c r="A21" t="s">
        <v>18</v>
      </c>
      <c r="B21" s="12">
        <f t="shared" si="6"/>
        <v>14542</v>
      </c>
      <c r="C21" s="6">
        <f>'App 32 - Mar02 to Feb04 Revenue'!E$47</f>
        <v>15223.571774729027</v>
      </c>
      <c r="D21" s="8"/>
      <c r="E21" s="8">
        <f t="shared" si="0"/>
        <v>-681.5717747290273</v>
      </c>
      <c r="F21" s="8">
        <f t="shared" si="2"/>
        <v>67786.09258514177</v>
      </c>
      <c r="G21" s="8"/>
      <c r="H21" s="15">
        <f t="shared" si="3"/>
        <v>0.0725</v>
      </c>
      <c r="I21" s="8">
        <f t="shared" si="4"/>
        <v>413.6588055075527</v>
      </c>
      <c r="J21" s="8">
        <f t="shared" si="5"/>
        <v>2452.088778330124</v>
      </c>
      <c r="K21" s="8"/>
      <c r="L21" s="8">
        <f t="shared" si="1"/>
        <v>70238.1813634719</v>
      </c>
    </row>
    <row r="22" spans="1:12" ht="15">
      <c r="A22" t="s">
        <v>19</v>
      </c>
      <c r="B22" s="12">
        <f t="shared" si="6"/>
        <v>14542</v>
      </c>
      <c r="C22" s="6">
        <f>'App 32 - Mar02 to Feb04 Revenue'!F$47</f>
        <v>12552.826698336265</v>
      </c>
      <c r="D22" s="6">
        <v>0</v>
      </c>
      <c r="E22" s="8">
        <f t="shared" si="0"/>
        <v>1989.1733016637354</v>
      </c>
      <c r="F22" s="8">
        <f t="shared" si="2"/>
        <v>69775.2658868055</v>
      </c>
      <c r="G22" s="8"/>
      <c r="H22" s="15">
        <f t="shared" si="3"/>
        <v>0.0725</v>
      </c>
      <c r="I22" s="8">
        <f t="shared" si="4"/>
        <v>409.5409760352315</v>
      </c>
      <c r="J22" s="8">
        <f t="shared" si="5"/>
        <v>2861.6297543653554</v>
      </c>
      <c r="K22" s="8"/>
      <c r="L22" s="8">
        <f t="shared" si="1"/>
        <v>72636.89564117085</v>
      </c>
    </row>
    <row r="23" spans="1:12" ht="15">
      <c r="A23" t="s">
        <v>20</v>
      </c>
      <c r="B23" s="12">
        <f t="shared" si="6"/>
        <v>14542</v>
      </c>
      <c r="C23" s="6">
        <f>'App 32 - Mar02 to Feb04 Revenue'!G$47</f>
        <v>12010.601245510456</v>
      </c>
      <c r="D23" s="8"/>
      <c r="E23" s="8">
        <f t="shared" si="0"/>
        <v>2531.3987544895444</v>
      </c>
      <c r="F23" s="8">
        <f t="shared" si="2"/>
        <v>72306.66464129505</v>
      </c>
      <c r="G23" s="8"/>
      <c r="H23" s="15">
        <f t="shared" si="3"/>
        <v>0.0725</v>
      </c>
      <c r="I23" s="8">
        <f t="shared" si="4"/>
        <v>421.55889806611657</v>
      </c>
      <c r="J23" s="8">
        <f t="shared" si="5"/>
        <v>3283.188652431472</v>
      </c>
      <c r="K23" s="8"/>
      <c r="L23" s="8">
        <f t="shared" si="1"/>
        <v>75589.85329372653</v>
      </c>
    </row>
    <row r="24" spans="1:12" ht="15">
      <c r="A24" t="s">
        <v>21</v>
      </c>
      <c r="B24" s="12">
        <f t="shared" si="6"/>
        <v>14542</v>
      </c>
      <c r="C24" s="6">
        <f>'App 32 - Mar02 to Feb04 Revenue'!H$47</f>
        <v>11861.634704035487</v>
      </c>
      <c r="D24" s="8"/>
      <c r="E24" s="8">
        <f t="shared" si="0"/>
        <v>2680.3652959645133</v>
      </c>
      <c r="F24" s="8">
        <f t="shared" si="2"/>
        <v>74987.02993725956</v>
      </c>
      <c r="G24" s="8"/>
      <c r="H24" s="15">
        <f t="shared" si="3"/>
        <v>0.0725</v>
      </c>
      <c r="I24" s="8">
        <f t="shared" si="4"/>
        <v>436.85276554115757</v>
      </c>
      <c r="J24" s="8">
        <f t="shared" si="5"/>
        <v>3720.0414179726295</v>
      </c>
      <c r="K24" s="8"/>
      <c r="L24" s="8">
        <f t="shared" si="1"/>
        <v>78707.0713552322</v>
      </c>
    </row>
    <row r="25" spans="1:12" ht="15">
      <c r="A25" t="s">
        <v>10</v>
      </c>
      <c r="B25" s="12">
        <f t="shared" si="6"/>
        <v>14542</v>
      </c>
      <c r="C25" s="6">
        <f>'App 32 - Mar02 to Feb04 Revenue'!I$47</f>
        <v>16542.939322366452</v>
      </c>
      <c r="D25" s="8"/>
      <c r="E25" s="8">
        <f t="shared" si="0"/>
        <v>-2000.939322366452</v>
      </c>
      <c r="F25" s="8">
        <f t="shared" si="2"/>
        <v>72986.09061489311</v>
      </c>
      <c r="G25" s="8"/>
      <c r="H25" s="15">
        <f t="shared" si="3"/>
        <v>0.0725</v>
      </c>
      <c r="I25" s="8">
        <f t="shared" si="4"/>
        <v>453.0466392042765</v>
      </c>
      <c r="J25" s="8">
        <f t="shared" si="5"/>
        <v>4173.088057176906</v>
      </c>
      <c r="K25" s="8"/>
      <c r="L25" s="8">
        <f t="shared" si="1"/>
        <v>77159.17867207002</v>
      </c>
    </row>
    <row r="26" spans="1:12" ht="15">
      <c r="A26" t="s">
        <v>11</v>
      </c>
      <c r="B26" s="12">
        <f t="shared" si="6"/>
        <v>14542</v>
      </c>
      <c r="C26" s="6">
        <f>'App 32 - Mar02 to Feb04 Revenue'!J$47</f>
        <v>19110.279073439753</v>
      </c>
      <c r="D26" s="8"/>
      <c r="E26" s="8">
        <f t="shared" si="0"/>
        <v>-4568.279073439753</v>
      </c>
      <c r="F26" s="8">
        <f t="shared" si="2"/>
        <v>68417.81154145335</v>
      </c>
      <c r="G26" s="8"/>
      <c r="H26" s="15">
        <f t="shared" si="3"/>
        <v>0.0725</v>
      </c>
      <c r="I26" s="8">
        <f t="shared" si="4"/>
        <v>440.9576307983125</v>
      </c>
      <c r="J26" s="8">
        <f t="shared" si="5"/>
        <v>4614.045687975218</v>
      </c>
      <c r="K26" s="8"/>
      <c r="L26" s="8">
        <f t="shared" si="1"/>
        <v>73031.85722942857</v>
      </c>
    </row>
    <row r="27" spans="1:12" ht="15">
      <c r="A27" t="s">
        <v>12</v>
      </c>
      <c r="B27" s="13">
        <f t="shared" si="6"/>
        <v>14542</v>
      </c>
      <c r="C27" s="7">
        <f>'App 32 - Mar02 to Feb04 Revenue'!K$47</f>
        <v>20200.678671079422</v>
      </c>
      <c r="D27" s="14"/>
      <c r="E27" s="14">
        <f t="shared" si="0"/>
        <v>-5658.678671079422</v>
      </c>
      <c r="F27" s="14">
        <f t="shared" si="2"/>
        <v>62759.13287037393</v>
      </c>
      <c r="G27" s="14"/>
      <c r="H27" s="17">
        <f t="shared" si="3"/>
        <v>0.0725</v>
      </c>
      <c r="I27" s="14">
        <f t="shared" si="4"/>
        <v>413.3576113962806</v>
      </c>
      <c r="J27" s="14">
        <f t="shared" si="5"/>
        <v>5027.403299371499</v>
      </c>
      <c r="K27" s="14"/>
      <c r="L27" s="14">
        <f t="shared" si="1"/>
        <v>67786.53616974542</v>
      </c>
    </row>
    <row r="28" spans="1:12" ht="15">
      <c r="A28" s="2" t="s">
        <v>13</v>
      </c>
      <c r="B28" s="8">
        <f>SUM(B16:B27)</f>
        <v>174504</v>
      </c>
      <c r="C28" s="8">
        <f>SUM(C16:C27)</f>
        <v>149432.86712962604</v>
      </c>
      <c r="D28" s="8">
        <f>SUM(D16:D27)</f>
        <v>0</v>
      </c>
      <c r="E28" s="8">
        <f>SUM(E16:E27)</f>
        <v>25071.132870373942</v>
      </c>
      <c r="F28" s="8"/>
      <c r="G28" s="8"/>
      <c r="I28" s="8">
        <f>SUM(I16:I27)</f>
        <v>4799.704966038166</v>
      </c>
      <c r="J28" s="8"/>
      <c r="K28" s="8"/>
      <c r="L28" s="8"/>
    </row>
    <row r="29" spans="2:12" ht="15">
      <c r="B29" s="8"/>
      <c r="C29" s="8"/>
      <c r="D29" s="8"/>
      <c r="E29" s="8"/>
      <c r="F29" s="8"/>
      <c r="G29" s="8"/>
      <c r="I29" s="8"/>
      <c r="J29" s="8"/>
      <c r="K29" s="8"/>
      <c r="L29" s="8"/>
    </row>
    <row r="30" spans="2:12" ht="15">
      <c r="B30" s="8"/>
      <c r="C30" s="8"/>
      <c r="D30" s="8"/>
      <c r="E30" s="8"/>
      <c r="F30" s="8"/>
      <c r="G30" s="8"/>
      <c r="I30" s="8"/>
      <c r="J30" s="8"/>
      <c r="K30" s="8"/>
      <c r="L30" s="8"/>
    </row>
    <row r="31" spans="1:12" ht="18.75">
      <c r="A31" s="5" t="s">
        <v>0</v>
      </c>
      <c r="B31" s="19">
        <v>2003</v>
      </c>
      <c r="C31" s="8"/>
      <c r="D31" s="8"/>
      <c r="E31" s="8"/>
      <c r="F31" s="8"/>
      <c r="G31" s="8"/>
      <c r="I31" s="8"/>
      <c r="J31" s="8"/>
      <c r="K31" s="8"/>
      <c r="L31" s="8"/>
    </row>
    <row r="32" spans="2:12" ht="15">
      <c r="B32" s="10"/>
      <c r="C32" s="10"/>
      <c r="D32" s="80" t="str">
        <f>$D$5</f>
        <v>SIMPILS True-Up Adjustments    (neg = CR)</v>
      </c>
      <c r="E32" s="82" t="s">
        <v>14</v>
      </c>
      <c r="F32" s="82"/>
      <c r="G32" s="10"/>
      <c r="H32" s="82" t="s">
        <v>15</v>
      </c>
      <c r="I32" s="82"/>
      <c r="J32" s="82"/>
      <c r="K32" s="10"/>
      <c r="L32" s="80" t="s">
        <v>5</v>
      </c>
    </row>
    <row r="33" spans="2:12" ht="45">
      <c r="B33" s="11" t="s">
        <v>2</v>
      </c>
      <c r="C33" s="11" t="s">
        <v>3</v>
      </c>
      <c r="D33" s="80"/>
      <c r="E33" s="10" t="s">
        <v>4</v>
      </c>
      <c r="F33" s="10" t="s">
        <v>69</v>
      </c>
      <c r="G33" s="10"/>
      <c r="H33" s="16" t="s">
        <v>6</v>
      </c>
      <c r="I33" s="10" t="s">
        <v>4</v>
      </c>
      <c r="J33" s="10" t="s">
        <v>69</v>
      </c>
      <c r="K33" s="10"/>
      <c r="L33" s="80"/>
    </row>
    <row r="34" spans="1:12" ht="15">
      <c r="A34" t="s">
        <v>7</v>
      </c>
      <c r="B34" s="6">
        <f>'PILS Entitlement Summary'!H5</f>
        <v>17682.666666666668</v>
      </c>
      <c r="C34" s="6">
        <f>'App 32 - Mar02 to Feb04 Revenue'!L$47</f>
        <v>19863.002099342193</v>
      </c>
      <c r="D34" s="8"/>
      <c r="E34" s="8">
        <f aca="true" t="shared" si="7" ref="E34:E45">B34-C34+D34</f>
        <v>-2180.335432675525</v>
      </c>
      <c r="F34" s="8">
        <f>F27+E34</f>
        <v>60578.797437698406</v>
      </c>
      <c r="G34" s="8"/>
      <c r="H34" s="15">
        <f>H27</f>
        <v>0.0725</v>
      </c>
      <c r="I34" s="8">
        <f>H34*F27/12</f>
        <v>379.1697610918425</v>
      </c>
      <c r="J34" s="8">
        <f>J27+I34</f>
        <v>5406.573060463342</v>
      </c>
      <c r="K34" s="8"/>
      <c r="L34" s="8">
        <f aca="true" t="shared" si="8" ref="L34:L45">F34+J34</f>
        <v>65985.37049816175</v>
      </c>
    </row>
    <row r="35" spans="1:12" ht="15">
      <c r="A35" t="s">
        <v>8</v>
      </c>
      <c r="B35" s="12">
        <f>B34</f>
        <v>17682.666666666668</v>
      </c>
      <c r="C35" s="6">
        <f>'App 32 - Mar02 to Feb04 Revenue'!M$47</f>
        <v>19039.249682924987</v>
      </c>
      <c r="D35" s="8"/>
      <c r="E35" s="8">
        <f t="shared" si="7"/>
        <v>-1356.5830162583188</v>
      </c>
      <c r="F35" s="8">
        <f>F34+E35</f>
        <v>59222.21442144009</v>
      </c>
      <c r="G35" s="8"/>
      <c r="H35" s="15">
        <f>H34</f>
        <v>0.0725</v>
      </c>
      <c r="I35" s="8">
        <f>H35*F34/12</f>
        <v>365.9969011860945</v>
      </c>
      <c r="J35" s="8">
        <f>I35+J34</f>
        <v>5772.569961649437</v>
      </c>
      <c r="K35" s="8"/>
      <c r="L35" s="8">
        <f t="shared" si="8"/>
        <v>64994.78438308953</v>
      </c>
    </row>
    <row r="36" spans="1:12" ht="15">
      <c r="A36" t="s">
        <v>9</v>
      </c>
      <c r="B36" s="12">
        <f aca="true" t="shared" si="9" ref="B36:B45">B35</f>
        <v>17682.666666666668</v>
      </c>
      <c r="C36" s="6">
        <f>'App 32 - Mar02 to Feb04 Revenue'!N$47</f>
        <v>18935.91204875312</v>
      </c>
      <c r="D36" s="8"/>
      <c r="E36" s="8">
        <f t="shared" si="7"/>
        <v>-1253.245382086454</v>
      </c>
      <c r="F36" s="8">
        <f aca="true" t="shared" si="10" ref="F36:F45">F35+E36</f>
        <v>57968.96903935364</v>
      </c>
      <c r="G36" s="8"/>
      <c r="H36" s="15">
        <f aca="true" t="shared" si="11" ref="H36:H45">H35</f>
        <v>0.0725</v>
      </c>
      <c r="I36" s="8">
        <f>H36*F35/12</f>
        <v>357.80087879620055</v>
      </c>
      <c r="J36" s="8">
        <f>I36+J35</f>
        <v>6130.370840445637</v>
      </c>
      <c r="K36" s="8"/>
      <c r="L36" s="8">
        <f t="shared" si="8"/>
        <v>64099.33987979927</v>
      </c>
    </row>
    <row r="37" spans="1:12" ht="15">
      <c r="A37" t="s">
        <v>16</v>
      </c>
      <c r="B37" s="12">
        <f t="shared" si="9"/>
        <v>17682.666666666668</v>
      </c>
      <c r="C37" s="6">
        <f>'App 32 - Mar02 to Feb04 Revenue'!O$47</f>
        <v>16685.50084843354</v>
      </c>
      <c r="D37" s="8"/>
      <c r="E37" s="8">
        <f t="shared" si="7"/>
        <v>997.1658182331266</v>
      </c>
      <c r="F37" s="8">
        <f t="shared" si="10"/>
        <v>58966.13485758676</v>
      </c>
      <c r="G37" s="8"/>
      <c r="H37" s="15">
        <f t="shared" si="11"/>
        <v>0.0725</v>
      </c>
      <c r="I37" s="8">
        <f>H37*F36/12</f>
        <v>350.2291879460949</v>
      </c>
      <c r="J37" s="8">
        <f>I37+J36</f>
        <v>6480.600028391732</v>
      </c>
      <c r="K37" s="8"/>
      <c r="L37" s="8">
        <f>F37+J37</f>
        <v>65446.73488597849</v>
      </c>
    </row>
    <row r="38" spans="1:12" ht="15">
      <c r="A38" t="s">
        <v>17</v>
      </c>
      <c r="B38" s="12">
        <f t="shared" si="9"/>
        <v>17682.666666666668</v>
      </c>
      <c r="C38" s="6">
        <f>'App 32 - Mar02 to Feb04 Revenue'!P$47</f>
        <v>15174.936856026727</v>
      </c>
      <c r="D38" s="8"/>
      <c r="E38" s="8">
        <f t="shared" si="7"/>
        <v>2507.729810639941</v>
      </c>
      <c r="F38" s="8">
        <f t="shared" si="10"/>
        <v>61473.8646682267</v>
      </c>
      <c r="G38" s="8"/>
      <c r="H38" s="15">
        <f t="shared" si="11"/>
        <v>0.0725</v>
      </c>
      <c r="I38" s="8">
        <f aca="true" t="shared" si="12" ref="I38:I45">H38*F37/12</f>
        <v>356.2537314312533</v>
      </c>
      <c r="J38" s="8">
        <f aca="true" t="shared" si="13" ref="J38:J45">I38+J37</f>
        <v>6836.853759822985</v>
      </c>
      <c r="K38" s="8"/>
      <c r="L38" s="8">
        <f t="shared" si="8"/>
        <v>68310.71842804969</v>
      </c>
    </row>
    <row r="39" spans="1:12" ht="15">
      <c r="A39" t="s">
        <v>18</v>
      </c>
      <c r="B39" s="12">
        <f t="shared" si="9"/>
        <v>17682.666666666668</v>
      </c>
      <c r="C39" s="6">
        <f>'App 32 - Mar02 to Feb04 Revenue'!Q$47</f>
        <v>14604.567863321201</v>
      </c>
      <c r="D39" s="8"/>
      <c r="E39" s="8">
        <f t="shared" si="7"/>
        <v>3078.098803345467</v>
      </c>
      <c r="F39" s="8">
        <f t="shared" si="10"/>
        <v>64551.96347157216</v>
      </c>
      <c r="G39" s="8"/>
      <c r="H39" s="15">
        <f t="shared" si="11"/>
        <v>0.0725</v>
      </c>
      <c r="I39" s="8">
        <f t="shared" si="12"/>
        <v>371.4045990372029</v>
      </c>
      <c r="J39" s="8">
        <f t="shared" si="13"/>
        <v>7208.258358860188</v>
      </c>
      <c r="K39" s="8"/>
      <c r="L39" s="8">
        <f t="shared" si="8"/>
        <v>71760.22183043235</v>
      </c>
    </row>
    <row r="40" spans="1:12" ht="15">
      <c r="A40" t="s">
        <v>19</v>
      </c>
      <c r="B40" s="12">
        <f t="shared" si="9"/>
        <v>17682.666666666668</v>
      </c>
      <c r="C40" s="6">
        <f>'App 32 - Mar02 to Feb04 Revenue'!R$47</f>
        <v>14589.065807722658</v>
      </c>
      <c r="D40" s="6">
        <v>-40981</v>
      </c>
      <c r="E40" s="8">
        <f t="shared" si="7"/>
        <v>-37887.39914105599</v>
      </c>
      <c r="F40" s="8">
        <f t="shared" si="10"/>
        <v>26664.564330516172</v>
      </c>
      <c r="G40" s="8"/>
      <c r="H40" s="15">
        <f t="shared" si="11"/>
        <v>0.0725</v>
      </c>
      <c r="I40" s="8">
        <f t="shared" si="12"/>
        <v>390.00144597408183</v>
      </c>
      <c r="J40" s="8">
        <f t="shared" si="13"/>
        <v>7598.25980483427</v>
      </c>
      <c r="K40" s="8"/>
      <c r="L40" s="8">
        <f t="shared" si="8"/>
        <v>34262.82413535044</v>
      </c>
    </row>
    <row r="41" spans="1:12" ht="15">
      <c r="A41" t="s">
        <v>20</v>
      </c>
      <c r="B41" s="12">
        <f t="shared" si="9"/>
        <v>17682.666666666668</v>
      </c>
      <c r="C41" s="6">
        <f>'App 32 - Mar02 to Feb04 Revenue'!S$47</f>
        <v>14571.95021377746</v>
      </c>
      <c r="D41" s="8"/>
      <c r="E41" s="8">
        <f t="shared" si="7"/>
        <v>3110.716452889208</v>
      </c>
      <c r="F41" s="8">
        <f t="shared" si="10"/>
        <v>29775.280783405382</v>
      </c>
      <c r="G41" s="8"/>
      <c r="H41" s="15">
        <f t="shared" si="11"/>
        <v>0.0725</v>
      </c>
      <c r="I41" s="8">
        <f t="shared" si="12"/>
        <v>161.09840949686853</v>
      </c>
      <c r="J41" s="8">
        <f t="shared" si="13"/>
        <v>7759.358214331139</v>
      </c>
      <c r="K41" s="8"/>
      <c r="L41" s="8">
        <f t="shared" si="8"/>
        <v>37534.63899773652</v>
      </c>
    </row>
    <row r="42" spans="1:12" ht="15">
      <c r="A42" t="s">
        <v>21</v>
      </c>
      <c r="B42" s="12">
        <f t="shared" si="9"/>
        <v>17682.666666666668</v>
      </c>
      <c r="C42" s="6">
        <f>'App 32 - Mar02 to Feb04 Revenue'!T$47</f>
        <v>14545.221247871388</v>
      </c>
      <c r="D42" s="8"/>
      <c r="E42" s="8">
        <f t="shared" si="7"/>
        <v>3137.4454187952797</v>
      </c>
      <c r="F42" s="8">
        <f t="shared" si="10"/>
        <v>32912.72620220066</v>
      </c>
      <c r="G42" s="8"/>
      <c r="H42" s="15">
        <f t="shared" si="11"/>
        <v>0.0725</v>
      </c>
      <c r="I42" s="8">
        <f t="shared" si="12"/>
        <v>179.89232139974084</v>
      </c>
      <c r="J42" s="8">
        <f t="shared" si="13"/>
        <v>7939.250535730879</v>
      </c>
      <c r="K42" s="8"/>
      <c r="L42" s="8">
        <f t="shared" si="8"/>
        <v>40851.97673793154</v>
      </c>
    </row>
    <row r="43" spans="1:12" ht="15">
      <c r="A43" t="s">
        <v>10</v>
      </c>
      <c r="B43" s="12">
        <f t="shared" si="9"/>
        <v>17682.666666666668</v>
      </c>
      <c r="C43" s="6">
        <f>'App 32 - Mar02 to Feb04 Revenue'!U$47</f>
        <v>15991.203554149164</v>
      </c>
      <c r="D43" s="8"/>
      <c r="E43" s="8">
        <f t="shared" si="7"/>
        <v>1691.4631125175038</v>
      </c>
      <c r="F43" s="8">
        <f t="shared" si="10"/>
        <v>34604.18931471817</v>
      </c>
      <c r="G43" s="8"/>
      <c r="H43" s="15">
        <f t="shared" si="11"/>
        <v>0.0725</v>
      </c>
      <c r="I43" s="8">
        <f t="shared" si="12"/>
        <v>198.84772080496234</v>
      </c>
      <c r="J43" s="8">
        <f t="shared" si="13"/>
        <v>8138.098256535842</v>
      </c>
      <c r="K43" s="8"/>
      <c r="L43" s="8">
        <f t="shared" si="8"/>
        <v>42742.28757125401</v>
      </c>
    </row>
    <row r="44" spans="1:12" ht="15">
      <c r="A44" t="s">
        <v>11</v>
      </c>
      <c r="B44" s="12">
        <f t="shared" si="9"/>
        <v>17682.666666666668</v>
      </c>
      <c r="C44" s="6">
        <f>'App 32 - Mar02 to Feb04 Revenue'!V$47</f>
        <v>17299.885356715124</v>
      </c>
      <c r="D44" s="8"/>
      <c r="E44" s="8">
        <f t="shared" si="7"/>
        <v>382.78130995154424</v>
      </c>
      <c r="F44" s="8">
        <f t="shared" si="10"/>
        <v>34986.97062466972</v>
      </c>
      <c r="G44" s="8"/>
      <c r="H44" s="15">
        <f t="shared" si="11"/>
        <v>0.0725</v>
      </c>
      <c r="I44" s="8">
        <f t="shared" si="12"/>
        <v>209.06697710975558</v>
      </c>
      <c r="J44" s="8">
        <f t="shared" si="13"/>
        <v>8347.165233645597</v>
      </c>
      <c r="K44" s="8"/>
      <c r="L44" s="8">
        <f t="shared" si="8"/>
        <v>43334.13585831531</v>
      </c>
    </row>
    <row r="45" spans="1:12" ht="15">
      <c r="A45" t="s">
        <v>12</v>
      </c>
      <c r="B45" s="13">
        <f t="shared" si="9"/>
        <v>17682.666666666668</v>
      </c>
      <c r="C45" s="7">
        <f>'App 32 - Mar02 to Feb04 Revenue'!W$47</f>
        <v>19086.691374134316</v>
      </c>
      <c r="D45" s="14"/>
      <c r="E45" s="14">
        <f t="shared" si="7"/>
        <v>-1404.024707467648</v>
      </c>
      <c r="F45" s="14">
        <f t="shared" si="10"/>
        <v>33582.94591720207</v>
      </c>
      <c r="G45" s="14"/>
      <c r="H45" s="17">
        <f t="shared" si="11"/>
        <v>0.0725</v>
      </c>
      <c r="I45" s="14">
        <f t="shared" si="12"/>
        <v>211.37961419071289</v>
      </c>
      <c r="J45" s="14">
        <f t="shared" si="13"/>
        <v>8558.54484783631</v>
      </c>
      <c r="K45" s="14"/>
      <c r="L45" s="14">
        <f t="shared" si="8"/>
        <v>42141.49076503838</v>
      </c>
    </row>
    <row r="46" spans="1:12" ht="15">
      <c r="A46" s="2" t="s">
        <v>13</v>
      </c>
      <c r="B46" s="8">
        <f>SUM(B34:B45)</f>
        <v>212191.99999999997</v>
      </c>
      <c r="C46" s="8">
        <f>SUM(C34:C45)</f>
        <v>200387.18695317185</v>
      </c>
      <c r="D46" s="8">
        <f>SUM(D34:D45)</f>
        <v>-40981</v>
      </c>
      <c r="E46" s="8">
        <f>SUM(E34:E45)</f>
        <v>-29176.186953171866</v>
      </c>
      <c r="F46" s="8"/>
      <c r="G46" s="8"/>
      <c r="I46" s="8">
        <f>SUM(I34:I45)</f>
        <v>3531.1415484648105</v>
      </c>
      <c r="J46" s="8"/>
      <c r="K46" s="8"/>
      <c r="L46" s="8"/>
    </row>
    <row r="47" spans="2:12" ht="15">
      <c r="B47" s="8"/>
      <c r="C47" s="8"/>
      <c r="D47" s="8"/>
      <c r="E47" s="8"/>
      <c r="F47" s="8"/>
      <c r="G47" s="8"/>
      <c r="I47" s="8"/>
      <c r="J47" s="8"/>
      <c r="K47" s="8"/>
      <c r="L47" s="8"/>
    </row>
    <row r="48" spans="2:12" ht="15">
      <c r="B48" s="8"/>
      <c r="C48" s="8"/>
      <c r="D48" s="8"/>
      <c r="E48" s="8"/>
      <c r="F48" s="8"/>
      <c r="G48" s="8"/>
      <c r="I48" s="8"/>
      <c r="J48" s="8"/>
      <c r="K48" s="8"/>
      <c r="L48" s="8"/>
    </row>
    <row r="49" spans="1:12" ht="18.75">
      <c r="A49" s="5" t="s">
        <v>0</v>
      </c>
      <c r="B49" s="19">
        <v>2004</v>
      </c>
      <c r="C49" s="8"/>
      <c r="D49" s="8"/>
      <c r="E49" s="8"/>
      <c r="F49" s="8"/>
      <c r="G49" s="8"/>
      <c r="I49" s="8"/>
      <c r="J49" s="8"/>
      <c r="K49" s="8"/>
      <c r="L49" s="8"/>
    </row>
    <row r="50" spans="2:12" ht="15">
      <c r="B50" s="10"/>
      <c r="C50" s="10"/>
      <c r="D50" s="80" t="str">
        <f>$D$5</f>
        <v>SIMPILS True-Up Adjustments    (neg = CR)</v>
      </c>
      <c r="E50" s="82" t="s">
        <v>14</v>
      </c>
      <c r="F50" s="82"/>
      <c r="G50" s="10"/>
      <c r="H50" s="82" t="s">
        <v>15</v>
      </c>
      <c r="I50" s="82"/>
      <c r="J50" s="82"/>
      <c r="K50" s="10"/>
      <c r="L50" s="80" t="s">
        <v>5</v>
      </c>
    </row>
    <row r="51" spans="2:12" ht="45">
      <c r="B51" s="11" t="s">
        <v>2</v>
      </c>
      <c r="C51" s="11" t="s">
        <v>3</v>
      </c>
      <c r="D51" s="80"/>
      <c r="E51" s="10" t="s">
        <v>4</v>
      </c>
      <c r="F51" s="10" t="s">
        <v>69</v>
      </c>
      <c r="G51" s="10"/>
      <c r="H51" s="16" t="s">
        <v>6</v>
      </c>
      <c r="I51" s="10" t="s">
        <v>4</v>
      </c>
      <c r="J51" s="10" t="s">
        <v>69</v>
      </c>
      <c r="K51" s="10"/>
      <c r="L51" s="80"/>
    </row>
    <row r="52" spans="1:12" ht="15">
      <c r="A52" t="s">
        <v>7</v>
      </c>
      <c r="B52" s="12">
        <f>'PILS Entitlement Summary'!H6</f>
        <v>17682.666666666668</v>
      </c>
      <c r="C52" s="6">
        <f>'App 32 - Mar02 to Feb04 Revenue'!X$47</f>
        <v>22014.349667465438</v>
      </c>
      <c r="D52" s="8"/>
      <c r="E52" s="8">
        <f aca="true" t="shared" si="14" ref="E52:E63">B52-C52+D52</f>
        <v>-4331.68300079877</v>
      </c>
      <c r="F52" s="8">
        <f>F45+E52</f>
        <v>29251.262916403302</v>
      </c>
      <c r="G52" s="8"/>
      <c r="H52" s="15">
        <f>H45</f>
        <v>0.0725</v>
      </c>
      <c r="I52" s="8">
        <f>H52*F45/12</f>
        <v>202.89696491642917</v>
      </c>
      <c r="J52" s="8">
        <f>J45+I52</f>
        <v>8761.441812752739</v>
      </c>
      <c r="K52" s="8"/>
      <c r="L52" s="8">
        <f aca="true" t="shared" si="15" ref="L52:L63">F52+J52</f>
        <v>38012.704729156045</v>
      </c>
    </row>
    <row r="53" spans="1:12" ht="15">
      <c r="A53" t="s">
        <v>8</v>
      </c>
      <c r="B53" s="12">
        <f>B52</f>
        <v>17682.666666666668</v>
      </c>
      <c r="C53" s="6">
        <f>'App 32 - Mar02 to Feb04 Revenue'!Y$47</f>
        <v>20290.935146145108</v>
      </c>
      <c r="D53" s="8"/>
      <c r="E53" s="8">
        <f t="shared" si="14"/>
        <v>-2608.26847947844</v>
      </c>
      <c r="F53" s="8">
        <f>F52+E53</f>
        <v>26642.994436924862</v>
      </c>
      <c r="G53" s="8"/>
      <c r="H53" s="15">
        <f>H52</f>
        <v>0.0725</v>
      </c>
      <c r="I53" s="8">
        <f>H53*F52/12</f>
        <v>176.7263801199366</v>
      </c>
      <c r="J53" s="8">
        <f>I53+J52</f>
        <v>8938.168192872676</v>
      </c>
      <c r="K53" s="8"/>
      <c r="L53" s="8">
        <f t="shared" si="15"/>
        <v>35581.16262979754</v>
      </c>
    </row>
    <row r="54" spans="1:14" ht="15">
      <c r="A54" t="s">
        <v>9</v>
      </c>
      <c r="B54" s="12">
        <f>B53</f>
        <v>17682.666666666668</v>
      </c>
      <c r="C54" s="6">
        <f>'App 33 - Mar04 to Feb05 Revenue'!B36+'App 32 - Mar02 to Feb04 Revenue'!Z47</f>
        <v>18508.995273196782</v>
      </c>
      <c r="D54" s="8"/>
      <c r="E54" s="8">
        <f t="shared" si="14"/>
        <v>-826.3286065301145</v>
      </c>
      <c r="F54" s="8">
        <f aca="true" t="shared" si="16" ref="F54:F63">F53+E54</f>
        <v>25816.665830394748</v>
      </c>
      <c r="G54" s="8"/>
      <c r="H54" s="15">
        <f aca="true" t="shared" si="17" ref="H54:H63">H53</f>
        <v>0.0725</v>
      </c>
      <c r="I54" s="8">
        <f>H54*F53/12</f>
        <v>160.96809138975436</v>
      </c>
      <c r="J54" s="8">
        <f>I54+J53</f>
        <v>9099.13628426243</v>
      </c>
      <c r="K54" s="8"/>
      <c r="L54" s="8">
        <f t="shared" si="15"/>
        <v>34915.80211465718</v>
      </c>
      <c r="N54" s="21"/>
    </row>
    <row r="55" spans="1:12" ht="15">
      <c r="A55" t="s">
        <v>16</v>
      </c>
      <c r="B55" s="6">
        <f>'PILS Entitlement Summary'!H7</f>
        <v>14542</v>
      </c>
      <c r="C55" s="6">
        <f>'App 33 - Mar04 to Feb05 Revenue'!C$36</f>
        <v>14607.378026992805</v>
      </c>
      <c r="D55" s="8"/>
      <c r="E55" s="8">
        <f t="shared" si="14"/>
        <v>-65.37802699280473</v>
      </c>
      <c r="F55" s="8">
        <f t="shared" si="16"/>
        <v>25751.287803401945</v>
      </c>
      <c r="G55" s="8"/>
      <c r="H55" s="15">
        <f t="shared" si="17"/>
        <v>0.0725</v>
      </c>
      <c r="I55" s="8">
        <f>H55*F54/12</f>
        <v>155.97568939196825</v>
      </c>
      <c r="J55" s="8">
        <f>I55+J54</f>
        <v>9255.111973654397</v>
      </c>
      <c r="K55" s="8"/>
      <c r="L55" s="8">
        <f t="shared" si="15"/>
        <v>35006.399777056344</v>
      </c>
    </row>
    <row r="56" spans="1:12" ht="15">
      <c r="A56" t="s">
        <v>17</v>
      </c>
      <c r="B56" s="20">
        <f>B55</f>
        <v>14542</v>
      </c>
      <c r="C56" s="6">
        <f>'App 33 - Mar04 to Feb05 Revenue'!D$36</f>
        <v>12497.899062599843</v>
      </c>
      <c r="D56" s="8"/>
      <c r="E56" s="8">
        <f t="shared" si="14"/>
        <v>2044.100937400157</v>
      </c>
      <c r="F56" s="8">
        <f t="shared" si="16"/>
        <v>27795.388740802104</v>
      </c>
      <c r="G56" s="8"/>
      <c r="H56" s="15">
        <f t="shared" si="17"/>
        <v>0.0725</v>
      </c>
      <c r="I56" s="8">
        <f aca="true" t="shared" si="18" ref="I56:I63">H56*F55/12</f>
        <v>155.58069714555342</v>
      </c>
      <c r="J56" s="8">
        <f aca="true" t="shared" si="19" ref="J56:J63">I56+J55</f>
        <v>9410.69267079995</v>
      </c>
      <c r="K56" s="8"/>
      <c r="L56" s="8">
        <f t="shared" si="15"/>
        <v>37206.081411602056</v>
      </c>
    </row>
    <row r="57" spans="1:12" ht="15">
      <c r="A57" t="s">
        <v>18</v>
      </c>
      <c r="B57" s="20">
        <f aca="true" t="shared" si="20" ref="B57:B63">B56</f>
        <v>14542</v>
      </c>
      <c r="C57" s="6">
        <f>'App 33 - Mar04 to Feb05 Revenue'!E$36</f>
        <v>10327.485771098376</v>
      </c>
      <c r="D57" s="8"/>
      <c r="E57" s="8">
        <f t="shared" si="14"/>
        <v>4214.514228901624</v>
      </c>
      <c r="F57" s="8">
        <f t="shared" si="16"/>
        <v>32009.902969703726</v>
      </c>
      <c r="G57" s="8"/>
      <c r="H57" s="15">
        <f t="shared" si="17"/>
        <v>0.0725</v>
      </c>
      <c r="I57" s="8">
        <f t="shared" si="18"/>
        <v>167.93047364234602</v>
      </c>
      <c r="J57" s="8">
        <f t="shared" si="19"/>
        <v>9578.623144442296</v>
      </c>
      <c r="K57" s="8"/>
      <c r="L57" s="8">
        <f t="shared" si="15"/>
        <v>41588.52611414602</v>
      </c>
    </row>
    <row r="58" spans="1:12" ht="15">
      <c r="A58" t="s">
        <v>19</v>
      </c>
      <c r="B58" s="20">
        <f t="shared" si="20"/>
        <v>14542</v>
      </c>
      <c r="C58" s="6">
        <f>'App 33 - Mar04 to Feb05 Revenue'!F$36</f>
        <v>10562.373068110988</v>
      </c>
      <c r="D58" s="6">
        <v>-50578</v>
      </c>
      <c r="E58" s="8">
        <f t="shared" si="14"/>
        <v>-46598.37306811099</v>
      </c>
      <c r="F58" s="8">
        <f t="shared" si="16"/>
        <v>-14588.470098407262</v>
      </c>
      <c r="G58" s="8"/>
      <c r="H58" s="15">
        <f t="shared" si="17"/>
        <v>0.0725</v>
      </c>
      <c r="I58" s="8">
        <f t="shared" si="18"/>
        <v>193.39316377529335</v>
      </c>
      <c r="J58" s="8">
        <f t="shared" si="19"/>
        <v>9772.01630821759</v>
      </c>
      <c r="K58" s="8"/>
      <c r="L58" s="8">
        <f t="shared" si="15"/>
        <v>-4816.453790189673</v>
      </c>
    </row>
    <row r="59" spans="1:12" ht="15">
      <c r="A59" t="s">
        <v>20</v>
      </c>
      <c r="B59" s="20">
        <f t="shared" si="20"/>
        <v>14542</v>
      </c>
      <c r="C59" s="6">
        <f>'App 33 - Mar04 to Feb05 Revenue'!G$36</f>
        <v>10396.89777641854</v>
      </c>
      <c r="D59" s="8"/>
      <c r="E59" s="8">
        <f t="shared" si="14"/>
        <v>4145.10222358146</v>
      </c>
      <c r="F59" s="8">
        <f t="shared" si="16"/>
        <v>-10443.367874825803</v>
      </c>
      <c r="G59" s="8"/>
      <c r="H59" s="15">
        <f t="shared" si="17"/>
        <v>0.0725</v>
      </c>
      <c r="I59" s="8">
        <f t="shared" si="18"/>
        <v>-88.13867351121054</v>
      </c>
      <c r="J59" s="8">
        <f t="shared" si="19"/>
        <v>9683.87763470638</v>
      </c>
      <c r="K59" s="8"/>
      <c r="L59" s="8">
        <f t="shared" si="15"/>
        <v>-759.4902401194231</v>
      </c>
    </row>
    <row r="60" spans="1:12" ht="15">
      <c r="A60" t="s">
        <v>21</v>
      </c>
      <c r="B60" s="20">
        <f t="shared" si="20"/>
        <v>14542</v>
      </c>
      <c r="C60" s="6">
        <f>'App 33 - Mar04 to Feb05 Revenue'!H$36</f>
        <v>10237.010962901513</v>
      </c>
      <c r="D60" s="8"/>
      <c r="E60" s="8">
        <f t="shared" si="14"/>
        <v>4304.989037098487</v>
      </c>
      <c r="F60" s="8">
        <f t="shared" si="16"/>
        <v>-6138.378837727316</v>
      </c>
      <c r="G60" s="8"/>
      <c r="H60" s="15">
        <f t="shared" si="17"/>
        <v>0.0725</v>
      </c>
      <c r="I60" s="8">
        <f t="shared" si="18"/>
        <v>-63.09534757707255</v>
      </c>
      <c r="J60" s="8">
        <f t="shared" si="19"/>
        <v>9620.782287129306</v>
      </c>
      <c r="K60" s="8"/>
      <c r="L60" s="8">
        <f t="shared" si="15"/>
        <v>3482.4034494019907</v>
      </c>
    </row>
    <row r="61" spans="1:12" ht="15">
      <c r="A61" t="s">
        <v>10</v>
      </c>
      <c r="B61" s="20">
        <f t="shared" si="20"/>
        <v>14542</v>
      </c>
      <c r="C61" s="6">
        <f>'App 33 - Mar04 to Feb05 Revenue'!I$36</f>
        <v>12850.001537982836</v>
      </c>
      <c r="D61" s="8"/>
      <c r="E61" s="8">
        <f t="shared" si="14"/>
        <v>1691.9984620171635</v>
      </c>
      <c r="F61" s="8">
        <f t="shared" si="16"/>
        <v>-4446.380375710152</v>
      </c>
      <c r="G61" s="8"/>
      <c r="H61" s="15">
        <f t="shared" si="17"/>
        <v>0.0725</v>
      </c>
      <c r="I61" s="8">
        <f t="shared" si="18"/>
        <v>-37.0860388112692</v>
      </c>
      <c r="J61" s="8">
        <f t="shared" si="19"/>
        <v>9583.696248318038</v>
      </c>
      <c r="K61" s="8"/>
      <c r="L61" s="8">
        <f t="shared" si="15"/>
        <v>5137.3158726078855</v>
      </c>
    </row>
    <row r="62" spans="1:12" ht="15">
      <c r="A62" t="s">
        <v>11</v>
      </c>
      <c r="B62" s="20">
        <f t="shared" si="20"/>
        <v>14542</v>
      </c>
      <c r="C62" s="6">
        <f>'App 33 - Mar04 to Feb05 Revenue'!J$36</f>
        <v>15436.49461382661</v>
      </c>
      <c r="D62" s="8"/>
      <c r="E62" s="8">
        <f t="shared" si="14"/>
        <v>-894.4946138266096</v>
      </c>
      <c r="F62" s="8">
        <f t="shared" si="16"/>
        <v>-5340.874989536762</v>
      </c>
      <c r="G62" s="8"/>
      <c r="H62" s="15">
        <f t="shared" si="17"/>
        <v>0.0725</v>
      </c>
      <c r="I62" s="8">
        <f t="shared" si="18"/>
        <v>-26.863548103248835</v>
      </c>
      <c r="J62" s="8">
        <f t="shared" si="19"/>
        <v>9556.832700214789</v>
      </c>
      <c r="K62" s="8"/>
      <c r="L62" s="8">
        <f t="shared" si="15"/>
        <v>4215.957710678027</v>
      </c>
    </row>
    <row r="63" spans="1:12" ht="15">
      <c r="A63" t="s">
        <v>12</v>
      </c>
      <c r="B63" s="13">
        <f t="shared" si="20"/>
        <v>14542</v>
      </c>
      <c r="C63" s="7">
        <f>'App 33 - Mar04 to Feb05 Revenue'!K$36</f>
        <v>20993.2311796617</v>
      </c>
      <c r="D63" s="14"/>
      <c r="E63" s="14">
        <f t="shared" si="14"/>
        <v>-6451.2311796617</v>
      </c>
      <c r="F63" s="14">
        <f t="shared" si="16"/>
        <v>-11792.106169198461</v>
      </c>
      <c r="G63" s="14"/>
      <c r="H63" s="17">
        <f t="shared" si="17"/>
        <v>0.0725</v>
      </c>
      <c r="I63" s="14">
        <f t="shared" si="18"/>
        <v>-32.26778639511793</v>
      </c>
      <c r="J63" s="14">
        <f t="shared" si="19"/>
        <v>9524.564913819671</v>
      </c>
      <c r="K63" s="14"/>
      <c r="L63" s="14">
        <f t="shared" si="15"/>
        <v>-2267.54125537879</v>
      </c>
    </row>
    <row r="64" spans="1:12" ht="15">
      <c r="A64" s="2" t="s">
        <v>13</v>
      </c>
      <c r="B64" s="8">
        <f>SUM(B52:B63)</f>
        <v>183926</v>
      </c>
      <c r="C64" s="8">
        <f>SUM(C52:C63)</f>
        <v>178723.05208640057</v>
      </c>
      <c r="D64" s="8">
        <f>SUM(D52:D63)</f>
        <v>-50578</v>
      </c>
      <c r="E64" s="8">
        <f>SUM(E52:E63)</f>
        <v>-45375.05208640054</v>
      </c>
      <c r="F64" s="8"/>
      <c r="G64" s="8"/>
      <c r="I64" s="8">
        <f>SUM(I52:I63)</f>
        <v>966.0200659833621</v>
      </c>
      <c r="J64" s="8"/>
      <c r="K64" s="8"/>
      <c r="L64" s="8"/>
    </row>
    <row r="65" spans="2:12" ht="15">
      <c r="B65" s="8"/>
      <c r="C65" s="8"/>
      <c r="D65" s="8"/>
      <c r="E65" s="8"/>
      <c r="F65" s="8"/>
      <c r="G65" s="8"/>
      <c r="I65" s="8"/>
      <c r="J65" s="8"/>
      <c r="K65" s="8"/>
      <c r="L65" s="8"/>
    </row>
    <row r="66" spans="2:12" ht="15">
      <c r="B66" s="8"/>
      <c r="C66" s="8"/>
      <c r="D66" s="8"/>
      <c r="E66" s="8"/>
      <c r="F66" s="8"/>
      <c r="G66" s="8"/>
      <c r="I66" s="8"/>
      <c r="J66" s="8"/>
      <c r="K66" s="8"/>
      <c r="L66" s="8"/>
    </row>
    <row r="67" spans="1:12" ht="18.75">
      <c r="A67" s="5" t="s">
        <v>0</v>
      </c>
      <c r="B67" s="19">
        <v>2005</v>
      </c>
      <c r="C67" s="8"/>
      <c r="D67" s="8"/>
      <c r="E67" s="8"/>
      <c r="F67" s="8"/>
      <c r="G67" s="8"/>
      <c r="I67" s="8"/>
      <c r="J67" s="8"/>
      <c r="K67" s="8"/>
      <c r="L67" s="8"/>
    </row>
    <row r="68" spans="2:12" ht="15">
      <c r="B68" s="10"/>
      <c r="C68" s="10"/>
      <c r="D68" s="80" t="str">
        <f>$D$5</f>
        <v>SIMPILS True-Up Adjustments    (neg = CR)</v>
      </c>
      <c r="E68" s="82" t="s">
        <v>14</v>
      </c>
      <c r="F68" s="82"/>
      <c r="G68" s="10"/>
      <c r="H68" s="82" t="s">
        <v>15</v>
      </c>
      <c r="I68" s="82"/>
      <c r="J68" s="82"/>
      <c r="K68" s="10"/>
      <c r="L68" s="80" t="s">
        <v>5</v>
      </c>
    </row>
    <row r="69" spans="2:12" ht="45">
      <c r="B69" s="11" t="s">
        <v>2</v>
      </c>
      <c r="C69" s="11" t="s">
        <v>3</v>
      </c>
      <c r="D69" s="80"/>
      <c r="E69" s="10" t="s">
        <v>4</v>
      </c>
      <c r="F69" s="10" t="s">
        <v>69</v>
      </c>
      <c r="G69" s="10"/>
      <c r="H69" s="16" t="s">
        <v>6</v>
      </c>
      <c r="I69" s="10" t="s">
        <v>4</v>
      </c>
      <c r="J69" s="10" t="s">
        <v>69</v>
      </c>
      <c r="K69" s="10"/>
      <c r="L69" s="80"/>
    </row>
    <row r="70" spans="1:12" ht="15">
      <c r="A70" t="s">
        <v>7</v>
      </c>
      <c r="B70" s="12">
        <f>B63</f>
        <v>14542</v>
      </c>
      <c r="C70" s="6">
        <f>'App 33 - Mar04 to Feb05 Revenue'!L$36</f>
        <v>22818.12508276827</v>
      </c>
      <c r="D70" s="8"/>
      <c r="E70" s="8">
        <f aca="true" t="shared" si="21" ref="E70:E81">B70-C70+D70</f>
        <v>-8276.12508276827</v>
      </c>
      <c r="F70" s="8">
        <f>F63+E70</f>
        <v>-20068.231251966732</v>
      </c>
      <c r="G70" s="8"/>
      <c r="H70" s="15">
        <f>H63</f>
        <v>0.0725</v>
      </c>
      <c r="I70" s="8">
        <f>H70*F63/12</f>
        <v>-71.24397477224069</v>
      </c>
      <c r="J70" s="8">
        <f>J63+I70</f>
        <v>9453.320939047431</v>
      </c>
      <c r="K70" s="8"/>
      <c r="L70" s="8">
        <f aca="true" t="shared" si="22" ref="L70:L81">F70+J70</f>
        <v>-10614.9103129193</v>
      </c>
    </row>
    <row r="71" spans="1:14" ht="15">
      <c r="A71" t="s">
        <v>8</v>
      </c>
      <c r="B71" s="12">
        <f>B63</f>
        <v>14542</v>
      </c>
      <c r="C71" s="6">
        <f>'App 33 - Mar04 to Feb05 Revenue'!M$36</f>
        <v>19596.405515106402</v>
      </c>
      <c r="D71" s="8"/>
      <c r="E71" s="8">
        <f t="shared" si="21"/>
        <v>-5054.405515106402</v>
      </c>
      <c r="F71" s="8">
        <f>F70+E71</f>
        <v>-25122.636767073134</v>
      </c>
      <c r="G71" s="8"/>
      <c r="H71" s="15">
        <f>H70</f>
        <v>0.0725</v>
      </c>
      <c r="I71" s="8">
        <f>H71*F70/12</f>
        <v>-121.24556381396566</v>
      </c>
      <c r="J71" s="8">
        <f>I71+J70</f>
        <v>9332.075375233466</v>
      </c>
      <c r="K71" s="8"/>
      <c r="L71" s="8">
        <f t="shared" si="22"/>
        <v>-15790.561391839668</v>
      </c>
      <c r="N71" s="21"/>
    </row>
    <row r="72" spans="1:12" ht="15">
      <c r="A72" t="s">
        <v>9</v>
      </c>
      <c r="B72" s="12">
        <f>B71</f>
        <v>14542</v>
      </c>
      <c r="C72" s="6">
        <f>'App 34 - Mar05 to Apr06 Revenue'!B36+'App 33 - Mar04 to Feb05 Revenue'!N36</f>
        <v>17354.38539706909</v>
      </c>
      <c r="D72" s="8"/>
      <c r="E72" s="8">
        <f t="shared" si="21"/>
        <v>-2812.3853970690907</v>
      </c>
      <c r="F72" s="8">
        <f aca="true" t="shared" si="23" ref="F72:F81">F71+E72</f>
        <v>-27935.022164142225</v>
      </c>
      <c r="G72" s="8"/>
      <c r="H72" s="15">
        <f aca="true" t="shared" si="24" ref="H72:H81">H71</f>
        <v>0.0725</v>
      </c>
      <c r="I72" s="8">
        <f>H72*F71/12</f>
        <v>-151.78259713440016</v>
      </c>
      <c r="J72" s="8">
        <f>I72+J71</f>
        <v>9180.292778099065</v>
      </c>
      <c r="K72" s="8"/>
      <c r="L72" s="8">
        <f t="shared" si="22"/>
        <v>-18754.72938604316</v>
      </c>
    </row>
    <row r="73" spans="1:12" ht="15">
      <c r="A73" t="s">
        <v>16</v>
      </c>
      <c r="B73" s="6">
        <f>'PILS Entitlement Summary'!H8</f>
        <v>13139</v>
      </c>
      <c r="C73" s="6">
        <f>'App 34 - Mar05 to Apr06 Revenue'!C$36</f>
        <v>11862.71763748702</v>
      </c>
      <c r="D73" s="8"/>
      <c r="E73" s="8">
        <f t="shared" si="21"/>
        <v>1276.2823625129804</v>
      </c>
      <c r="F73" s="8">
        <f t="shared" si="23"/>
        <v>-26658.739801629243</v>
      </c>
      <c r="G73" s="8"/>
      <c r="H73" s="15">
        <f t="shared" si="24"/>
        <v>0.0725</v>
      </c>
      <c r="I73" s="8">
        <f>H73*F72/12</f>
        <v>-168.7740922416926</v>
      </c>
      <c r="J73" s="8">
        <f>I73+J72</f>
        <v>9011.518685857372</v>
      </c>
      <c r="K73" s="8"/>
      <c r="L73" s="8">
        <f t="shared" si="22"/>
        <v>-17647.22111577187</v>
      </c>
    </row>
    <row r="74" spans="1:12" ht="15">
      <c r="A74" t="s">
        <v>17</v>
      </c>
      <c r="B74" s="12">
        <f>B73</f>
        <v>13139</v>
      </c>
      <c r="C74" s="6">
        <f>'App 34 - Mar05 to Apr06 Revenue'!D$36</f>
        <v>10668.96985258356</v>
      </c>
      <c r="D74" s="8"/>
      <c r="E74" s="8">
        <f t="shared" si="21"/>
        <v>2470.0301474164407</v>
      </c>
      <c r="F74" s="8">
        <f t="shared" si="23"/>
        <v>-24188.709654212802</v>
      </c>
      <c r="G74" s="8"/>
      <c r="H74" s="15">
        <f t="shared" si="24"/>
        <v>0.0725</v>
      </c>
      <c r="I74" s="8">
        <f aca="true" t="shared" si="25" ref="I74:I81">H74*F73/12</f>
        <v>-161.06321963484334</v>
      </c>
      <c r="J74" s="8">
        <f aca="true" t="shared" si="26" ref="J74:J81">I74+J73</f>
        <v>8850.45546622253</v>
      </c>
      <c r="K74" s="8"/>
      <c r="L74" s="8">
        <f t="shared" si="22"/>
        <v>-15338.254187990273</v>
      </c>
    </row>
    <row r="75" spans="1:12" ht="15">
      <c r="A75" t="s">
        <v>18</v>
      </c>
      <c r="B75" s="12">
        <f aca="true" t="shared" si="27" ref="B75:B81">B74</f>
        <v>13139</v>
      </c>
      <c r="C75" s="6">
        <f>'App 34 - Mar05 to Apr06 Revenue'!E$36</f>
        <v>9708.9152324829</v>
      </c>
      <c r="D75" s="8"/>
      <c r="E75" s="8">
        <f t="shared" si="21"/>
        <v>3430.0847675171008</v>
      </c>
      <c r="F75" s="8">
        <f t="shared" si="23"/>
        <v>-20758.624886695703</v>
      </c>
      <c r="G75" s="8"/>
      <c r="H75" s="15">
        <f t="shared" si="24"/>
        <v>0.0725</v>
      </c>
      <c r="I75" s="8">
        <f t="shared" si="25"/>
        <v>-146.14012082753567</v>
      </c>
      <c r="J75" s="8">
        <f t="shared" si="26"/>
        <v>8704.315345394993</v>
      </c>
      <c r="K75" s="8"/>
      <c r="L75" s="8">
        <f t="shared" si="22"/>
        <v>-12054.30954130071</v>
      </c>
    </row>
    <row r="76" spans="1:12" ht="15">
      <c r="A76" t="s">
        <v>19</v>
      </c>
      <c r="B76" s="12">
        <f t="shared" si="27"/>
        <v>13139</v>
      </c>
      <c r="C76" s="6">
        <f>'App 34 - Mar05 to Apr06 Revenue'!F$36</f>
        <v>10035.961160835033</v>
      </c>
      <c r="D76" s="6">
        <v>-54512</v>
      </c>
      <c r="E76" s="8">
        <f t="shared" si="21"/>
        <v>-51408.96116083503</v>
      </c>
      <c r="F76" s="8">
        <f t="shared" si="23"/>
        <v>-72167.58604753073</v>
      </c>
      <c r="G76" s="8"/>
      <c r="H76" s="15">
        <f t="shared" si="24"/>
        <v>0.0725</v>
      </c>
      <c r="I76" s="8">
        <f t="shared" si="25"/>
        <v>-125.41669202378654</v>
      </c>
      <c r="J76" s="8">
        <f t="shared" si="26"/>
        <v>8578.898653371207</v>
      </c>
      <c r="K76" s="8"/>
      <c r="L76" s="8">
        <f t="shared" si="22"/>
        <v>-63588.68739415952</v>
      </c>
    </row>
    <row r="77" spans="1:12" ht="14.25">
      <c r="A77" t="s">
        <v>20</v>
      </c>
      <c r="B77" s="12">
        <f t="shared" si="27"/>
        <v>13139</v>
      </c>
      <c r="C77" s="6">
        <f>'App 34 - Mar05 to Apr06 Revenue'!G$36</f>
        <v>9541.478450627288</v>
      </c>
      <c r="D77" s="8"/>
      <c r="E77" s="8">
        <f t="shared" si="21"/>
        <v>3597.521549372712</v>
      </c>
      <c r="F77" s="8">
        <f t="shared" si="23"/>
        <v>-68570.06449815801</v>
      </c>
      <c r="G77" s="8"/>
      <c r="H77" s="15">
        <f t="shared" si="24"/>
        <v>0.0725</v>
      </c>
      <c r="I77" s="8">
        <f t="shared" si="25"/>
        <v>-436.0124990371648</v>
      </c>
      <c r="J77" s="8">
        <f t="shared" si="26"/>
        <v>8142.886154334042</v>
      </c>
      <c r="K77" s="8"/>
      <c r="L77" s="8">
        <f t="shared" si="22"/>
        <v>-60427.17834382397</v>
      </c>
    </row>
    <row r="78" spans="1:12" ht="14.25">
      <c r="A78" t="s">
        <v>21</v>
      </c>
      <c r="B78" s="12">
        <f t="shared" si="27"/>
        <v>13139</v>
      </c>
      <c r="C78" s="6">
        <f>'App 34 - Mar05 to Apr06 Revenue'!H$36</f>
        <v>9211.5503615567</v>
      </c>
      <c r="D78" s="8"/>
      <c r="E78" s="8">
        <f t="shared" si="21"/>
        <v>3927.4496384433005</v>
      </c>
      <c r="F78" s="8">
        <f t="shared" si="23"/>
        <v>-64642.61485971471</v>
      </c>
      <c r="G78" s="8"/>
      <c r="H78" s="15">
        <f t="shared" si="24"/>
        <v>0.0725</v>
      </c>
      <c r="I78" s="8">
        <f t="shared" si="25"/>
        <v>-414.27747300970464</v>
      </c>
      <c r="J78" s="8">
        <f t="shared" si="26"/>
        <v>7728.608681324337</v>
      </c>
      <c r="K78" s="8"/>
      <c r="L78" s="8">
        <f t="shared" si="22"/>
        <v>-56914.00617839037</v>
      </c>
    </row>
    <row r="79" spans="1:12" ht="14.25">
      <c r="A79" t="s">
        <v>10</v>
      </c>
      <c r="B79" s="12">
        <f t="shared" si="27"/>
        <v>13139</v>
      </c>
      <c r="C79" s="6">
        <f>'App 34 - Mar05 to Apr06 Revenue'!I$36</f>
        <v>10707.64041503315</v>
      </c>
      <c r="D79" s="8"/>
      <c r="E79" s="8">
        <f t="shared" si="21"/>
        <v>2431.359584966851</v>
      </c>
      <c r="F79" s="8">
        <f t="shared" si="23"/>
        <v>-62211.25527474786</v>
      </c>
      <c r="G79" s="8"/>
      <c r="H79" s="15">
        <f t="shared" si="24"/>
        <v>0.0725</v>
      </c>
      <c r="I79" s="8">
        <f t="shared" si="25"/>
        <v>-390.54913144410966</v>
      </c>
      <c r="J79" s="8">
        <f t="shared" si="26"/>
        <v>7338.059549880228</v>
      </c>
      <c r="K79" s="8"/>
      <c r="L79" s="8">
        <f t="shared" si="22"/>
        <v>-54873.19572486763</v>
      </c>
    </row>
    <row r="80" spans="1:12" ht="14.25">
      <c r="A80" t="s">
        <v>11</v>
      </c>
      <c r="B80" s="12">
        <f t="shared" si="27"/>
        <v>13139</v>
      </c>
      <c r="C80" s="6">
        <f>'App 34 - Mar05 to Apr06 Revenue'!J$36</f>
        <v>13346.113186590173</v>
      </c>
      <c r="D80" s="8"/>
      <c r="E80" s="8">
        <f t="shared" si="21"/>
        <v>-207.11318659017343</v>
      </c>
      <c r="F80" s="8">
        <f t="shared" si="23"/>
        <v>-62418.36846133803</v>
      </c>
      <c r="G80" s="8"/>
      <c r="H80" s="15">
        <f t="shared" si="24"/>
        <v>0.0725</v>
      </c>
      <c r="I80" s="8">
        <f t="shared" si="25"/>
        <v>-375.859667284935</v>
      </c>
      <c r="J80" s="8">
        <f t="shared" si="26"/>
        <v>6962.199882595292</v>
      </c>
      <c r="K80" s="8"/>
      <c r="L80" s="8">
        <f t="shared" si="22"/>
        <v>-55456.16857874274</v>
      </c>
    </row>
    <row r="81" spans="1:12" ht="14.25">
      <c r="A81" t="s">
        <v>12</v>
      </c>
      <c r="B81" s="13">
        <f t="shared" si="27"/>
        <v>13139</v>
      </c>
      <c r="C81" s="7">
        <f>'App 34 - Mar05 to Apr06 Revenue'!K$36</f>
        <v>16625.532089770153</v>
      </c>
      <c r="D81" s="14"/>
      <c r="E81" s="14">
        <f t="shared" si="21"/>
        <v>-3486.532089770153</v>
      </c>
      <c r="F81" s="14">
        <f t="shared" si="23"/>
        <v>-65904.90055110818</v>
      </c>
      <c r="G81" s="14"/>
      <c r="H81" s="17">
        <f t="shared" si="24"/>
        <v>0.0725</v>
      </c>
      <c r="I81" s="14">
        <f t="shared" si="25"/>
        <v>-377.1109761205839</v>
      </c>
      <c r="J81" s="14">
        <f t="shared" si="26"/>
        <v>6585.088906474708</v>
      </c>
      <c r="K81" s="14"/>
      <c r="L81" s="14">
        <f t="shared" si="22"/>
        <v>-59319.81164463347</v>
      </c>
    </row>
    <row r="82" spans="1:12" ht="14.25">
      <c r="A82" s="2" t="s">
        <v>13</v>
      </c>
      <c r="B82" s="8">
        <f>SUM(B70:B81)</f>
        <v>161877</v>
      </c>
      <c r="C82" s="8">
        <f>SUM(C70:C81)</f>
        <v>161477.79438190974</v>
      </c>
      <c r="D82" s="8">
        <f>SUM(D70:D81)</f>
        <v>-54512</v>
      </c>
      <c r="E82" s="8">
        <f>SUM(E70:E81)</f>
        <v>-54112.794381909735</v>
      </c>
      <c r="F82" s="8"/>
      <c r="G82" s="8"/>
      <c r="I82" s="8">
        <f>SUM(I70:I81)</f>
        <v>-2939.4760073449625</v>
      </c>
      <c r="J82" s="8"/>
      <c r="K82" s="8"/>
      <c r="L82" s="8"/>
    </row>
    <row r="83" spans="2:12" ht="14.25">
      <c r="B83" s="8"/>
      <c r="C83" s="8"/>
      <c r="D83" s="8"/>
      <c r="E83" s="8"/>
      <c r="F83" s="8"/>
      <c r="G83" s="8"/>
      <c r="I83" s="8"/>
      <c r="J83" s="8"/>
      <c r="K83" s="8"/>
      <c r="L83" s="8"/>
    </row>
    <row r="84" spans="2:12" ht="14.25">
      <c r="B84" s="8"/>
      <c r="C84" s="8"/>
      <c r="D84" s="8"/>
      <c r="E84" s="8"/>
      <c r="F84" s="8"/>
      <c r="G84" s="8"/>
      <c r="I84" s="8"/>
      <c r="J84" s="8"/>
      <c r="K84" s="8"/>
      <c r="L84" s="8"/>
    </row>
    <row r="85" spans="1:12" ht="18">
      <c r="A85" s="5" t="s">
        <v>0</v>
      </c>
      <c r="B85" s="19">
        <v>2006</v>
      </c>
      <c r="C85" s="8"/>
      <c r="D85" s="8"/>
      <c r="E85" s="8"/>
      <c r="F85" s="8"/>
      <c r="G85" s="8"/>
      <c r="I85" s="8"/>
      <c r="J85" s="8"/>
      <c r="K85" s="8"/>
      <c r="L85" s="8"/>
    </row>
    <row r="86" spans="2:12" ht="14.25">
      <c r="B86" s="10"/>
      <c r="C86" s="10"/>
      <c r="D86" s="80" t="str">
        <f>$D$5</f>
        <v>SIMPILS True-Up Adjustments    (neg = CR)</v>
      </c>
      <c r="E86" s="82" t="s">
        <v>14</v>
      </c>
      <c r="F86" s="82"/>
      <c r="G86" s="10"/>
      <c r="H86" s="82" t="s">
        <v>15</v>
      </c>
      <c r="I86" s="82"/>
      <c r="J86" s="82"/>
      <c r="K86" s="10"/>
      <c r="L86" s="80" t="s">
        <v>5</v>
      </c>
    </row>
    <row r="87" spans="2:12" ht="28.5">
      <c r="B87" s="11" t="s">
        <v>2</v>
      </c>
      <c r="C87" s="11" t="s">
        <v>3</v>
      </c>
      <c r="D87" s="80"/>
      <c r="E87" s="10" t="s">
        <v>4</v>
      </c>
      <c r="F87" s="10" t="s">
        <v>69</v>
      </c>
      <c r="G87" s="10"/>
      <c r="H87" s="16" t="s">
        <v>6</v>
      </c>
      <c r="I87" s="10" t="s">
        <v>4</v>
      </c>
      <c r="J87" s="10" t="s">
        <v>69</v>
      </c>
      <c r="K87" s="10"/>
      <c r="L87" s="80"/>
    </row>
    <row r="88" spans="1:12" ht="14.25">
      <c r="A88" t="s">
        <v>7</v>
      </c>
      <c r="B88" s="12">
        <f>B81</f>
        <v>13139</v>
      </c>
      <c r="C88" s="6">
        <f>'App 34 - Mar05 to Apr06 Revenue'!L$36</f>
        <v>16825.89660371534</v>
      </c>
      <c r="D88" s="8"/>
      <c r="E88" s="8">
        <f aca="true" t="shared" si="28" ref="E88:E99">B88-C88+D88</f>
        <v>-3686.8966037153405</v>
      </c>
      <c r="F88" s="8">
        <f>F81+E88</f>
        <v>-69591.79715482352</v>
      </c>
      <c r="G88" s="8"/>
      <c r="H88" s="15">
        <f>H81</f>
        <v>0.0725</v>
      </c>
      <c r="I88" s="8">
        <f>H88*F81/12</f>
        <v>-398.1754408296119</v>
      </c>
      <c r="J88" s="8">
        <f>J81+I88</f>
        <v>6186.913465645096</v>
      </c>
      <c r="K88" s="8"/>
      <c r="L88" s="8">
        <f aca="true" t="shared" si="29" ref="L88:L99">F88+J88</f>
        <v>-63404.88368917842</v>
      </c>
    </row>
    <row r="89" spans="1:12" ht="14.25">
      <c r="A89" t="s">
        <v>8</v>
      </c>
      <c r="B89" s="12">
        <f>B88</f>
        <v>13139</v>
      </c>
      <c r="C89" s="6">
        <f>'App 34 - Mar05 to Apr06 Revenue'!M$36</f>
        <v>15698.368638136593</v>
      </c>
      <c r="D89" s="8"/>
      <c r="E89" s="8">
        <f t="shared" si="28"/>
        <v>-2559.3686381365933</v>
      </c>
      <c r="F89" s="8">
        <f>F88+E89</f>
        <v>-72151.16579296012</v>
      </c>
      <c r="G89" s="8"/>
      <c r="H89" s="15">
        <f>H88</f>
        <v>0.0725</v>
      </c>
      <c r="I89" s="8">
        <f>H89*F88/12</f>
        <v>-420.4504411437254</v>
      </c>
      <c r="J89" s="8">
        <f>I89+J88</f>
        <v>5766.4630245013705</v>
      </c>
      <c r="K89" s="8"/>
      <c r="L89" s="8">
        <f t="shared" si="29"/>
        <v>-66384.70276845875</v>
      </c>
    </row>
    <row r="90" spans="1:12" ht="14.25">
      <c r="A90" t="s">
        <v>9</v>
      </c>
      <c r="B90" s="12">
        <f>B89</f>
        <v>13139</v>
      </c>
      <c r="C90" s="6">
        <f>'App 34 - Mar05 to Apr06 Revenue'!N$36</f>
        <v>15540.414784331</v>
      </c>
      <c r="D90" s="8"/>
      <c r="E90" s="8">
        <f t="shared" si="28"/>
        <v>-2401.414784331</v>
      </c>
      <c r="F90" s="8">
        <f aca="true" t="shared" si="30" ref="F90:F99">F89+E90</f>
        <v>-74552.58057729113</v>
      </c>
      <c r="G90" s="8"/>
      <c r="H90" s="15">
        <f aca="true" t="shared" si="31" ref="H90:H99">H89</f>
        <v>0.0725</v>
      </c>
      <c r="I90" s="8">
        <f>H90*F89/12</f>
        <v>-435.9132933324674</v>
      </c>
      <c r="J90" s="8">
        <f>I90+J89</f>
        <v>5330.549731168903</v>
      </c>
      <c r="K90" s="8"/>
      <c r="L90" s="8">
        <f t="shared" si="29"/>
        <v>-69222.03084612222</v>
      </c>
    </row>
    <row r="91" spans="1:12" ht="14.25">
      <c r="A91" t="s">
        <v>16</v>
      </c>
      <c r="B91" s="12">
        <f>B90</f>
        <v>13139</v>
      </c>
      <c r="C91" s="6">
        <f>'App 34 - Mar05 to Apr06 Revenue'!O$36</f>
        <v>11689.59965114523</v>
      </c>
      <c r="D91" s="8"/>
      <c r="E91" s="8">
        <f t="shared" si="28"/>
        <v>1449.4003488547696</v>
      </c>
      <c r="F91" s="8">
        <f t="shared" si="30"/>
        <v>-73103.18022843635</v>
      </c>
      <c r="G91" s="8"/>
      <c r="H91" s="18">
        <f>H90</f>
        <v>0.0725</v>
      </c>
      <c r="I91" s="8">
        <f>H91*F90/12</f>
        <v>-450.4218409878005</v>
      </c>
      <c r="J91" s="8">
        <f>I91+J90</f>
        <v>4880.127890181103</v>
      </c>
      <c r="K91" s="8"/>
      <c r="L91" s="8">
        <f t="shared" si="29"/>
        <v>-68223.05233825525</v>
      </c>
    </row>
    <row r="92" spans="1:12" ht="14.25">
      <c r="A92" t="s">
        <v>17</v>
      </c>
      <c r="B92" s="12"/>
      <c r="C92" s="6">
        <f>'App 34 - Mar05 to Apr06 Revenue'!P$36</f>
        <v>5128.361233206911</v>
      </c>
      <c r="D92" s="8"/>
      <c r="E92" s="8">
        <f t="shared" si="28"/>
        <v>-5128.361233206911</v>
      </c>
      <c r="F92" s="8">
        <f t="shared" si="30"/>
        <v>-78231.54146164327</v>
      </c>
      <c r="G92" s="8"/>
      <c r="H92" s="4">
        <v>0.0414</v>
      </c>
      <c r="I92" s="8">
        <f aca="true" t="shared" si="32" ref="I92:I99">H92*F91/12</f>
        <v>-252.20597178810542</v>
      </c>
      <c r="J92" s="8">
        <f aca="true" t="shared" si="33" ref="J92:J99">I92+J91</f>
        <v>4627.921918392997</v>
      </c>
      <c r="K92" s="8"/>
      <c r="L92" s="8">
        <f t="shared" si="29"/>
        <v>-73603.61954325027</v>
      </c>
    </row>
    <row r="93" spans="1:12" ht="14.25">
      <c r="A93" t="s">
        <v>18</v>
      </c>
      <c r="B93" s="12"/>
      <c r="C93" s="12"/>
      <c r="D93" s="8"/>
      <c r="E93" s="8">
        <f t="shared" si="28"/>
        <v>0</v>
      </c>
      <c r="F93" s="8">
        <f t="shared" si="30"/>
        <v>-78231.54146164327</v>
      </c>
      <c r="G93" s="8"/>
      <c r="H93" s="15">
        <f t="shared" si="31"/>
        <v>0.0414</v>
      </c>
      <c r="I93" s="8">
        <f t="shared" si="32"/>
        <v>-269.89881804266923</v>
      </c>
      <c r="J93" s="8">
        <f t="shared" si="33"/>
        <v>4358.023100350328</v>
      </c>
      <c r="K93" s="8"/>
      <c r="L93" s="8">
        <f t="shared" si="29"/>
        <v>-73873.51836129294</v>
      </c>
    </row>
    <row r="94" spans="1:12" ht="14.25">
      <c r="A94" t="s">
        <v>19</v>
      </c>
      <c r="B94" s="12"/>
      <c r="C94" s="12"/>
      <c r="D94" s="6">
        <v>-30744</v>
      </c>
      <c r="E94" s="8">
        <f t="shared" si="28"/>
        <v>-30744</v>
      </c>
      <c r="F94" s="8">
        <f t="shared" si="30"/>
        <v>-108975.54146164327</v>
      </c>
      <c r="G94" s="8"/>
      <c r="H94" s="4">
        <v>0.0459</v>
      </c>
      <c r="I94" s="8">
        <f t="shared" si="32"/>
        <v>-299.2356460907855</v>
      </c>
      <c r="J94" s="8">
        <f t="shared" si="33"/>
        <v>4058.7874542595423</v>
      </c>
      <c r="K94" s="8"/>
      <c r="L94" s="8">
        <f t="shared" si="29"/>
        <v>-104916.75400738373</v>
      </c>
    </row>
    <row r="95" spans="1:12" ht="14.25">
      <c r="A95" t="s">
        <v>20</v>
      </c>
      <c r="B95" s="12"/>
      <c r="C95" s="12"/>
      <c r="D95" s="8"/>
      <c r="E95" s="8">
        <f t="shared" si="28"/>
        <v>0</v>
      </c>
      <c r="F95" s="8">
        <f t="shared" si="30"/>
        <v>-108975.54146164327</v>
      </c>
      <c r="G95" s="8"/>
      <c r="H95" s="15">
        <f t="shared" si="31"/>
        <v>0.0459</v>
      </c>
      <c r="I95" s="8">
        <f t="shared" si="32"/>
        <v>-416.8314460907855</v>
      </c>
      <c r="J95" s="8">
        <f t="shared" si="33"/>
        <v>3641.956008168757</v>
      </c>
      <c r="K95" s="8"/>
      <c r="L95" s="8">
        <f t="shared" si="29"/>
        <v>-105333.58545347452</v>
      </c>
    </row>
    <row r="96" spans="1:12" ht="14.25">
      <c r="A96" t="s">
        <v>21</v>
      </c>
      <c r="B96" s="12"/>
      <c r="C96" s="12"/>
      <c r="D96" s="8"/>
      <c r="E96" s="8">
        <f t="shared" si="28"/>
        <v>0</v>
      </c>
      <c r="F96" s="8">
        <f t="shared" si="30"/>
        <v>-108975.54146164327</v>
      </c>
      <c r="G96" s="8"/>
      <c r="H96" s="15">
        <f t="shared" si="31"/>
        <v>0.0459</v>
      </c>
      <c r="I96" s="8">
        <f t="shared" si="32"/>
        <v>-416.8314460907855</v>
      </c>
      <c r="J96" s="8">
        <f t="shared" si="33"/>
        <v>3225.1245620779714</v>
      </c>
      <c r="K96" s="8"/>
      <c r="L96" s="8">
        <f t="shared" si="29"/>
        <v>-105750.4168995653</v>
      </c>
    </row>
    <row r="97" spans="1:12" ht="14.25">
      <c r="A97" t="s">
        <v>10</v>
      </c>
      <c r="B97" s="12"/>
      <c r="C97" s="12"/>
      <c r="D97" s="8"/>
      <c r="E97" s="8">
        <f t="shared" si="28"/>
        <v>0</v>
      </c>
      <c r="F97" s="8">
        <f t="shared" si="30"/>
        <v>-108975.54146164327</v>
      </c>
      <c r="G97" s="8"/>
      <c r="H97" s="18">
        <f t="shared" si="31"/>
        <v>0.0459</v>
      </c>
      <c r="I97" s="8">
        <f t="shared" si="32"/>
        <v>-416.8314460907855</v>
      </c>
      <c r="J97" s="8">
        <f t="shared" si="33"/>
        <v>2808.293115987186</v>
      </c>
      <c r="K97" s="8"/>
      <c r="L97" s="8">
        <f t="shared" si="29"/>
        <v>-106167.24834565609</v>
      </c>
    </row>
    <row r="98" spans="1:12" ht="14.25">
      <c r="A98" t="s">
        <v>11</v>
      </c>
      <c r="B98" s="12"/>
      <c r="C98" s="12"/>
      <c r="D98" s="8"/>
      <c r="E98" s="8">
        <f t="shared" si="28"/>
        <v>0</v>
      </c>
      <c r="F98" s="8">
        <f t="shared" si="30"/>
        <v>-108975.54146164327</v>
      </c>
      <c r="G98" s="8"/>
      <c r="H98" s="15">
        <f t="shared" si="31"/>
        <v>0.0459</v>
      </c>
      <c r="I98" s="8">
        <f t="shared" si="32"/>
        <v>-416.8314460907855</v>
      </c>
      <c r="J98" s="8">
        <f t="shared" si="33"/>
        <v>2391.4616698964005</v>
      </c>
      <c r="K98" s="8"/>
      <c r="L98" s="8">
        <f t="shared" si="29"/>
        <v>-106584.07979174687</v>
      </c>
    </row>
    <row r="99" spans="1:12" ht="14.25">
      <c r="A99" t="s">
        <v>12</v>
      </c>
      <c r="B99" s="13"/>
      <c r="C99" s="13"/>
      <c r="D99" s="14"/>
      <c r="E99" s="14">
        <f t="shared" si="28"/>
        <v>0</v>
      </c>
      <c r="F99" s="14">
        <f t="shared" si="30"/>
        <v>-108975.54146164327</v>
      </c>
      <c r="G99" s="14"/>
      <c r="H99" s="17">
        <f t="shared" si="31"/>
        <v>0.0459</v>
      </c>
      <c r="I99" s="14">
        <f t="shared" si="32"/>
        <v>-416.8314460907855</v>
      </c>
      <c r="J99" s="14">
        <f t="shared" si="33"/>
        <v>1974.630223805615</v>
      </c>
      <c r="K99" s="14"/>
      <c r="L99" s="14">
        <f t="shared" si="29"/>
        <v>-107000.91123783766</v>
      </c>
    </row>
    <row r="100" spans="1:14" ht="14.25">
      <c r="A100" s="2" t="s">
        <v>13</v>
      </c>
      <c r="B100" s="8">
        <f>SUM(B88:B99)</f>
        <v>52556</v>
      </c>
      <c r="C100" s="8">
        <f>SUM(C88:C99)</f>
        <v>64882.640910535076</v>
      </c>
      <c r="D100" s="8">
        <f>SUM(D88:D99)</f>
        <v>-30744</v>
      </c>
      <c r="E100" s="8">
        <f>SUM(E88:E99)</f>
        <v>-43070.640910535076</v>
      </c>
      <c r="F100" s="8"/>
      <c r="G100" s="8"/>
      <c r="I100" s="8">
        <f>SUM(I88:I99)</f>
        <v>-4610.458682669093</v>
      </c>
      <c r="J100" s="8"/>
      <c r="K100" s="8"/>
      <c r="L100" s="8"/>
      <c r="N100" s="21"/>
    </row>
    <row r="101" spans="1:12" ht="30" customHeight="1">
      <c r="A101" s="37" t="s">
        <v>111</v>
      </c>
      <c r="B101" s="8"/>
      <c r="C101" s="8"/>
      <c r="D101" s="8"/>
      <c r="E101" s="8"/>
      <c r="F101" s="8"/>
      <c r="G101" s="8"/>
      <c r="I101" s="8"/>
      <c r="J101" s="8"/>
      <c r="K101" s="8"/>
      <c r="L101" s="8"/>
    </row>
    <row r="102" spans="2:12" ht="14.25">
      <c r="B102" s="8"/>
      <c r="C102" s="8"/>
      <c r="D102" s="8"/>
      <c r="E102" s="8"/>
      <c r="F102" s="8"/>
      <c r="G102" s="8"/>
      <c r="I102" s="8"/>
      <c r="J102" s="8"/>
      <c r="K102" s="8"/>
      <c r="L102" s="8"/>
    </row>
    <row r="103" spans="1:12" ht="18">
      <c r="A103" s="5" t="s">
        <v>0</v>
      </c>
      <c r="B103" s="19">
        <v>2007</v>
      </c>
      <c r="C103" s="8"/>
      <c r="D103" s="8"/>
      <c r="E103" s="8"/>
      <c r="F103" s="8"/>
      <c r="G103" s="8"/>
      <c r="I103" s="8"/>
      <c r="J103" s="8"/>
      <c r="K103" s="8"/>
      <c r="L103" s="8"/>
    </row>
    <row r="104" spans="2:12" ht="14.25">
      <c r="B104" s="10"/>
      <c r="C104" s="10"/>
      <c r="D104" s="80" t="str">
        <f>$D$5</f>
        <v>SIMPILS True-Up Adjustments    (neg = CR)</v>
      </c>
      <c r="E104" s="82" t="s">
        <v>14</v>
      </c>
      <c r="F104" s="82"/>
      <c r="G104" s="10"/>
      <c r="H104" s="82" t="s">
        <v>15</v>
      </c>
      <c r="I104" s="82"/>
      <c r="J104" s="82"/>
      <c r="K104" s="10"/>
      <c r="L104" s="80" t="s">
        <v>5</v>
      </c>
    </row>
    <row r="105" spans="2:12" ht="28.5">
      <c r="B105" s="11" t="s">
        <v>2</v>
      </c>
      <c r="C105" s="11" t="s">
        <v>3</v>
      </c>
      <c r="D105" s="80"/>
      <c r="E105" s="10" t="s">
        <v>4</v>
      </c>
      <c r="F105" s="10" t="s">
        <v>69</v>
      </c>
      <c r="G105" s="10"/>
      <c r="H105" s="16" t="s">
        <v>6</v>
      </c>
      <c r="I105" s="10" t="s">
        <v>4</v>
      </c>
      <c r="J105" s="10" t="s">
        <v>69</v>
      </c>
      <c r="K105" s="10"/>
      <c r="L105" s="80"/>
    </row>
    <row r="106" spans="1:12" ht="14.25">
      <c r="A106" t="s">
        <v>7</v>
      </c>
      <c r="B106" s="12"/>
      <c r="C106" s="12"/>
      <c r="D106" s="8"/>
      <c r="E106" s="8">
        <f aca="true" t="shared" si="34" ref="E106:E117">B106-C106+D106</f>
        <v>0</v>
      </c>
      <c r="F106" s="8">
        <f>F99+E106</f>
        <v>-108975.54146164327</v>
      </c>
      <c r="G106" s="8"/>
      <c r="H106" s="15">
        <f>H99</f>
        <v>0.0459</v>
      </c>
      <c r="I106" s="8">
        <f>H106*F99/12</f>
        <v>-416.8314460907855</v>
      </c>
      <c r="J106" s="8">
        <f>J99+I106</f>
        <v>1557.7987777148296</v>
      </c>
      <c r="K106" s="8"/>
      <c r="L106" s="8">
        <f aca="true" t="shared" si="35" ref="L106:L117">F106+J106</f>
        <v>-107417.74268392845</v>
      </c>
    </row>
    <row r="107" spans="1:12" ht="14.25">
      <c r="A107" t="s">
        <v>8</v>
      </c>
      <c r="B107" s="12"/>
      <c r="C107" s="12"/>
      <c r="D107" s="8"/>
      <c r="E107" s="8">
        <f t="shared" si="34"/>
        <v>0</v>
      </c>
      <c r="F107" s="8">
        <f>F106+E107</f>
        <v>-108975.54146164327</v>
      </c>
      <c r="G107" s="8"/>
      <c r="H107" s="15">
        <f>H106</f>
        <v>0.0459</v>
      </c>
      <c r="I107" s="8">
        <f>H107*F106/12</f>
        <v>-416.8314460907855</v>
      </c>
      <c r="J107" s="8">
        <f>I107+J106</f>
        <v>1140.9673316240442</v>
      </c>
      <c r="K107" s="8"/>
      <c r="L107" s="8">
        <f t="shared" si="35"/>
        <v>-107834.57413001923</v>
      </c>
    </row>
    <row r="108" spans="1:12" ht="14.25">
      <c r="A108" t="s">
        <v>9</v>
      </c>
      <c r="B108" s="12"/>
      <c r="C108" s="12"/>
      <c r="D108" s="8"/>
      <c r="E108" s="8">
        <f t="shared" si="34"/>
        <v>0</v>
      </c>
      <c r="F108" s="8">
        <f aca="true" t="shared" si="36" ref="F108:F117">F107+E108</f>
        <v>-108975.54146164327</v>
      </c>
      <c r="G108" s="8"/>
      <c r="H108" s="15">
        <f aca="true" t="shared" si="37" ref="H108:H117">H107</f>
        <v>0.0459</v>
      </c>
      <c r="I108" s="8">
        <f>H108*F107/12</f>
        <v>-416.8314460907855</v>
      </c>
      <c r="J108" s="8">
        <f>I108+J107</f>
        <v>724.1358855332587</v>
      </c>
      <c r="K108" s="8"/>
      <c r="L108" s="8">
        <f t="shared" si="35"/>
        <v>-108251.40557611</v>
      </c>
    </row>
    <row r="109" spans="1:12" ht="14.25">
      <c r="A109" t="s">
        <v>16</v>
      </c>
      <c r="B109" s="12"/>
      <c r="C109" s="12"/>
      <c r="D109" s="8"/>
      <c r="E109" s="8">
        <f t="shared" si="34"/>
        <v>0</v>
      </c>
      <c r="F109" s="8">
        <f t="shared" si="36"/>
        <v>-108975.54146164327</v>
      </c>
      <c r="G109" s="8"/>
      <c r="H109" s="15">
        <f t="shared" si="37"/>
        <v>0.0459</v>
      </c>
      <c r="I109" s="8">
        <f>H109*F108/12</f>
        <v>-416.8314460907855</v>
      </c>
      <c r="J109" s="8">
        <f>I109+J108</f>
        <v>307.3044394424732</v>
      </c>
      <c r="K109" s="8"/>
      <c r="L109" s="8">
        <f t="shared" si="35"/>
        <v>-108668.23702220079</v>
      </c>
    </row>
    <row r="110" spans="1:12" ht="14.25">
      <c r="A110" t="s">
        <v>17</v>
      </c>
      <c r="B110" s="12"/>
      <c r="C110" s="12"/>
      <c r="D110" s="8"/>
      <c r="E110" s="8">
        <f t="shared" si="34"/>
        <v>0</v>
      </c>
      <c r="F110" s="8">
        <f t="shared" si="36"/>
        <v>-108975.54146164327</v>
      </c>
      <c r="G110" s="8"/>
      <c r="H110" s="15">
        <f t="shared" si="37"/>
        <v>0.0459</v>
      </c>
      <c r="I110" s="8">
        <f aca="true" t="shared" si="38" ref="I110:I117">H110*F109/12</f>
        <v>-416.8314460907855</v>
      </c>
      <c r="J110" s="8">
        <f aca="true" t="shared" si="39" ref="J110:J117">I110+J109</f>
        <v>-109.5270066483123</v>
      </c>
      <c r="K110" s="8"/>
      <c r="L110" s="8">
        <f t="shared" si="35"/>
        <v>-109085.06846829157</v>
      </c>
    </row>
    <row r="111" spans="1:12" ht="14.25">
      <c r="A111" t="s">
        <v>18</v>
      </c>
      <c r="B111" s="12"/>
      <c r="C111" s="12"/>
      <c r="D111" s="8"/>
      <c r="E111" s="8">
        <f t="shared" si="34"/>
        <v>0</v>
      </c>
      <c r="F111" s="8">
        <f t="shared" si="36"/>
        <v>-108975.54146164327</v>
      </c>
      <c r="G111" s="8"/>
      <c r="H111" s="15">
        <f t="shared" si="37"/>
        <v>0.0459</v>
      </c>
      <c r="I111" s="8">
        <f t="shared" si="38"/>
        <v>-416.8314460907855</v>
      </c>
      <c r="J111" s="8">
        <f t="shared" si="39"/>
        <v>-526.3584527390979</v>
      </c>
      <c r="K111" s="8"/>
      <c r="L111" s="8">
        <f t="shared" si="35"/>
        <v>-109501.89991438236</v>
      </c>
    </row>
    <row r="112" spans="1:12" ht="14.25">
      <c r="A112" t="s">
        <v>19</v>
      </c>
      <c r="B112" s="12"/>
      <c r="C112" s="12"/>
      <c r="D112" s="8"/>
      <c r="E112" s="8">
        <f t="shared" si="34"/>
        <v>0</v>
      </c>
      <c r="F112" s="8">
        <f t="shared" si="36"/>
        <v>-108975.54146164327</v>
      </c>
      <c r="G112" s="8"/>
      <c r="H112" s="15">
        <f t="shared" si="37"/>
        <v>0.0459</v>
      </c>
      <c r="I112" s="8">
        <f t="shared" si="38"/>
        <v>-416.8314460907855</v>
      </c>
      <c r="J112" s="8">
        <f t="shared" si="39"/>
        <v>-943.1898988298833</v>
      </c>
      <c r="K112" s="8"/>
      <c r="L112" s="8">
        <f t="shared" si="35"/>
        <v>-109918.73136047315</v>
      </c>
    </row>
    <row r="113" spans="1:12" ht="14.25">
      <c r="A113" t="s">
        <v>20</v>
      </c>
      <c r="B113" s="12"/>
      <c r="C113" s="12"/>
      <c r="D113" s="8"/>
      <c r="E113" s="8">
        <f t="shared" si="34"/>
        <v>0</v>
      </c>
      <c r="F113" s="8">
        <f t="shared" si="36"/>
        <v>-108975.54146164327</v>
      </c>
      <c r="G113" s="8"/>
      <c r="H113" s="15">
        <f t="shared" si="37"/>
        <v>0.0459</v>
      </c>
      <c r="I113" s="8">
        <f t="shared" si="38"/>
        <v>-416.8314460907855</v>
      </c>
      <c r="J113" s="8">
        <f t="shared" si="39"/>
        <v>-1360.0213449206688</v>
      </c>
      <c r="K113" s="8"/>
      <c r="L113" s="8">
        <f t="shared" si="35"/>
        <v>-110335.56280656393</v>
      </c>
    </row>
    <row r="114" spans="1:12" ht="14.25">
      <c r="A114" t="s">
        <v>21</v>
      </c>
      <c r="B114" s="12"/>
      <c r="C114" s="12"/>
      <c r="D114" s="8"/>
      <c r="E114" s="8">
        <f t="shared" si="34"/>
        <v>0</v>
      </c>
      <c r="F114" s="8">
        <f t="shared" si="36"/>
        <v>-108975.54146164327</v>
      </c>
      <c r="G114" s="8"/>
      <c r="H114" s="15">
        <f t="shared" si="37"/>
        <v>0.0459</v>
      </c>
      <c r="I114" s="8">
        <f t="shared" si="38"/>
        <v>-416.8314460907855</v>
      </c>
      <c r="J114" s="8">
        <f t="shared" si="39"/>
        <v>-1776.8527910114542</v>
      </c>
      <c r="K114" s="8"/>
      <c r="L114" s="8">
        <f t="shared" si="35"/>
        <v>-110752.39425265472</v>
      </c>
    </row>
    <row r="115" spans="1:12" ht="14.25">
      <c r="A115" t="s">
        <v>10</v>
      </c>
      <c r="B115" s="12"/>
      <c r="C115" s="12"/>
      <c r="D115" s="8"/>
      <c r="E115" s="8">
        <f t="shared" si="34"/>
        <v>0</v>
      </c>
      <c r="F115" s="8">
        <f t="shared" si="36"/>
        <v>-108975.54146164327</v>
      </c>
      <c r="G115" s="8"/>
      <c r="H115" s="4">
        <v>0.0514</v>
      </c>
      <c r="I115" s="8">
        <f t="shared" si="38"/>
        <v>-466.77856926070535</v>
      </c>
      <c r="J115" s="8">
        <f t="shared" si="39"/>
        <v>-2243.6313602721593</v>
      </c>
      <c r="K115" s="8"/>
      <c r="L115" s="8">
        <f t="shared" si="35"/>
        <v>-111219.17282191543</v>
      </c>
    </row>
    <row r="116" spans="1:12" ht="14.25">
      <c r="A116" t="s">
        <v>11</v>
      </c>
      <c r="B116" s="12"/>
      <c r="C116" s="12"/>
      <c r="D116" s="8"/>
      <c r="E116" s="8">
        <f t="shared" si="34"/>
        <v>0</v>
      </c>
      <c r="F116" s="8">
        <f t="shared" si="36"/>
        <v>-108975.54146164327</v>
      </c>
      <c r="G116" s="8"/>
      <c r="H116" s="15">
        <f t="shared" si="37"/>
        <v>0.0514</v>
      </c>
      <c r="I116" s="8">
        <f t="shared" si="38"/>
        <v>-466.77856926070535</v>
      </c>
      <c r="J116" s="8">
        <f t="shared" si="39"/>
        <v>-2710.4099295328647</v>
      </c>
      <c r="K116" s="8"/>
      <c r="L116" s="8">
        <f t="shared" si="35"/>
        <v>-111685.95139117613</v>
      </c>
    </row>
    <row r="117" spans="1:12" ht="14.25">
      <c r="A117" t="s">
        <v>12</v>
      </c>
      <c r="B117" s="13"/>
      <c r="C117" s="13"/>
      <c r="D117" s="14"/>
      <c r="E117" s="14">
        <f t="shared" si="34"/>
        <v>0</v>
      </c>
      <c r="F117" s="14">
        <f t="shared" si="36"/>
        <v>-108975.54146164327</v>
      </c>
      <c r="G117" s="14"/>
      <c r="H117" s="17">
        <f t="shared" si="37"/>
        <v>0.0514</v>
      </c>
      <c r="I117" s="14">
        <f t="shared" si="38"/>
        <v>-466.77856926070535</v>
      </c>
      <c r="J117" s="14">
        <f t="shared" si="39"/>
        <v>-3177.18849879357</v>
      </c>
      <c r="K117" s="14"/>
      <c r="L117" s="14">
        <f t="shared" si="35"/>
        <v>-112152.72996043685</v>
      </c>
    </row>
    <row r="118" spans="1:12" ht="14.25">
      <c r="A118" s="2" t="s">
        <v>13</v>
      </c>
      <c r="B118" s="8">
        <f>SUM(B106:B117)</f>
        <v>0</v>
      </c>
      <c r="C118" s="8">
        <f>SUM(C106:C117)</f>
        <v>0</v>
      </c>
      <c r="D118" s="8">
        <f>SUM(D106:D117)</f>
        <v>0</v>
      </c>
      <c r="E118" s="8">
        <f>SUM(E106:E117)</f>
        <v>0</v>
      </c>
      <c r="F118" s="8"/>
      <c r="G118" s="8"/>
      <c r="I118" s="8">
        <f>SUM(I106:I117)</f>
        <v>-5151.818722599184</v>
      </c>
      <c r="J118" s="8"/>
      <c r="K118" s="8"/>
      <c r="L118" s="8"/>
    </row>
    <row r="119" spans="2:12" ht="14.25">
      <c r="B119" s="8"/>
      <c r="C119" s="8"/>
      <c r="D119" s="8"/>
      <c r="E119" s="8"/>
      <c r="F119" s="8"/>
      <c r="G119" s="8"/>
      <c r="I119" s="8"/>
      <c r="J119" s="8"/>
      <c r="K119" s="8"/>
      <c r="L119" s="8"/>
    </row>
    <row r="120" spans="2:12" ht="14.25">
      <c r="B120" s="8"/>
      <c r="C120" s="8"/>
      <c r="D120" s="8"/>
      <c r="E120" s="8"/>
      <c r="F120" s="8"/>
      <c r="G120" s="8"/>
      <c r="I120" s="8"/>
      <c r="J120" s="8"/>
      <c r="K120" s="8"/>
      <c r="L120" s="8"/>
    </row>
    <row r="121" spans="1:12" ht="18">
      <c r="A121" s="5" t="s">
        <v>0</v>
      </c>
      <c r="B121" s="19">
        <v>2008</v>
      </c>
      <c r="C121" s="8"/>
      <c r="D121" s="8"/>
      <c r="E121" s="8"/>
      <c r="F121" s="8"/>
      <c r="G121" s="8"/>
      <c r="I121" s="8"/>
      <c r="J121" s="8"/>
      <c r="K121" s="8"/>
      <c r="L121" s="8"/>
    </row>
    <row r="122" spans="2:12" ht="14.25">
      <c r="B122" s="10"/>
      <c r="C122" s="10"/>
      <c r="D122" s="80" t="str">
        <f>$D$5</f>
        <v>SIMPILS True-Up Adjustments    (neg = CR)</v>
      </c>
      <c r="E122" s="82" t="s">
        <v>14</v>
      </c>
      <c r="F122" s="82"/>
      <c r="G122" s="10"/>
      <c r="H122" s="82" t="s">
        <v>15</v>
      </c>
      <c r="I122" s="82"/>
      <c r="J122" s="82"/>
      <c r="K122" s="10"/>
      <c r="L122" s="80" t="s">
        <v>5</v>
      </c>
    </row>
    <row r="123" spans="2:12" ht="28.5">
      <c r="B123" s="11" t="s">
        <v>2</v>
      </c>
      <c r="C123" s="11" t="s">
        <v>3</v>
      </c>
      <c r="D123" s="80"/>
      <c r="E123" s="10" t="s">
        <v>4</v>
      </c>
      <c r="F123" s="10" t="s">
        <v>69</v>
      </c>
      <c r="G123" s="10"/>
      <c r="H123" s="16" t="s">
        <v>6</v>
      </c>
      <c r="I123" s="10" t="s">
        <v>4</v>
      </c>
      <c r="J123" s="10" t="s">
        <v>69</v>
      </c>
      <c r="K123" s="10"/>
      <c r="L123" s="80"/>
    </row>
    <row r="124" spans="1:12" ht="14.25">
      <c r="A124" t="s">
        <v>7</v>
      </c>
      <c r="B124" s="12"/>
      <c r="C124" s="12"/>
      <c r="D124" s="8"/>
      <c r="E124" s="8">
        <f aca="true" t="shared" si="40" ref="E124:E135">B124-C124+D124</f>
        <v>0</v>
      </c>
      <c r="F124" s="8">
        <f>F117+E124</f>
        <v>-108975.54146164327</v>
      </c>
      <c r="G124" s="8"/>
      <c r="H124" s="15">
        <f>H117</f>
        <v>0.0514</v>
      </c>
      <c r="I124" s="8">
        <f>H124*F117/12</f>
        <v>-466.77856926070535</v>
      </c>
      <c r="J124" s="8">
        <f>J117+I124</f>
        <v>-3643.9670680542754</v>
      </c>
      <c r="K124" s="8"/>
      <c r="L124" s="8">
        <f aca="true" t="shared" si="41" ref="L124:L135">F124+J124</f>
        <v>-112619.50852969754</v>
      </c>
    </row>
    <row r="125" spans="1:12" ht="14.25">
      <c r="A125" t="s">
        <v>8</v>
      </c>
      <c r="B125" s="12"/>
      <c r="C125" s="12"/>
      <c r="D125" s="8"/>
      <c r="E125" s="8">
        <f t="shared" si="40"/>
        <v>0</v>
      </c>
      <c r="F125" s="8">
        <f>F124+E125</f>
        <v>-108975.54146164327</v>
      </c>
      <c r="G125" s="8"/>
      <c r="H125" s="15">
        <f>H124</f>
        <v>0.0514</v>
      </c>
      <c r="I125" s="8">
        <f>H125*F124/12</f>
        <v>-466.77856926070535</v>
      </c>
      <c r="J125" s="8">
        <f>I125+J124</f>
        <v>-4110.745637314981</v>
      </c>
      <c r="K125" s="8"/>
      <c r="L125" s="8">
        <f t="shared" si="41"/>
        <v>-113086.28709895824</v>
      </c>
    </row>
    <row r="126" spans="1:12" ht="14.25">
      <c r="A126" t="s">
        <v>9</v>
      </c>
      <c r="B126" s="12"/>
      <c r="C126" s="12"/>
      <c r="D126" s="8"/>
      <c r="E126" s="8">
        <f t="shared" si="40"/>
        <v>0</v>
      </c>
      <c r="F126" s="8">
        <f aca="true" t="shared" si="42" ref="F126:F135">F125+E126</f>
        <v>-108975.54146164327</v>
      </c>
      <c r="G126" s="8"/>
      <c r="H126" s="15">
        <f aca="true" t="shared" si="43" ref="H126:H135">H125</f>
        <v>0.0514</v>
      </c>
      <c r="I126" s="8">
        <f>H126*F125/12</f>
        <v>-466.77856926070535</v>
      </c>
      <c r="J126" s="8">
        <f>I126+J125</f>
        <v>-4577.524206575687</v>
      </c>
      <c r="K126" s="8"/>
      <c r="L126" s="8">
        <f t="shared" si="41"/>
        <v>-113553.06566821896</v>
      </c>
    </row>
    <row r="127" spans="1:12" ht="14.25">
      <c r="A127" t="s">
        <v>16</v>
      </c>
      <c r="B127" s="12"/>
      <c r="C127" s="12"/>
      <c r="D127" s="8"/>
      <c r="E127" s="8">
        <f t="shared" si="40"/>
        <v>0</v>
      </c>
      <c r="F127" s="8">
        <f t="shared" si="42"/>
        <v>-108975.54146164327</v>
      </c>
      <c r="G127" s="8"/>
      <c r="H127" s="4">
        <v>0.0408</v>
      </c>
      <c r="I127" s="8">
        <f>H127*F126/12</f>
        <v>-370.5168409695871</v>
      </c>
      <c r="J127" s="8">
        <f>I127+J126</f>
        <v>-4948.041047545274</v>
      </c>
      <c r="K127" s="8"/>
      <c r="L127" s="8">
        <f t="shared" si="41"/>
        <v>-113923.58250918853</v>
      </c>
    </row>
    <row r="128" spans="1:12" ht="14.25">
      <c r="A128" t="s">
        <v>17</v>
      </c>
      <c r="B128" s="12"/>
      <c r="C128" s="12"/>
      <c r="D128" s="8"/>
      <c r="E128" s="8">
        <f t="shared" si="40"/>
        <v>0</v>
      </c>
      <c r="F128" s="8">
        <f t="shared" si="42"/>
        <v>-108975.54146164327</v>
      </c>
      <c r="G128" s="8"/>
      <c r="H128" s="15">
        <f t="shared" si="43"/>
        <v>0.0408</v>
      </c>
      <c r="I128" s="8">
        <f aca="true" t="shared" si="44" ref="I128:I135">H128*F127/12</f>
        <v>-370.5168409695871</v>
      </c>
      <c r="J128" s="8">
        <f aca="true" t="shared" si="45" ref="J128:J135">I128+J127</f>
        <v>-5318.557888514861</v>
      </c>
      <c r="K128" s="8"/>
      <c r="L128" s="8">
        <f t="shared" si="41"/>
        <v>-114294.09935015813</v>
      </c>
    </row>
    <row r="129" spans="1:12" ht="14.25">
      <c r="A129" t="s">
        <v>18</v>
      </c>
      <c r="B129" s="12"/>
      <c r="C129" s="12"/>
      <c r="D129" s="8"/>
      <c r="E129" s="8">
        <f t="shared" si="40"/>
        <v>0</v>
      </c>
      <c r="F129" s="8">
        <f t="shared" si="42"/>
        <v>-108975.54146164327</v>
      </c>
      <c r="G129" s="8"/>
      <c r="H129" s="15">
        <f t="shared" si="43"/>
        <v>0.0408</v>
      </c>
      <c r="I129" s="8">
        <f t="shared" si="44"/>
        <v>-370.5168409695871</v>
      </c>
      <c r="J129" s="8">
        <f t="shared" si="45"/>
        <v>-5689.074729484448</v>
      </c>
      <c r="K129" s="8"/>
      <c r="L129" s="8">
        <f t="shared" si="41"/>
        <v>-114664.61619112772</v>
      </c>
    </row>
    <row r="130" spans="1:12" ht="14.25">
      <c r="A130" t="s">
        <v>19</v>
      </c>
      <c r="B130" s="12"/>
      <c r="C130" s="12"/>
      <c r="D130" s="8"/>
      <c r="E130" s="8">
        <f t="shared" si="40"/>
        <v>0</v>
      </c>
      <c r="F130" s="8">
        <f t="shared" si="42"/>
        <v>-108975.54146164327</v>
      </c>
      <c r="G130" s="8"/>
      <c r="H130" s="4">
        <v>0.0335</v>
      </c>
      <c r="I130" s="8">
        <f t="shared" si="44"/>
        <v>-304.2233865804208</v>
      </c>
      <c r="J130" s="8">
        <f t="shared" si="45"/>
        <v>-5993.298116064869</v>
      </c>
      <c r="K130" s="8"/>
      <c r="L130" s="8">
        <f t="shared" si="41"/>
        <v>-114968.83957770813</v>
      </c>
    </row>
    <row r="131" spans="1:12" ht="14.25">
      <c r="A131" t="s">
        <v>20</v>
      </c>
      <c r="B131" s="12"/>
      <c r="C131" s="12"/>
      <c r="D131" s="8"/>
      <c r="E131" s="8">
        <f t="shared" si="40"/>
        <v>0</v>
      </c>
      <c r="F131" s="8">
        <f t="shared" si="42"/>
        <v>-108975.54146164327</v>
      </c>
      <c r="G131" s="8"/>
      <c r="H131" s="15">
        <f t="shared" si="43"/>
        <v>0.0335</v>
      </c>
      <c r="I131" s="8">
        <f t="shared" si="44"/>
        <v>-304.2233865804208</v>
      </c>
      <c r="J131" s="8">
        <f t="shared" si="45"/>
        <v>-6297.52150264529</v>
      </c>
      <c r="K131" s="8"/>
      <c r="L131" s="8">
        <f t="shared" si="41"/>
        <v>-115273.06296428856</v>
      </c>
    </row>
    <row r="132" spans="1:12" ht="14.25">
      <c r="A132" t="s">
        <v>21</v>
      </c>
      <c r="B132" s="12"/>
      <c r="C132" s="12"/>
      <c r="D132" s="8"/>
      <c r="E132" s="8">
        <f t="shared" si="40"/>
        <v>0</v>
      </c>
      <c r="F132" s="8">
        <f t="shared" si="42"/>
        <v>-108975.54146164327</v>
      </c>
      <c r="G132" s="8"/>
      <c r="H132" s="15">
        <f t="shared" si="43"/>
        <v>0.0335</v>
      </c>
      <c r="I132" s="8">
        <f t="shared" si="44"/>
        <v>-304.2233865804208</v>
      </c>
      <c r="J132" s="8">
        <f t="shared" si="45"/>
        <v>-6601.744889225711</v>
      </c>
      <c r="K132" s="8"/>
      <c r="L132" s="8">
        <f t="shared" si="41"/>
        <v>-115577.28635086898</v>
      </c>
    </row>
    <row r="133" spans="1:12" ht="14.25">
      <c r="A133" t="s">
        <v>10</v>
      </c>
      <c r="B133" s="12"/>
      <c r="C133" s="12"/>
      <c r="D133" s="8"/>
      <c r="E133" s="8">
        <f t="shared" si="40"/>
        <v>0</v>
      </c>
      <c r="F133" s="8">
        <f t="shared" si="42"/>
        <v>-108975.54146164327</v>
      </c>
      <c r="G133" s="8"/>
      <c r="H133" s="18">
        <f>H132</f>
        <v>0.0335</v>
      </c>
      <c r="I133" s="8">
        <f t="shared" si="44"/>
        <v>-304.2233865804208</v>
      </c>
      <c r="J133" s="8">
        <f t="shared" si="45"/>
        <v>-6905.968275806132</v>
      </c>
      <c r="K133" s="8"/>
      <c r="L133" s="8">
        <f t="shared" si="41"/>
        <v>-115881.5097374494</v>
      </c>
    </row>
    <row r="134" spans="1:12" ht="14.25">
      <c r="A134" t="s">
        <v>11</v>
      </c>
      <c r="B134" s="12"/>
      <c r="C134" s="12"/>
      <c r="D134" s="8"/>
      <c r="E134" s="8">
        <f t="shared" si="40"/>
        <v>0</v>
      </c>
      <c r="F134" s="8">
        <f t="shared" si="42"/>
        <v>-108975.54146164327</v>
      </c>
      <c r="G134" s="8"/>
      <c r="H134" s="15">
        <f t="shared" si="43"/>
        <v>0.0335</v>
      </c>
      <c r="I134" s="8">
        <f t="shared" si="44"/>
        <v>-304.2233865804208</v>
      </c>
      <c r="J134" s="8">
        <f t="shared" si="45"/>
        <v>-7210.191662386553</v>
      </c>
      <c r="K134" s="8"/>
      <c r="L134" s="8">
        <f t="shared" si="41"/>
        <v>-116185.73312402982</v>
      </c>
    </row>
    <row r="135" spans="1:12" ht="14.25">
      <c r="A135" t="s">
        <v>12</v>
      </c>
      <c r="B135" s="13"/>
      <c r="C135" s="13"/>
      <c r="D135" s="14"/>
      <c r="E135" s="14">
        <f t="shared" si="40"/>
        <v>0</v>
      </c>
      <c r="F135" s="14">
        <f t="shared" si="42"/>
        <v>-108975.54146164327</v>
      </c>
      <c r="G135" s="14"/>
      <c r="H135" s="17">
        <f t="shared" si="43"/>
        <v>0.0335</v>
      </c>
      <c r="I135" s="14">
        <f t="shared" si="44"/>
        <v>-304.2233865804208</v>
      </c>
      <c r="J135" s="14">
        <f t="shared" si="45"/>
        <v>-7514.415048966974</v>
      </c>
      <c r="K135" s="14"/>
      <c r="L135" s="14">
        <f t="shared" si="41"/>
        <v>-116489.95651061024</v>
      </c>
    </row>
    <row r="136" spans="1:12" ht="14.25">
      <c r="A136" s="2" t="s">
        <v>13</v>
      </c>
      <c r="B136" s="8">
        <f>SUM(B124:B135)</f>
        <v>0</v>
      </c>
      <c r="C136" s="8">
        <f>SUM(C124:C135)</f>
        <v>0</v>
      </c>
      <c r="D136" s="8">
        <f>SUM(D124:D135)</f>
        <v>0</v>
      </c>
      <c r="E136" s="8">
        <f>SUM(E124:E135)</f>
        <v>0</v>
      </c>
      <c r="F136" s="8"/>
      <c r="G136" s="8"/>
      <c r="I136" s="8">
        <f>SUM(I124:I135)</f>
        <v>-4337.226550173403</v>
      </c>
      <c r="J136" s="8"/>
      <c r="K136" s="8"/>
      <c r="L136" s="8"/>
    </row>
    <row r="137" spans="2:12" ht="14.25">
      <c r="B137" s="8"/>
      <c r="C137" s="8"/>
      <c r="D137" s="8"/>
      <c r="E137" s="8"/>
      <c r="F137" s="8"/>
      <c r="G137" s="8"/>
      <c r="I137" s="8"/>
      <c r="J137" s="8"/>
      <c r="K137" s="8"/>
      <c r="L137" s="8"/>
    </row>
    <row r="138" spans="2:12" ht="14.25">
      <c r="B138" s="8"/>
      <c r="C138" s="8"/>
      <c r="D138" s="8"/>
      <c r="E138" s="8"/>
      <c r="F138" s="8"/>
      <c r="G138" s="8"/>
      <c r="I138" s="8"/>
      <c r="J138" s="8"/>
      <c r="K138" s="8"/>
      <c r="L138" s="8"/>
    </row>
    <row r="139" spans="1:12" ht="18">
      <c r="A139" s="5" t="s">
        <v>0</v>
      </c>
      <c r="B139" s="19">
        <v>2009</v>
      </c>
      <c r="C139" s="8"/>
      <c r="D139" s="8"/>
      <c r="E139" s="8"/>
      <c r="F139" s="8"/>
      <c r="G139" s="8"/>
      <c r="I139" s="8"/>
      <c r="J139" s="8"/>
      <c r="K139" s="8"/>
      <c r="L139" s="8"/>
    </row>
    <row r="140" spans="2:12" ht="14.25">
      <c r="B140" s="10"/>
      <c r="C140" s="10"/>
      <c r="D140" s="80" t="str">
        <f>$D$5</f>
        <v>SIMPILS True-Up Adjustments    (neg = CR)</v>
      </c>
      <c r="E140" s="82" t="s">
        <v>14</v>
      </c>
      <c r="F140" s="82"/>
      <c r="G140" s="10"/>
      <c r="H140" s="82" t="s">
        <v>15</v>
      </c>
      <c r="I140" s="82"/>
      <c r="J140" s="82"/>
      <c r="K140" s="10"/>
      <c r="L140" s="80" t="s">
        <v>5</v>
      </c>
    </row>
    <row r="141" spans="2:12" ht="28.5">
      <c r="B141" s="11" t="s">
        <v>2</v>
      </c>
      <c r="C141" s="11" t="s">
        <v>3</v>
      </c>
      <c r="D141" s="80"/>
      <c r="E141" s="10" t="s">
        <v>4</v>
      </c>
      <c r="F141" s="10" t="s">
        <v>69</v>
      </c>
      <c r="G141" s="10"/>
      <c r="H141" s="16" t="s">
        <v>6</v>
      </c>
      <c r="I141" s="10" t="s">
        <v>4</v>
      </c>
      <c r="J141" s="10" t="s">
        <v>69</v>
      </c>
      <c r="K141" s="10"/>
      <c r="L141" s="80"/>
    </row>
    <row r="142" spans="1:12" ht="14.25">
      <c r="A142" t="s">
        <v>7</v>
      </c>
      <c r="B142" s="12"/>
      <c r="C142" s="12"/>
      <c r="D142" s="8"/>
      <c r="E142" s="8">
        <f aca="true" t="shared" si="46" ref="E142:E153">B142-C142+D142</f>
        <v>0</v>
      </c>
      <c r="F142" s="8">
        <f>F135+E142</f>
        <v>-108975.54146164327</v>
      </c>
      <c r="G142" s="8"/>
      <c r="H142" s="4">
        <v>0.0245</v>
      </c>
      <c r="I142" s="8">
        <f>H142*F135/12</f>
        <v>-222.49173048418834</v>
      </c>
      <c r="J142" s="8">
        <f>J135+I142</f>
        <v>-7736.906779451162</v>
      </c>
      <c r="K142" s="8"/>
      <c r="L142" s="8">
        <f aca="true" t="shared" si="47" ref="L142:L153">F142+J142</f>
        <v>-116712.44824109443</v>
      </c>
    </row>
    <row r="143" spans="1:12" ht="14.25">
      <c r="A143" t="s">
        <v>8</v>
      </c>
      <c r="B143" s="12"/>
      <c r="C143" s="12"/>
      <c r="D143" s="8"/>
      <c r="E143" s="8">
        <f t="shared" si="46"/>
        <v>0</v>
      </c>
      <c r="F143" s="8">
        <f>F142+E143</f>
        <v>-108975.54146164327</v>
      </c>
      <c r="G143" s="8"/>
      <c r="H143" s="15">
        <f>H142</f>
        <v>0.0245</v>
      </c>
      <c r="I143" s="8">
        <f>H143*F142/12</f>
        <v>-222.49173048418834</v>
      </c>
      <c r="J143" s="8">
        <f>I143+J142</f>
        <v>-7959.39850993535</v>
      </c>
      <c r="K143" s="8"/>
      <c r="L143" s="8">
        <f t="shared" si="47"/>
        <v>-116934.93997157861</v>
      </c>
    </row>
    <row r="144" spans="1:12" ht="14.25">
      <c r="A144" t="s">
        <v>9</v>
      </c>
      <c r="B144" s="12"/>
      <c r="C144" s="12"/>
      <c r="D144" s="8"/>
      <c r="E144" s="8">
        <f t="shared" si="46"/>
        <v>0</v>
      </c>
      <c r="F144" s="8">
        <f aca="true" t="shared" si="48" ref="F144:F153">F143+E144</f>
        <v>-108975.54146164327</v>
      </c>
      <c r="G144" s="8"/>
      <c r="H144" s="15">
        <f aca="true" t="shared" si="49" ref="H144:H153">H143</f>
        <v>0.0245</v>
      </c>
      <c r="I144" s="8">
        <f>H144*F143/12</f>
        <v>-222.49173048418834</v>
      </c>
      <c r="J144" s="8">
        <f>I144+J143</f>
        <v>-8181.890240419539</v>
      </c>
      <c r="K144" s="8"/>
      <c r="L144" s="8">
        <f t="shared" si="47"/>
        <v>-117157.43170206281</v>
      </c>
    </row>
    <row r="145" spans="1:12" ht="14.25">
      <c r="A145" t="s">
        <v>16</v>
      </c>
      <c r="B145" s="12"/>
      <c r="C145" s="12"/>
      <c r="D145" s="8"/>
      <c r="E145" s="8">
        <f t="shared" si="46"/>
        <v>0</v>
      </c>
      <c r="F145" s="8">
        <f t="shared" si="48"/>
        <v>-108975.54146164327</v>
      </c>
      <c r="G145" s="8"/>
      <c r="H145" s="4">
        <v>0.01</v>
      </c>
      <c r="I145" s="8">
        <f>H145*F144/12</f>
        <v>-90.81295121803606</v>
      </c>
      <c r="J145" s="8">
        <f>I145+J144</f>
        <v>-8272.703191637574</v>
      </c>
      <c r="K145" s="8"/>
      <c r="L145" s="8">
        <f t="shared" si="47"/>
        <v>-117248.24465328084</v>
      </c>
    </row>
    <row r="146" spans="1:12" ht="14.25">
      <c r="A146" t="s">
        <v>17</v>
      </c>
      <c r="B146" s="12"/>
      <c r="C146" s="12"/>
      <c r="D146" s="8"/>
      <c r="E146" s="8">
        <f t="shared" si="46"/>
        <v>0</v>
      </c>
      <c r="F146" s="8">
        <f t="shared" si="48"/>
        <v>-108975.54146164327</v>
      </c>
      <c r="G146" s="8"/>
      <c r="H146" s="15">
        <f t="shared" si="49"/>
        <v>0.01</v>
      </c>
      <c r="I146" s="8">
        <f aca="true" t="shared" si="50" ref="I146:I153">H146*F145/12</f>
        <v>-90.81295121803606</v>
      </c>
      <c r="J146" s="8">
        <f aca="true" t="shared" si="51" ref="J146:J153">I146+J145</f>
        <v>-8363.516142855611</v>
      </c>
      <c r="K146" s="8"/>
      <c r="L146" s="8">
        <f t="shared" si="47"/>
        <v>-117339.05760449888</v>
      </c>
    </row>
    <row r="147" spans="1:12" ht="14.25">
      <c r="A147" t="s">
        <v>18</v>
      </c>
      <c r="B147" s="12"/>
      <c r="C147" s="12"/>
      <c r="D147" s="8"/>
      <c r="E147" s="8">
        <f t="shared" si="46"/>
        <v>0</v>
      </c>
      <c r="F147" s="8">
        <f t="shared" si="48"/>
        <v>-108975.54146164327</v>
      </c>
      <c r="G147" s="8"/>
      <c r="H147" s="15">
        <f t="shared" si="49"/>
        <v>0.01</v>
      </c>
      <c r="I147" s="8">
        <f t="shared" si="50"/>
        <v>-90.81295121803606</v>
      </c>
      <c r="J147" s="8">
        <f t="shared" si="51"/>
        <v>-8454.329094073648</v>
      </c>
      <c r="K147" s="8"/>
      <c r="L147" s="8">
        <f t="shared" si="47"/>
        <v>-117429.87055571692</v>
      </c>
    </row>
    <row r="148" spans="1:12" ht="14.25">
      <c r="A148" t="s">
        <v>19</v>
      </c>
      <c r="B148" s="12"/>
      <c r="C148" s="12"/>
      <c r="D148" s="8"/>
      <c r="E148" s="8">
        <f t="shared" si="46"/>
        <v>0</v>
      </c>
      <c r="F148" s="8">
        <f t="shared" si="48"/>
        <v>-108975.54146164327</v>
      </c>
      <c r="G148" s="8"/>
      <c r="H148" s="4">
        <v>0.0055</v>
      </c>
      <c r="I148" s="8">
        <f t="shared" si="50"/>
        <v>-49.94712316991983</v>
      </c>
      <c r="J148" s="8">
        <f t="shared" si="51"/>
        <v>-8504.276217243567</v>
      </c>
      <c r="K148" s="8"/>
      <c r="L148" s="8">
        <f t="shared" si="47"/>
        <v>-117479.81767888683</v>
      </c>
    </row>
    <row r="149" spans="1:12" ht="14.25">
      <c r="A149" t="s">
        <v>20</v>
      </c>
      <c r="B149" s="12"/>
      <c r="C149" s="12"/>
      <c r="D149" s="8"/>
      <c r="E149" s="8">
        <f t="shared" si="46"/>
        <v>0</v>
      </c>
      <c r="F149" s="8">
        <f t="shared" si="48"/>
        <v>-108975.54146164327</v>
      </c>
      <c r="G149" s="8"/>
      <c r="H149" s="15">
        <f t="shared" si="49"/>
        <v>0.0055</v>
      </c>
      <c r="I149" s="8">
        <f t="shared" si="50"/>
        <v>-49.94712316991983</v>
      </c>
      <c r="J149" s="8">
        <f t="shared" si="51"/>
        <v>-8554.223340413486</v>
      </c>
      <c r="K149" s="8"/>
      <c r="L149" s="8">
        <f t="shared" si="47"/>
        <v>-117529.76480205676</v>
      </c>
    </row>
    <row r="150" spans="1:12" ht="14.25">
      <c r="A150" t="s">
        <v>21</v>
      </c>
      <c r="B150" s="12"/>
      <c r="C150" s="12"/>
      <c r="D150" s="8"/>
      <c r="E150" s="8">
        <f t="shared" si="46"/>
        <v>0</v>
      </c>
      <c r="F150" s="8">
        <f t="shared" si="48"/>
        <v>-108975.54146164327</v>
      </c>
      <c r="G150" s="8"/>
      <c r="H150" s="15">
        <f t="shared" si="49"/>
        <v>0.0055</v>
      </c>
      <c r="I150" s="8">
        <f t="shared" si="50"/>
        <v>-49.94712316991983</v>
      </c>
      <c r="J150" s="8">
        <f t="shared" si="51"/>
        <v>-8604.170463583405</v>
      </c>
      <c r="K150" s="8"/>
      <c r="L150" s="8">
        <f t="shared" si="47"/>
        <v>-117579.71192522667</v>
      </c>
    </row>
    <row r="151" spans="1:12" ht="14.25">
      <c r="A151" t="s">
        <v>10</v>
      </c>
      <c r="B151" s="12"/>
      <c r="C151" s="12"/>
      <c r="D151" s="8"/>
      <c r="E151" s="8">
        <f t="shared" si="46"/>
        <v>0</v>
      </c>
      <c r="F151" s="8">
        <f t="shared" si="48"/>
        <v>-108975.54146164327</v>
      </c>
      <c r="G151" s="8"/>
      <c r="H151" s="15">
        <f t="shared" si="49"/>
        <v>0.0055</v>
      </c>
      <c r="I151" s="8">
        <f t="shared" si="50"/>
        <v>-49.94712316991983</v>
      </c>
      <c r="J151" s="8">
        <f t="shared" si="51"/>
        <v>-8654.117586753324</v>
      </c>
      <c r="K151" s="8"/>
      <c r="L151" s="8">
        <f t="shared" si="47"/>
        <v>-117629.6590483966</v>
      </c>
    </row>
    <row r="152" spans="1:12" ht="14.25">
      <c r="A152" t="s">
        <v>11</v>
      </c>
      <c r="B152" s="12"/>
      <c r="C152" s="12"/>
      <c r="D152" s="8"/>
      <c r="E152" s="8">
        <f t="shared" si="46"/>
        <v>0</v>
      </c>
      <c r="F152" s="8">
        <f t="shared" si="48"/>
        <v>-108975.54146164327</v>
      </c>
      <c r="G152" s="8"/>
      <c r="H152" s="15">
        <f t="shared" si="49"/>
        <v>0.0055</v>
      </c>
      <c r="I152" s="8">
        <f t="shared" si="50"/>
        <v>-49.94712316991983</v>
      </c>
      <c r="J152" s="8">
        <f t="shared" si="51"/>
        <v>-8704.064709923243</v>
      </c>
      <c r="K152" s="8"/>
      <c r="L152" s="8">
        <f t="shared" si="47"/>
        <v>-117679.60617156651</v>
      </c>
    </row>
    <row r="153" spans="1:12" ht="14.25">
      <c r="A153" t="s">
        <v>12</v>
      </c>
      <c r="B153" s="13"/>
      <c r="C153" s="13"/>
      <c r="D153" s="14"/>
      <c r="E153" s="14">
        <f t="shared" si="46"/>
        <v>0</v>
      </c>
      <c r="F153" s="14">
        <f t="shared" si="48"/>
        <v>-108975.54146164327</v>
      </c>
      <c r="G153" s="14"/>
      <c r="H153" s="17">
        <f t="shared" si="49"/>
        <v>0.0055</v>
      </c>
      <c r="I153" s="14">
        <f t="shared" si="50"/>
        <v>-49.94712316991983</v>
      </c>
      <c r="J153" s="14">
        <f t="shared" si="51"/>
        <v>-8754.011833093162</v>
      </c>
      <c r="K153" s="14"/>
      <c r="L153" s="14">
        <f t="shared" si="47"/>
        <v>-117729.55329473643</v>
      </c>
    </row>
    <row r="154" spans="1:12" ht="14.25">
      <c r="A154" s="2" t="s">
        <v>13</v>
      </c>
      <c r="B154" s="8">
        <f>SUM(B142:B153)</f>
        <v>0</v>
      </c>
      <c r="C154" s="8">
        <f>SUM(C142:C153)</f>
        <v>0</v>
      </c>
      <c r="D154" s="8">
        <f>SUM(D142:D153)</f>
        <v>0</v>
      </c>
      <c r="E154" s="8">
        <f>SUM(E142:E153)</f>
        <v>0</v>
      </c>
      <c r="F154" s="8"/>
      <c r="G154" s="8"/>
      <c r="I154" s="8">
        <f>SUM(I142:I153)</f>
        <v>-1239.5967841261922</v>
      </c>
      <c r="J154" s="8"/>
      <c r="K154" s="8"/>
      <c r="L154" s="8"/>
    </row>
    <row r="155" spans="2:12" ht="14.25">
      <c r="B155" s="8"/>
      <c r="C155" s="8"/>
      <c r="D155" s="8"/>
      <c r="E155" s="8"/>
      <c r="F155" s="8"/>
      <c r="G155" s="8"/>
      <c r="I155" s="8"/>
      <c r="J155" s="8"/>
      <c r="K155" s="8"/>
      <c r="L155" s="8"/>
    </row>
    <row r="156" spans="2:12" ht="14.25">
      <c r="B156" s="8"/>
      <c r="C156" s="8"/>
      <c r="D156" s="8"/>
      <c r="E156" s="8"/>
      <c r="F156" s="8"/>
      <c r="G156" s="8"/>
      <c r="I156" s="8"/>
      <c r="J156" s="8"/>
      <c r="K156" s="8"/>
      <c r="L156" s="8"/>
    </row>
    <row r="157" spans="1:12" ht="18">
      <c r="A157" s="5" t="s">
        <v>0</v>
      </c>
      <c r="B157" s="19">
        <v>2010</v>
      </c>
      <c r="C157" s="8"/>
      <c r="D157" s="8"/>
      <c r="E157" s="8"/>
      <c r="F157" s="8"/>
      <c r="G157" s="8"/>
      <c r="I157" s="8"/>
      <c r="J157" s="8"/>
      <c r="K157" s="8"/>
      <c r="L157" s="8"/>
    </row>
    <row r="158" spans="2:12" ht="14.25">
      <c r="B158" s="10"/>
      <c r="C158" s="10"/>
      <c r="D158" s="80" t="str">
        <f>$D$5</f>
        <v>SIMPILS True-Up Adjustments    (neg = CR)</v>
      </c>
      <c r="E158" s="82" t="s">
        <v>14</v>
      </c>
      <c r="F158" s="82"/>
      <c r="G158" s="10"/>
      <c r="H158" s="82" t="s">
        <v>15</v>
      </c>
      <c r="I158" s="82"/>
      <c r="J158" s="82"/>
      <c r="K158" s="10"/>
      <c r="L158" s="80" t="s">
        <v>5</v>
      </c>
    </row>
    <row r="159" spans="2:12" ht="28.5">
      <c r="B159" s="11" t="s">
        <v>2</v>
      </c>
      <c r="C159" s="11" t="s">
        <v>3</v>
      </c>
      <c r="D159" s="80"/>
      <c r="E159" s="10" t="s">
        <v>4</v>
      </c>
      <c r="F159" s="10" t="s">
        <v>69</v>
      </c>
      <c r="G159" s="10"/>
      <c r="H159" s="16" t="s">
        <v>6</v>
      </c>
      <c r="I159" s="10" t="s">
        <v>4</v>
      </c>
      <c r="J159" s="10" t="s">
        <v>69</v>
      </c>
      <c r="K159" s="10"/>
      <c r="L159" s="80"/>
    </row>
    <row r="160" spans="1:12" ht="14.25">
      <c r="A160" t="s">
        <v>7</v>
      </c>
      <c r="B160" s="12"/>
      <c r="C160" s="12"/>
      <c r="D160" s="8"/>
      <c r="E160" s="8">
        <f aca="true" t="shared" si="52" ref="E160:E171">B160-C160+D160</f>
        <v>0</v>
      </c>
      <c r="F160" s="8">
        <f>F153+E160</f>
        <v>-108975.54146164327</v>
      </c>
      <c r="G160" s="8"/>
      <c r="H160" s="15">
        <f>H153</f>
        <v>0.0055</v>
      </c>
      <c r="I160" s="8">
        <f>H160*F153/12</f>
        <v>-49.94712316991983</v>
      </c>
      <c r="J160" s="8">
        <f>J153+I160</f>
        <v>-8803.95895626308</v>
      </c>
      <c r="K160" s="8"/>
      <c r="L160" s="8">
        <f aca="true" t="shared" si="53" ref="L160:L171">F160+J160</f>
        <v>-117779.50041790635</v>
      </c>
    </row>
    <row r="161" spans="1:12" ht="14.25">
      <c r="A161" t="s">
        <v>8</v>
      </c>
      <c r="B161" s="12"/>
      <c r="C161" s="12"/>
      <c r="D161" s="8"/>
      <c r="E161" s="8">
        <f t="shared" si="52"/>
        <v>0</v>
      </c>
      <c r="F161" s="8">
        <f>F160+E161</f>
        <v>-108975.54146164327</v>
      </c>
      <c r="G161" s="8"/>
      <c r="H161" s="15">
        <f>H160</f>
        <v>0.0055</v>
      </c>
      <c r="I161" s="8">
        <f>H161*F160/12</f>
        <v>-49.94712316991983</v>
      </c>
      <c r="J161" s="8">
        <f>I161+J160</f>
        <v>-8853.906079433</v>
      </c>
      <c r="K161" s="8"/>
      <c r="L161" s="8">
        <f t="shared" si="53"/>
        <v>-117829.44754107627</v>
      </c>
    </row>
    <row r="162" spans="1:12" ht="14.25">
      <c r="A162" t="s">
        <v>9</v>
      </c>
      <c r="B162" s="12"/>
      <c r="C162" s="12"/>
      <c r="D162" s="8"/>
      <c r="E162" s="8">
        <f t="shared" si="52"/>
        <v>0</v>
      </c>
      <c r="F162" s="8">
        <f aca="true" t="shared" si="54" ref="F162:F171">F161+E162</f>
        <v>-108975.54146164327</v>
      </c>
      <c r="G162" s="8"/>
      <c r="H162" s="15">
        <f aca="true" t="shared" si="55" ref="H162:H171">H161</f>
        <v>0.0055</v>
      </c>
      <c r="I162" s="8">
        <f>H162*F161/12</f>
        <v>-49.94712316991983</v>
      </c>
      <c r="J162" s="8">
        <f>I162+J161</f>
        <v>-8903.853202602919</v>
      </c>
      <c r="K162" s="8"/>
      <c r="L162" s="8">
        <f t="shared" si="53"/>
        <v>-117879.39466424618</v>
      </c>
    </row>
    <row r="163" spans="1:12" ht="14.25">
      <c r="A163" t="s">
        <v>16</v>
      </c>
      <c r="B163" s="12"/>
      <c r="C163" s="12"/>
      <c r="D163" s="8"/>
      <c r="E163" s="8">
        <f t="shared" si="52"/>
        <v>0</v>
      </c>
      <c r="F163" s="8">
        <f t="shared" si="54"/>
        <v>-108975.54146164327</v>
      </c>
      <c r="G163" s="8"/>
      <c r="H163" s="15">
        <f t="shared" si="55"/>
        <v>0.0055</v>
      </c>
      <c r="I163" s="8">
        <f>H163*F162/12</f>
        <v>-49.94712316991983</v>
      </c>
      <c r="J163" s="8">
        <f>I163+J162</f>
        <v>-8953.800325772838</v>
      </c>
      <c r="K163" s="8"/>
      <c r="L163" s="8">
        <f t="shared" si="53"/>
        <v>-117929.34178741611</v>
      </c>
    </row>
    <row r="164" spans="1:12" ht="14.25">
      <c r="A164" t="s">
        <v>17</v>
      </c>
      <c r="B164" s="12"/>
      <c r="C164" s="12"/>
      <c r="D164" s="8"/>
      <c r="E164" s="8">
        <f t="shared" si="52"/>
        <v>0</v>
      </c>
      <c r="F164" s="8">
        <f t="shared" si="54"/>
        <v>-108975.54146164327</v>
      </c>
      <c r="G164" s="8"/>
      <c r="H164" s="15">
        <f t="shared" si="55"/>
        <v>0.0055</v>
      </c>
      <c r="I164" s="8">
        <f aca="true" t="shared" si="56" ref="I164:I171">H164*F163/12</f>
        <v>-49.94712316991983</v>
      </c>
      <c r="J164" s="8">
        <f aca="true" t="shared" si="57" ref="J164:J171">I164+J163</f>
        <v>-9003.747448942757</v>
      </c>
      <c r="K164" s="8"/>
      <c r="L164" s="8">
        <f t="shared" si="53"/>
        <v>-117979.28891058602</v>
      </c>
    </row>
    <row r="165" spans="1:12" ht="14.25">
      <c r="A165" t="s">
        <v>18</v>
      </c>
      <c r="B165" s="12"/>
      <c r="C165" s="12"/>
      <c r="D165" s="8"/>
      <c r="E165" s="8">
        <f t="shared" si="52"/>
        <v>0</v>
      </c>
      <c r="F165" s="8">
        <f t="shared" si="54"/>
        <v>-108975.54146164327</v>
      </c>
      <c r="G165" s="8"/>
      <c r="H165" s="15">
        <f t="shared" si="55"/>
        <v>0.0055</v>
      </c>
      <c r="I165" s="8">
        <f t="shared" si="56"/>
        <v>-49.94712316991983</v>
      </c>
      <c r="J165" s="8">
        <f t="shared" si="57"/>
        <v>-9053.694572112676</v>
      </c>
      <c r="K165" s="8"/>
      <c r="L165" s="8">
        <f t="shared" si="53"/>
        <v>-118029.23603375594</v>
      </c>
    </row>
    <row r="166" spans="1:12" ht="14.25">
      <c r="A166" t="s">
        <v>19</v>
      </c>
      <c r="B166" s="12"/>
      <c r="C166" s="12"/>
      <c r="D166" s="8"/>
      <c r="E166" s="8">
        <f t="shared" si="52"/>
        <v>0</v>
      </c>
      <c r="F166" s="8">
        <f t="shared" si="54"/>
        <v>-108975.54146164327</v>
      </c>
      <c r="G166" s="8"/>
      <c r="H166" s="4">
        <v>0.0089</v>
      </c>
      <c r="I166" s="8">
        <f t="shared" si="56"/>
        <v>-80.82352658405209</v>
      </c>
      <c r="J166" s="8">
        <f t="shared" si="57"/>
        <v>-9134.518098696728</v>
      </c>
      <c r="K166" s="8"/>
      <c r="L166" s="8">
        <f t="shared" si="53"/>
        <v>-118110.05956034</v>
      </c>
    </row>
    <row r="167" spans="1:12" ht="14.25">
      <c r="A167" t="s">
        <v>20</v>
      </c>
      <c r="B167" s="12"/>
      <c r="C167" s="12"/>
      <c r="D167" s="8"/>
      <c r="E167" s="8">
        <f t="shared" si="52"/>
        <v>0</v>
      </c>
      <c r="F167" s="8">
        <f t="shared" si="54"/>
        <v>-108975.54146164327</v>
      </c>
      <c r="G167" s="8"/>
      <c r="H167" s="15">
        <f t="shared" si="55"/>
        <v>0.0089</v>
      </c>
      <c r="I167" s="8">
        <f t="shared" si="56"/>
        <v>-80.82352658405209</v>
      </c>
      <c r="J167" s="8">
        <f t="shared" si="57"/>
        <v>-9215.34162528078</v>
      </c>
      <c r="K167" s="8"/>
      <c r="L167" s="8">
        <f t="shared" si="53"/>
        <v>-118190.88308692405</v>
      </c>
    </row>
    <row r="168" spans="1:12" ht="14.25">
      <c r="A168" t="s">
        <v>21</v>
      </c>
      <c r="B168" s="12"/>
      <c r="C168" s="12"/>
      <c r="D168" s="8"/>
      <c r="E168" s="8">
        <f t="shared" si="52"/>
        <v>0</v>
      </c>
      <c r="F168" s="8">
        <f t="shared" si="54"/>
        <v>-108975.54146164327</v>
      </c>
      <c r="G168" s="8"/>
      <c r="H168" s="15">
        <f t="shared" si="55"/>
        <v>0.0089</v>
      </c>
      <c r="I168" s="8">
        <f t="shared" si="56"/>
        <v>-80.82352658405209</v>
      </c>
      <c r="J168" s="8">
        <f t="shared" si="57"/>
        <v>-9296.165151864832</v>
      </c>
      <c r="K168" s="8"/>
      <c r="L168" s="8">
        <f t="shared" si="53"/>
        <v>-118271.7066135081</v>
      </c>
    </row>
    <row r="169" spans="1:12" ht="14.25">
      <c r="A169" t="s">
        <v>10</v>
      </c>
      <c r="B169" s="12"/>
      <c r="C169" s="12"/>
      <c r="D169" s="8"/>
      <c r="E169" s="8">
        <f t="shared" si="52"/>
        <v>0</v>
      </c>
      <c r="F169" s="8">
        <f t="shared" si="54"/>
        <v>-108975.54146164327</v>
      </c>
      <c r="G169" s="8"/>
      <c r="H169" s="4">
        <v>0.012</v>
      </c>
      <c r="I169" s="8">
        <f t="shared" si="56"/>
        <v>-108.97554146164327</v>
      </c>
      <c r="J169" s="8">
        <f t="shared" si="57"/>
        <v>-9405.140693326475</v>
      </c>
      <c r="K169" s="8"/>
      <c r="L169" s="8">
        <f t="shared" si="53"/>
        <v>-118380.68215496975</v>
      </c>
    </row>
    <row r="170" spans="1:12" ht="14.25">
      <c r="A170" t="s">
        <v>11</v>
      </c>
      <c r="B170" s="12"/>
      <c r="C170" s="12"/>
      <c r="D170" s="8"/>
      <c r="E170" s="8">
        <f t="shared" si="52"/>
        <v>0</v>
      </c>
      <c r="F170" s="8">
        <f t="shared" si="54"/>
        <v>-108975.54146164327</v>
      </c>
      <c r="G170" s="8"/>
      <c r="H170" s="15">
        <f t="shared" si="55"/>
        <v>0.012</v>
      </c>
      <c r="I170" s="8">
        <f t="shared" si="56"/>
        <v>-108.97554146164327</v>
      </c>
      <c r="J170" s="8">
        <f t="shared" si="57"/>
        <v>-9514.116234788118</v>
      </c>
      <c r="K170" s="8"/>
      <c r="L170" s="8">
        <f t="shared" si="53"/>
        <v>-118489.65769643139</v>
      </c>
    </row>
    <row r="171" spans="1:12" ht="14.25">
      <c r="A171" t="s">
        <v>12</v>
      </c>
      <c r="B171" s="13"/>
      <c r="C171" s="13"/>
      <c r="D171" s="14"/>
      <c r="E171" s="14">
        <f t="shared" si="52"/>
        <v>0</v>
      </c>
      <c r="F171" s="14">
        <f t="shared" si="54"/>
        <v>-108975.54146164327</v>
      </c>
      <c r="G171" s="14"/>
      <c r="H171" s="17">
        <f t="shared" si="55"/>
        <v>0.012</v>
      </c>
      <c r="I171" s="14">
        <f t="shared" si="56"/>
        <v>-108.97554146164327</v>
      </c>
      <c r="J171" s="14">
        <f t="shared" si="57"/>
        <v>-9623.091776249761</v>
      </c>
      <c r="K171" s="14"/>
      <c r="L171" s="14">
        <f t="shared" si="53"/>
        <v>-118598.63323789302</v>
      </c>
    </row>
    <row r="172" spans="1:14" ht="14.25">
      <c r="A172" s="2" t="s">
        <v>13</v>
      </c>
      <c r="B172" s="8">
        <f>SUM(B160:B171)</f>
        <v>0</v>
      </c>
      <c r="C172" s="8">
        <f>SUM(C160:C171)</f>
        <v>0</v>
      </c>
      <c r="D172" s="8">
        <f>SUM(D160:D171)</f>
        <v>0</v>
      </c>
      <c r="E172" s="8">
        <f>SUM(E160:E171)</f>
        <v>0</v>
      </c>
      <c r="F172" s="8"/>
      <c r="G172" s="8"/>
      <c r="I172" s="8">
        <f>SUM(I160:I171)</f>
        <v>-869.079943156605</v>
      </c>
      <c r="J172" s="8"/>
      <c r="K172" s="8"/>
      <c r="L172" s="8"/>
      <c r="N172" s="21"/>
    </row>
    <row r="173" spans="2:14" ht="14.25">
      <c r="B173" s="8"/>
      <c r="C173" s="8"/>
      <c r="D173" s="8"/>
      <c r="E173" s="8"/>
      <c r="F173" s="8"/>
      <c r="G173" s="8"/>
      <c r="I173" s="8"/>
      <c r="J173" s="8"/>
      <c r="K173" s="8"/>
      <c r="L173" s="8"/>
      <c r="N173" s="21"/>
    </row>
    <row r="174" spans="2:12" ht="14.25">
      <c r="B174" s="8"/>
      <c r="C174" s="8"/>
      <c r="D174" s="8"/>
      <c r="E174" s="8"/>
      <c r="F174" s="8"/>
      <c r="G174" s="8"/>
      <c r="I174" s="8"/>
      <c r="J174" s="8"/>
      <c r="K174" s="8"/>
      <c r="L174" s="8"/>
    </row>
    <row r="175" spans="1:12" ht="18">
      <c r="A175" s="5" t="s">
        <v>0</v>
      </c>
      <c r="B175" s="19">
        <v>2011</v>
      </c>
      <c r="C175" s="8"/>
      <c r="D175" s="8"/>
      <c r="E175" s="8"/>
      <c r="F175" s="8"/>
      <c r="G175" s="8"/>
      <c r="I175" s="8"/>
      <c r="J175" s="8"/>
      <c r="K175" s="8"/>
      <c r="L175" s="8"/>
    </row>
    <row r="176" spans="2:12" ht="14.25">
      <c r="B176" s="10"/>
      <c r="C176" s="10"/>
      <c r="D176" s="80" t="str">
        <f>$D$5</f>
        <v>SIMPILS True-Up Adjustments    (neg = CR)</v>
      </c>
      <c r="E176" s="82" t="s">
        <v>14</v>
      </c>
      <c r="F176" s="82"/>
      <c r="G176" s="10"/>
      <c r="H176" s="82" t="s">
        <v>15</v>
      </c>
      <c r="I176" s="82"/>
      <c r="J176" s="82"/>
      <c r="K176" s="10"/>
      <c r="L176" s="80" t="s">
        <v>5</v>
      </c>
    </row>
    <row r="177" spans="2:12" ht="28.5">
      <c r="B177" s="11" t="s">
        <v>2</v>
      </c>
      <c r="C177" s="11" t="s">
        <v>3</v>
      </c>
      <c r="D177" s="80"/>
      <c r="E177" s="10" t="s">
        <v>4</v>
      </c>
      <c r="F177" s="10" t="s">
        <v>69</v>
      </c>
      <c r="G177" s="10"/>
      <c r="H177" s="16" t="s">
        <v>6</v>
      </c>
      <c r="I177" s="10" t="s">
        <v>4</v>
      </c>
      <c r="J177" s="10" t="s">
        <v>69</v>
      </c>
      <c r="K177" s="10"/>
      <c r="L177" s="80"/>
    </row>
    <row r="178" spans="1:12" ht="14.25">
      <c r="A178" t="s">
        <v>7</v>
      </c>
      <c r="B178" s="12"/>
      <c r="C178" s="12"/>
      <c r="D178" s="8"/>
      <c r="E178" s="8">
        <f aca="true" t="shared" si="58" ref="E178:E189">B178-C178+D178</f>
        <v>0</v>
      </c>
      <c r="F178" s="8">
        <f>F171+E178</f>
        <v>-108975.54146164327</v>
      </c>
      <c r="G178" s="8"/>
      <c r="H178" s="4">
        <v>0.0147</v>
      </c>
      <c r="I178" s="8">
        <f>H178*F171/12</f>
        <v>-133.495038290513</v>
      </c>
      <c r="J178" s="8">
        <f>J171+I178</f>
        <v>-9756.586814540275</v>
      </c>
      <c r="K178" s="8"/>
      <c r="L178" s="8">
        <f aca="true" t="shared" si="59" ref="L178:L189">F178+J178</f>
        <v>-118732.12827618355</v>
      </c>
    </row>
    <row r="179" spans="1:12" ht="14.25">
      <c r="A179" t="s">
        <v>8</v>
      </c>
      <c r="B179" s="12"/>
      <c r="C179" s="12"/>
      <c r="D179" s="8"/>
      <c r="E179" s="8">
        <f t="shared" si="58"/>
        <v>0</v>
      </c>
      <c r="F179" s="8">
        <f>F178+E179</f>
        <v>-108975.54146164327</v>
      </c>
      <c r="G179" s="8"/>
      <c r="H179" s="15">
        <f>H178</f>
        <v>0.0147</v>
      </c>
      <c r="I179" s="8">
        <f>H179*F178/12</f>
        <v>-133.495038290513</v>
      </c>
      <c r="J179" s="8">
        <f>I179+J178</f>
        <v>-9890.081852830788</v>
      </c>
      <c r="K179" s="8"/>
      <c r="L179" s="8">
        <f t="shared" si="59"/>
        <v>-118865.62331447405</v>
      </c>
    </row>
    <row r="180" spans="1:12" ht="14.25">
      <c r="A180" t="s">
        <v>9</v>
      </c>
      <c r="B180" s="12"/>
      <c r="C180" s="12"/>
      <c r="D180" s="8"/>
      <c r="E180" s="8">
        <f t="shared" si="58"/>
        <v>0</v>
      </c>
      <c r="F180" s="8">
        <f aca="true" t="shared" si="60" ref="F180:F189">F179+E180</f>
        <v>-108975.54146164327</v>
      </c>
      <c r="G180" s="8"/>
      <c r="H180" s="15">
        <f aca="true" t="shared" si="61" ref="H180:H189">H179</f>
        <v>0.0147</v>
      </c>
      <c r="I180" s="8">
        <f>H180*F179/12</f>
        <v>-133.495038290513</v>
      </c>
      <c r="J180" s="8">
        <f>I180+J179</f>
        <v>-10023.576891121302</v>
      </c>
      <c r="K180" s="8"/>
      <c r="L180" s="8">
        <f t="shared" si="59"/>
        <v>-118999.11835276458</v>
      </c>
    </row>
    <row r="181" spans="1:12" ht="14.25">
      <c r="A181" t="s">
        <v>16</v>
      </c>
      <c r="B181" s="12"/>
      <c r="C181" s="12"/>
      <c r="D181" s="8"/>
      <c r="E181" s="8">
        <f t="shared" si="58"/>
        <v>0</v>
      </c>
      <c r="F181" s="8">
        <f t="shared" si="60"/>
        <v>-108975.54146164327</v>
      </c>
      <c r="G181" s="8"/>
      <c r="H181" s="15">
        <f t="shared" si="61"/>
        <v>0.0147</v>
      </c>
      <c r="I181" s="8">
        <f>H181*F180/12</f>
        <v>-133.495038290513</v>
      </c>
      <c r="J181" s="8">
        <f>I181+J180</f>
        <v>-10157.071929411815</v>
      </c>
      <c r="K181" s="8"/>
      <c r="L181" s="8">
        <f t="shared" si="59"/>
        <v>-119132.61339105509</v>
      </c>
    </row>
    <row r="182" spans="1:12" ht="14.25">
      <c r="A182" t="s">
        <v>17</v>
      </c>
      <c r="B182" s="12"/>
      <c r="C182" s="12"/>
      <c r="D182" s="8"/>
      <c r="E182" s="8">
        <f t="shared" si="58"/>
        <v>0</v>
      </c>
      <c r="F182" s="8">
        <f t="shared" si="60"/>
        <v>-108975.54146164327</v>
      </c>
      <c r="G182" s="8"/>
      <c r="H182" s="15">
        <f t="shared" si="61"/>
        <v>0.0147</v>
      </c>
      <c r="I182" s="8">
        <f aca="true" t="shared" si="62" ref="I182:I189">H182*F181/12</f>
        <v>-133.495038290513</v>
      </c>
      <c r="J182" s="8">
        <f aca="true" t="shared" si="63" ref="J182:J189">I182+J181</f>
        <v>-10290.566967702329</v>
      </c>
      <c r="K182" s="8"/>
      <c r="L182" s="8">
        <f t="shared" si="59"/>
        <v>-119266.1084293456</v>
      </c>
    </row>
    <row r="183" spans="1:12" ht="14.25">
      <c r="A183" t="s">
        <v>18</v>
      </c>
      <c r="B183" s="12"/>
      <c r="C183" s="12"/>
      <c r="D183" s="8"/>
      <c r="E183" s="8">
        <f t="shared" si="58"/>
        <v>0</v>
      </c>
      <c r="F183" s="8">
        <f t="shared" si="60"/>
        <v>-108975.54146164327</v>
      </c>
      <c r="G183" s="8"/>
      <c r="H183" s="15">
        <f t="shared" si="61"/>
        <v>0.0147</v>
      </c>
      <c r="I183" s="8">
        <f t="shared" si="62"/>
        <v>-133.495038290513</v>
      </c>
      <c r="J183" s="8">
        <f t="shared" si="63"/>
        <v>-10424.062005992842</v>
      </c>
      <c r="K183" s="8"/>
      <c r="L183" s="8">
        <f t="shared" si="59"/>
        <v>-119399.60346763612</v>
      </c>
    </row>
    <row r="184" spans="1:12" ht="14.25">
      <c r="A184" t="s">
        <v>19</v>
      </c>
      <c r="B184" s="12"/>
      <c r="C184" s="12"/>
      <c r="D184" s="8"/>
      <c r="E184" s="8">
        <f t="shared" si="58"/>
        <v>0</v>
      </c>
      <c r="F184" s="8">
        <f t="shared" si="60"/>
        <v>-108975.54146164327</v>
      </c>
      <c r="G184" s="8"/>
      <c r="H184" s="15">
        <f t="shared" si="61"/>
        <v>0.0147</v>
      </c>
      <c r="I184" s="8">
        <f t="shared" si="62"/>
        <v>-133.495038290513</v>
      </c>
      <c r="J184" s="8">
        <f t="shared" si="63"/>
        <v>-10557.557044283356</v>
      </c>
      <c r="K184" s="8"/>
      <c r="L184" s="8">
        <f t="shared" si="59"/>
        <v>-119533.09850592662</v>
      </c>
    </row>
    <row r="185" spans="1:12" ht="14.25">
      <c r="A185" t="s">
        <v>20</v>
      </c>
      <c r="B185" s="12"/>
      <c r="C185" s="12"/>
      <c r="D185" s="8"/>
      <c r="E185" s="8">
        <f t="shared" si="58"/>
        <v>0</v>
      </c>
      <c r="F185" s="8">
        <f t="shared" si="60"/>
        <v>-108975.54146164327</v>
      </c>
      <c r="G185" s="8"/>
      <c r="H185" s="15">
        <f t="shared" si="61"/>
        <v>0.0147</v>
      </c>
      <c r="I185" s="8">
        <f t="shared" si="62"/>
        <v>-133.495038290513</v>
      </c>
      <c r="J185" s="8">
        <f t="shared" si="63"/>
        <v>-10691.05208257387</v>
      </c>
      <c r="K185" s="8"/>
      <c r="L185" s="8">
        <f t="shared" si="59"/>
        <v>-119666.59354421713</v>
      </c>
    </row>
    <row r="186" spans="1:12" ht="14.25">
      <c r="A186" t="s">
        <v>21</v>
      </c>
      <c r="B186" s="12"/>
      <c r="C186" s="12"/>
      <c r="D186" s="8"/>
      <c r="E186" s="8">
        <f t="shared" si="58"/>
        <v>0</v>
      </c>
      <c r="F186" s="8">
        <f t="shared" si="60"/>
        <v>-108975.54146164327</v>
      </c>
      <c r="G186" s="8"/>
      <c r="H186" s="15">
        <f t="shared" si="61"/>
        <v>0.0147</v>
      </c>
      <c r="I186" s="8">
        <f t="shared" si="62"/>
        <v>-133.495038290513</v>
      </c>
      <c r="J186" s="8">
        <f t="shared" si="63"/>
        <v>-10824.547120864383</v>
      </c>
      <c r="K186" s="8"/>
      <c r="L186" s="8">
        <f t="shared" si="59"/>
        <v>-119800.08858250765</v>
      </c>
    </row>
    <row r="187" spans="1:12" ht="14.25">
      <c r="A187" t="s">
        <v>10</v>
      </c>
      <c r="B187" s="12"/>
      <c r="C187" s="12"/>
      <c r="D187" s="8"/>
      <c r="E187" s="8">
        <f t="shared" si="58"/>
        <v>0</v>
      </c>
      <c r="F187" s="8">
        <f t="shared" si="60"/>
        <v>-108975.54146164327</v>
      </c>
      <c r="G187" s="8"/>
      <c r="H187" s="15">
        <f t="shared" si="61"/>
        <v>0.0147</v>
      </c>
      <c r="I187" s="8">
        <f t="shared" si="62"/>
        <v>-133.495038290513</v>
      </c>
      <c r="J187" s="8">
        <f t="shared" si="63"/>
        <v>-10958.042159154897</v>
      </c>
      <c r="K187" s="8"/>
      <c r="L187" s="8">
        <f t="shared" si="59"/>
        <v>-119933.58362079816</v>
      </c>
    </row>
    <row r="188" spans="1:12" ht="14.25">
      <c r="A188" t="s">
        <v>11</v>
      </c>
      <c r="B188" s="12"/>
      <c r="C188" s="12"/>
      <c r="D188" s="8"/>
      <c r="E188" s="8">
        <f t="shared" si="58"/>
        <v>0</v>
      </c>
      <c r="F188" s="8">
        <f t="shared" si="60"/>
        <v>-108975.54146164327</v>
      </c>
      <c r="G188" s="8"/>
      <c r="H188" s="15">
        <f t="shared" si="61"/>
        <v>0.0147</v>
      </c>
      <c r="I188" s="8">
        <f t="shared" si="62"/>
        <v>-133.495038290513</v>
      </c>
      <c r="J188" s="8">
        <f t="shared" si="63"/>
        <v>-11091.53719744541</v>
      </c>
      <c r="K188" s="8"/>
      <c r="L188" s="8">
        <f t="shared" si="59"/>
        <v>-120067.07865908867</v>
      </c>
    </row>
    <row r="189" spans="1:12" ht="14.25">
      <c r="A189" t="s">
        <v>12</v>
      </c>
      <c r="B189" s="13"/>
      <c r="C189" s="13"/>
      <c r="D189" s="14"/>
      <c r="E189" s="14">
        <f t="shared" si="58"/>
        <v>0</v>
      </c>
      <c r="F189" s="14">
        <f t="shared" si="60"/>
        <v>-108975.54146164327</v>
      </c>
      <c r="G189" s="14"/>
      <c r="H189" s="17">
        <f t="shared" si="61"/>
        <v>0.0147</v>
      </c>
      <c r="I189" s="14">
        <f t="shared" si="62"/>
        <v>-133.495038290513</v>
      </c>
      <c r="J189" s="14">
        <f t="shared" si="63"/>
        <v>-11225.032235735924</v>
      </c>
      <c r="K189" s="14"/>
      <c r="L189" s="14">
        <f t="shared" si="59"/>
        <v>-120200.5736973792</v>
      </c>
    </row>
    <row r="190" spans="1:12" ht="14.25">
      <c r="A190" s="2" t="s">
        <v>13</v>
      </c>
      <c r="B190" s="8">
        <f>SUM(B178:B189)</f>
        <v>0</v>
      </c>
      <c r="C190" s="8">
        <f>SUM(C178:C189)</f>
        <v>0</v>
      </c>
      <c r="D190" s="8">
        <f>SUM(D178:D189)</f>
        <v>0</v>
      </c>
      <c r="E190" s="8">
        <f>SUM(E178:E189)</f>
        <v>0</v>
      </c>
      <c r="F190" s="8"/>
      <c r="G190" s="8"/>
      <c r="I190" s="8">
        <f>SUM(I178:I189)</f>
        <v>-1601.9404594861564</v>
      </c>
      <c r="J190" s="8"/>
      <c r="K190" s="8"/>
      <c r="L190" s="8"/>
    </row>
    <row r="191" spans="2:13" ht="14.25">
      <c r="B191" s="8"/>
      <c r="C191" s="8"/>
      <c r="D191" s="8"/>
      <c r="E191" s="8"/>
      <c r="F191" s="8"/>
      <c r="G191" s="8"/>
      <c r="I191" s="8"/>
      <c r="J191" s="8"/>
      <c r="K191" s="8"/>
      <c r="L191" s="8"/>
      <c r="M191" s="21"/>
    </row>
    <row r="192" spans="2:12" ht="14.25">
      <c r="B192" s="8"/>
      <c r="C192" s="8"/>
      <c r="D192" s="8"/>
      <c r="E192" s="8"/>
      <c r="F192" s="8"/>
      <c r="G192" s="8"/>
      <c r="I192" s="8"/>
      <c r="J192" s="8"/>
      <c r="K192" s="8"/>
      <c r="L192" s="8"/>
    </row>
    <row r="193" spans="1:12" ht="18">
      <c r="A193" s="5" t="s">
        <v>0</v>
      </c>
      <c r="B193" s="19">
        <v>2012</v>
      </c>
      <c r="C193" s="8"/>
      <c r="D193" s="8"/>
      <c r="E193" s="8"/>
      <c r="F193" s="8"/>
      <c r="G193" s="8"/>
      <c r="I193" s="8"/>
      <c r="J193" s="8"/>
      <c r="K193" s="8"/>
      <c r="L193" s="8"/>
    </row>
    <row r="194" spans="2:12" ht="14.25">
      <c r="B194" s="10"/>
      <c r="C194" s="10"/>
      <c r="D194" s="80" t="str">
        <f>$D$5</f>
        <v>SIMPILS True-Up Adjustments    (neg = CR)</v>
      </c>
      <c r="E194" s="82" t="s">
        <v>14</v>
      </c>
      <c r="F194" s="82"/>
      <c r="G194" s="10"/>
      <c r="H194" s="82" t="s">
        <v>15</v>
      </c>
      <c r="I194" s="82"/>
      <c r="J194" s="82"/>
      <c r="K194" s="10"/>
      <c r="L194" s="80" t="s">
        <v>5</v>
      </c>
    </row>
    <row r="195" spans="2:12" ht="28.5">
      <c r="B195" s="11" t="s">
        <v>2</v>
      </c>
      <c r="C195" s="11" t="s">
        <v>3</v>
      </c>
      <c r="D195" s="80"/>
      <c r="E195" s="10" t="s">
        <v>4</v>
      </c>
      <c r="F195" s="10" t="s">
        <v>69</v>
      </c>
      <c r="G195" s="10"/>
      <c r="H195" s="16" t="s">
        <v>6</v>
      </c>
      <c r="I195" s="10" t="s">
        <v>4</v>
      </c>
      <c r="J195" s="10" t="s">
        <v>69</v>
      </c>
      <c r="K195" s="10"/>
      <c r="L195" s="80"/>
    </row>
    <row r="196" spans="1:12" ht="14.25">
      <c r="A196" t="s">
        <v>7</v>
      </c>
      <c r="B196" s="12"/>
      <c r="C196" s="12"/>
      <c r="D196" s="8"/>
      <c r="E196" s="8">
        <f aca="true" t="shared" si="64" ref="E196:E207">B196-C196+D196</f>
        <v>0</v>
      </c>
      <c r="F196" s="8">
        <f>F189+E196</f>
        <v>-108975.54146164327</v>
      </c>
      <c r="G196" s="8"/>
      <c r="H196" s="15">
        <f>H189</f>
        <v>0.0147</v>
      </c>
      <c r="I196" s="8">
        <f>H196*F189/12</f>
        <v>-133.495038290513</v>
      </c>
      <c r="J196" s="8">
        <f>J189+I196</f>
        <v>-11358.527274026437</v>
      </c>
      <c r="K196" s="8"/>
      <c r="L196" s="8">
        <f aca="true" t="shared" si="65" ref="L196:L207">F196+J196</f>
        <v>-120334.0687356697</v>
      </c>
    </row>
    <row r="197" spans="1:12" ht="14.25">
      <c r="A197" t="s">
        <v>8</v>
      </c>
      <c r="B197" s="12"/>
      <c r="C197" s="12"/>
      <c r="D197" s="8"/>
      <c r="E197" s="8">
        <f t="shared" si="64"/>
        <v>0</v>
      </c>
      <c r="F197" s="8">
        <f>F196+E197</f>
        <v>-108975.54146164327</v>
      </c>
      <c r="G197" s="8"/>
      <c r="H197" s="15">
        <f>H196</f>
        <v>0.0147</v>
      </c>
      <c r="I197" s="8">
        <f>H197*F196/12</f>
        <v>-133.495038290513</v>
      </c>
      <c r="J197" s="8">
        <f>I197+J196</f>
        <v>-11492.02231231695</v>
      </c>
      <c r="K197" s="8"/>
      <c r="L197" s="8">
        <f t="shared" si="65"/>
        <v>-120467.56377396022</v>
      </c>
    </row>
    <row r="198" spans="1:12" ht="14.25">
      <c r="A198" t="s">
        <v>9</v>
      </c>
      <c r="B198" s="12"/>
      <c r="C198" s="12"/>
      <c r="D198" s="8"/>
      <c r="E198" s="8">
        <f t="shared" si="64"/>
        <v>0</v>
      </c>
      <c r="F198" s="8">
        <f aca="true" t="shared" si="66" ref="F198:F207">F197+E198</f>
        <v>-108975.54146164327</v>
      </c>
      <c r="G198" s="8"/>
      <c r="H198" s="15">
        <f aca="true" t="shared" si="67" ref="H198:H207">H197</f>
        <v>0.0147</v>
      </c>
      <c r="I198" s="8">
        <f>H198*F197/12</f>
        <v>-133.495038290513</v>
      </c>
      <c r="J198" s="8">
        <f>I198+J197</f>
        <v>-11625.517350607464</v>
      </c>
      <c r="K198" s="8"/>
      <c r="L198" s="8">
        <f t="shared" si="65"/>
        <v>-120601.05881225073</v>
      </c>
    </row>
    <row r="199" spans="1:12" ht="14.25">
      <c r="A199" s="42" t="s">
        <v>16</v>
      </c>
      <c r="B199" s="13"/>
      <c r="C199" s="13"/>
      <c r="D199" s="14"/>
      <c r="E199" s="14">
        <f t="shared" si="64"/>
        <v>0</v>
      </c>
      <c r="F199" s="14">
        <f t="shared" si="66"/>
        <v>-108975.54146164327</v>
      </c>
      <c r="G199" s="14"/>
      <c r="H199" s="17">
        <f t="shared" si="67"/>
        <v>0.0147</v>
      </c>
      <c r="I199" s="14">
        <f>H199*F198/12</f>
        <v>-133.495038290513</v>
      </c>
      <c r="J199" s="14">
        <f>I199+J198</f>
        <v>-11759.012388897978</v>
      </c>
      <c r="K199" s="14"/>
      <c r="L199" s="14">
        <f t="shared" si="65"/>
        <v>-120734.55385054124</v>
      </c>
    </row>
    <row r="200" spans="1:12" ht="14.25" hidden="1">
      <c r="A200" t="s">
        <v>17</v>
      </c>
      <c r="B200" s="12"/>
      <c r="C200" s="12"/>
      <c r="D200" s="8"/>
      <c r="E200" s="8">
        <f t="shared" si="64"/>
        <v>0</v>
      </c>
      <c r="F200" s="8">
        <f t="shared" si="66"/>
        <v>-108975.54146164327</v>
      </c>
      <c r="G200" s="8"/>
      <c r="H200" s="15">
        <v>0</v>
      </c>
      <c r="I200" s="8">
        <f aca="true" t="shared" si="68" ref="I200:I207">H200*F199/12</f>
        <v>0</v>
      </c>
      <c r="J200" s="8">
        <f aca="true" t="shared" si="69" ref="J200:J207">I200+J199</f>
        <v>-11759.012388897978</v>
      </c>
      <c r="K200" s="8"/>
      <c r="L200" s="8">
        <f t="shared" si="65"/>
        <v>-120734.55385054124</v>
      </c>
    </row>
    <row r="201" spans="1:12" ht="14.25" hidden="1">
      <c r="A201" t="s">
        <v>18</v>
      </c>
      <c r="B201" s="12"/>
      <c r="C201" s="12"/>
      <c r="D201" s="8"/>
      <c r="E201" s="8">
        <f t="shared" si="64"/>
        <v>0</v>
      </c>
      <c r="F201" s="8">
        <f t="shared" si="66"/>
        <v>-108975.54146164327</v>
      </c>
      <c r="G201" s="8"/>
      <c r="H201" s="15">
        <f t="shared" si="67"/>
        <v>0</v>
      </c>
      <c r="I201" s="8">
        <f t="shared" si="68"/>
        <v>0</v>
      </c>
      <c r="J201" s="8">
        <f t="shared" si="69"/>
        <v>-11759.012388897978</v>
      </c>
      <c r="K201" s="8"/>
      <c r="L201" s="8">
        <f t="shared" si="65"/>
        <v>-120734.55385054124</v>
      </c>
    </row>
    <row r="202" spans="1:12" ht="14.25" hidden="1">
      <c r="A202" t="s">
        <v>19</v>
      </c>
      <c r="B202" s="12"/>
      <c r="C202" s="12"/>
      <c r="D202" s="8"/>
      <c r="E202" s="8">
        <f t="shared" si="64"/>
        <v>0</v>
      </c>
      <c r="F202" s="8">
        <f t="shared" si="66"/>
        <v>-108975.54146164327</v>
      </c>
      <c r="G202" s="8"/>
      <c r="H202" s="15">
        <f t="shared" si="67"/>
        <v>0</v>
      </c>
      <c r="I202" s="8">
        <f t="shared" si="68"/>
        <v>0</v>
      </c>
      <c r="J202" s="8">
        <f t="shared" si="69"/>
        <v>-11759.012388897978</v>
      </c>
      <c r="K202" s="8"/>
      <c r="L202" s="8">
        <f t="shared" si="65"/>
        <v>-120734.55385054124</v>
      </c>
    </row>
    <row r="203" spans="1:12" ht="14.25" hidden="1">
      <c r="A203" t="s">
        <v>20</v>
      </c>
      <c r="B203" s="12"/>
      <c r="C203" s="12"/>
      <c r="D203" s="8"/>
      <c r="E203" s="8">
        <f t="shared" si="64"/>
        <v>0</v>
      </c>
      <c r="F203" s="8">
        <f t="shared" si="66"/>
        <v>-108975.54146164327</v>
      </c>
      <c r="G203" s="8"/>
      <c r="H203" s="15">
        <f t="shared" si="67"/>
        <v>0</v>
      </c>
      <c r="I203" s="8">
        <f t="shared" si="68"/>
        <v>0</v>
      </c>
      <c r="J203" s="8">
        <f t="shared" si="69"/>
        <v>-11759.012388897978</v>
      </c>
      <c r="K203" s="8"/>
      <c r="L203" s="8">
        <f t="shared" si="65"/>
        <v>-120734.55385054124</v>
      </c>
    </row>
    <row r="204" spans="1:12" ht="14.25" hidden="1">
      <c r="A204" t="s">
        <v>21</v>
      </c>
      <c r="B204" s="12"/>
      <c r="C204" s="12"/>
      <c r="D204" s="8"/>
      <c r="E204" s="8">
        <f t="shared" si="64"/>
        <v>0</v>
      </c>
      <c r="F204" s="8">
        <f t="shared" si="66"/>
        <v>-108975.54146164327</v>
      </c>
      <c r="G204" s="8"/>
      <c r="H204" s="15">
        <f t="shared" si="67"/>
        <v>0</v>
      </c>
      <c r="I204" s="8">
        <f t="shared" si="68"/>
        <v>0</v>
      </c>
      <c r="J204" s="8">
        <f t="shared" si="69"/>
        <v>-11759.012388897978</v>
      </c>
      <c r="K204" s="8"/>
      <c r="L204" s="8">
        <f t="shared" si="65"/>
        <v>-120734.55385054124</v>
      </c>
    </row>
    <row r="205" spans="1:12" ht="14.25" hidden="1">
      <c r="A205" t="s">
        <v>10</v>
      </c>
      <c r="B205" s="12"/>
      <c r="C205" s="12"/>
      <c r="D205" s="8"/>
      <c r="E205" s="8">
        <f t="shared" si="64"/>
        <v>0</v>
      </c>
      <c r="F205" s="8">
        <f t="shared" si="66"/>
        <v>-108975.54146164327</v>
      </c>
      <c r="G205" s="8"/>
      <c r="H205" s="15">
        <f t="shared" si="67"/>
        <v>0</v>
      </c>
      <c r="I205" s="8">
        <f t="shared" si="68"/>
        <v>0</v>
      </c>
      <c r="J205" s="8">
        <f t="shared" si="69"/>
        <v>-11759.012388897978</v>
      </c>
      <c r="K205" s="8"/>
      <c r="L205" s="8">
        <f t="shared" si="65"/>
        <v>-120734.55385054124</v>
      </c>
    </row>
    <row r="206" spans="1:12" ht="14.25" hidden="1">
      <c r="A206" t="s">
        <v>11</v>
      </c>
      <c r="B206" s="12"/>
      <c r="C206" s="12"/>
      <c r="D206" s="8"/>
      <c r="E206" s="8">
        <f t="shared" si="64"/>
        <v>0</v>
      </c>
      <c r="F206" s="8">
        <f t="shared" si="66"/>
        <v>-108975.54146164327</v>
      </c>
      <c r="G206" s="8"/>
      <c r="H206" s="15">
        <f t="shared" si="67"/>
        <v>0</v>
      </c>
      <c r="I206" s="8">
        <f t="shared" si="68"/>
        <v>0</v>
      </c>
      <c r="J206" s="8">
        <f t="shared" si="69"/>
        <v>-11759.012388897978</v>
      </c>
      <c r="K206" s="8"/>
      <c r="L206" s="8">
        <f t="shared" si="65"/>
        <v>-120734.55385054124</v>
      </c>
    </row>
    <row r="207" spans="1:12" ht="14.25" hidden="1">
      <c r="A207" t="s">
        <v>12</v>
      </c>
      <c r="B207" s="13"/>
      <c r="C207" s="13"/>
      <c r="D207" s="14"/>
      <c r="E207" s="14">
        <f t="shared" si="64"/>
        <v>0</v>
      </c>
      <c r="F207" s="14">
        <f t="shared" si="66"/>
        <v>-108975.54146164327</v>
      </c>
      <c r="G207" s="14"/>
      <c r="H207" s="17">
        <f t="shared" si="67"/>
        <v>0</v>
      </c>
      <c r="I207" s="14">
        <f t="shared" si="68"/>
        <v>0</v>
      </c>
      <c r="J207" s="14">
        <f t="shared" si="69"/>
        <v>-11759.012388897978</v>
      </c>
      <c r="K207" s="14"/>
      <c r="L207" s="14">
        <f t="shared" si="65"/>
        <v>-120734.55385054124</v>
      </c>
    </row>
    <row r="208" spans="1:12" ht="14.25">
      <c r="A208" s="2" t="s">
        <v>13</v>
      </c>
      <c r="B208" s="8">
        <f>SUM(B196:B207)</f>
        <v>0</v>
      </c>
      <c r="C208" s="8">
        <f>SUM(C196:C207)</f>
        <v>0</v>
      </c>
      <c r="D208" s="8">
        <f>SUM(D196:D207)</f>
        <v>0</v>
      </c>
      <c r="E208" s="8">
        <f>SUM(E196:E207)</f>
        <v>0</v>
      </c>
      <c r="F208" s="8"/>
      <c r="G208" s="8"/>
      <c r="I208" s="8">
        <f>SUM(I196:I207)</f>
        <v>-533.980153162052</v>
      </c>
      <c r="J208" s="8"/>
      <c r="K208" s="8"/>
      <c r="L208" s="8"/>
    </row>
    <row r="209" spans="2:12" ht="14.25">
      <c r="B209" s="8"/>
      <c r="C209" s="8"/>
      <c r="D209" s="8"/>
      <c r="E209" s="8"/>
      <c r="F209" s="8"/>
      <c r="G209" s="8"/>
      <c r="I209" s="8"/>
      <c r="J209" s="8"/>
      <c r="K209" s="8"/>
      <c r="L209" s="8"/>
    </row>
    <row r="210" spans="2:12" ht="14.25">
      <c r="B210" s="8"/>
      <c r="C210" s="8"/>
      <c r="D210" s="8"/>
      <c r="E210" s="8"/>
      <c r="F210" s="8"/>
      <c r="G210" s="8"/>
      <c r="I210" s="8"/>
      <c r="J210" s="8"/>
      <c r="K210" s="8"/>
      <c r="L210" s="8"/>
    </row>
    <row r="211" spans="2:12" ht="14.25">
      <c r="B211" s="8"/>
      <c r="C211" s="8"/>
      <c r="D211" s="8"/>
      <c r="E211" s="8"/>
      <c r="F211" s="8"/>
      <c r="G211" s="8"/>
      <c r="I211" s="8"/>
      <c r="J211" s="8"/>
      <c r="K211" s="8"/>
      <c r="L211" s="8"/>
    </row>
    <row r="212" spans="2:12" ht="14.25">
      <c r="B212" s="8"/>
      <c r="C212" s="8"/>
      <c r="D212" s="8"/>
      <c r="E212" s="8"/>
      <c r="F212" s="8"/>
      <c r="G212" s="8"/>
      <c r="I212" s="8"/>
      <c r="J212" s="8"/>
      <c r="K212" s="8"/>
      <c r="L212" s="8"/>
    </row>
    <row r="213" spans="2:12" ht="14.25">
      <c r="B213" s="8"/>
      <c r="C213" s="8"/>
      <c r="D213" s="8"/>
      <c r="E213" s="8"/>
      <c r="F213" s="8"/>
      <c r="G213" s="8"/>
      <c r="I213" s="8"/>
      <c r="J213" s="8"/>
      <c r="K213" s="8"/>
      <c r="L213" s="8"/>
    </row>
    <row r="214" spans="2:12" ht="14.25">
      <c r="B214" s="8"/>
      <c r="C214" s="8"/>
      <c r="D214" s="8"/>
      <c r="E214" s="8"/>
      <c r="F214" s="8"/>
      <c r="G214" s="8"/>
      <c r="I214" s="8"/>
      <c r="J214" s="8"/>
      <c r="K214" s="8"/>
      <c r="L214" s="8"/>
    </row>
    <row r="215" spans="2:12" ht="14.25">
      <c r="B215" s="8"/>
      <c r="C215" s="8"/>
      <c r="D215" s="8"/>
      <c r="E215" s="8"/>
      <c r="F215" s="8"/>
      <c r="G215" s="8"/>
      <c r="I215" s="8"/>
      <c r="J215" s="8"/>
      <c r="K215" s="8"/>
      <c r="L215" s="8"/>
    </row>
    <row r="216" spans="2:12" ht="14.25">
      <c r="B216" s="8"/>
      <c r="C216" s="8"/>
      <c r="D216" s="8"/>
      <c r="E216" s="8"/>
      <c r="F216" s="8"/>
      <c r="G216" s="8"/>
      <c r="I216" s="8"/>
      <c r="J216" s="8"/>
      <c r="K216" s="8"/>
      <c r="L216" s="8"/>
    </row>
    <row r="217" spans="2:12" ht="14.25">
      <c r="B217" s="8"/>
      <c r="C217" s="8"/>
      <c r="D217" s="8"/>
      <c r="E217" s="8"/>
      <c r="F217" s="8"/>
      <c r="G217" s="8"/>
      <c r="I217" s="8"/>
      <c r="J217" s="8"/>
      <c r="K217" s="8"/>
      <c r="L217" s="8"/>
    </row>
    <row r="218" spans="2:12" ht="14.25">
      <c r="B218" s="8"/>
      <c r="C218" s="8"/>
      <c r="D218" s="8"/>
      <c r="E218" s="8"/>
      <c r="F218" s="8"/>
      <c r="G218" s="8"/>
      <c r="I218" s="8"/>
      <c r="J218" s="8"/>
      <c r="K218" s="8"/>
      <c r="L218" s="8"/>
    </row>
    <row r="219" spans="2:12" ht="14.25">
      <c r="B219" s="8"/>
      <c r="C219" s="8"/>
      <c r="D219" s="8"/>
      <c r="E219" s="8"/>
      <c r="F219" s="8"/>
      <c r="G219" s="8"/>
      <c r="I219" s="8"/>
      <c r="J219" s="8"/>
      <c r="K219" s="8"/>
      <c r="L219" s="8"/>
    </row>
    <row r="220" spans="2:12" ht="14.25">
      <c r="B220" s="8"/>
      <c r="C220" s="8"/>
      <c r="D220" s="8"/>
      <c r="E220" s="8"/>
      <c r="F220" s="8"/>
      <c r="G220" s="8"/>
      <c r="I220" s="8"/>
      <c r="J220" s="8"/>
      <c r="K220" s="8"/>
      <c r="L220" s="8"/>
    </row>
    <row r="221" spans="2:12" ht="14.25">
      <c r="B221" s="8"/>
      <c r="C221" s="8"/>
      <c r="D221" s="8"/>
      <c r="E221" s="8"/>
      <c r="F221" s="8"/>
      <c r="G221" s="8"/>
      <c r="I221" s="8"/>
      <c r="J221" s="8"/>
      <c r="K221" s="8"/>
      <c r="L221" s="8"/>
    </row>
    <row r="222" spans="2:12" ht="14.25">
      <c r="B222" s="8"/>
      <c r="C222" s="8"/>
      <c r="D222" s="8"/>
      <c r="E222" s="8"/>
      <c r="F222" s="8"/>
      <c r="G222" s="8"/>
      <c r="I222" s="8"/>
      <c r="J222" s="8"/>
      <c r="K222" s="8"/>
      <c r="L222" s="8"/>
    </row>
    <row r="223" spans="2:12" ht="14.25">
      <c r="B223" s="8"/>
      <c r="C223" s="8"/>
      <c r="D223" s="8"/>
      <c r="E223" s="8"/>
      <c r="F223" s="8"/>
      <c r="G223" s="8"/>
      <c r="I223" s="8"/>
      <c r="J223" s="8"/>
      <c r="K223" s="8"/>
      <c r="L223" s="8"/>
    </row>
    <row r="224" spans="2:12" ht="14.25">
      <c r="B224" s="8"/>
      <c r="C224" s="8"/>
      <c r="D224" s="8"/>
      <c r="E224" s="8"/>
      <c r="F224" s="8"/>
      <c r="G224" s="8"/>
      <c r="I224" s="8"/>
      <c r="J224" s="8"/>
      <c r="K224" s="8"/>
      <c r="L224" s="8"/>
    </row>
    <row r="225" spans="2:12" ht="14.25">
      <c r="B225" s="8"/>
      <c r="C225" s="8"/>
      <c r="D225" s="8"/>
      <c r="E225" s="8"/>
      <c r="F225" s="8"/>
      <c r="G225" s="8"/>
      <c r="I225" s="8"/>
      <c r="J225" s="8"/>
      <c r="K225" s="8"/>
      <c r="L225" s="8"/>
    </row>
    <row r="226" spans="2:12" ht="14.25">
      <c r="B226" s="8"/>
      <c r="C226" s="8"/>
      <c r="D226" s="8"/>
      <c r="E226" s="8"/>
      <c r="F226" s="8"/>
      <c r="G226" s="8"/>
      <c r="I226" s="8"/>
      <c r="J226" s="8"/>
      <c r="K226" s="8"/>
      <c r="L226" s="8"/>
    </row>
    <row r="227" spans="2:12" ht="14.25">
      <c r="B227" s="8"/>
      <c r="C227" s="8"/>
      <c r="D227" s="8"/>
      <c r="E227" s="8"/>
      <c r="F227" s="8"/>
      <c r="G227" s="8"/>
      <c r="I227" s="8"/>
      <c r="J227" s="8"/>
      <c r="K227" s="8"/>
      <c r="L227" s="8"/>
    </row>
    <row r="228" spans="2:12" ht="14.25">
      <c r="B228" s="8"/>
      <c r="C228" s="8"/>
      <c r="D228" s="8"/>
      <c r="E228" s="8"/>
      <c r="F228" s="8"/>
      <c r="G228" s="8"/>
      <c r="I228" s="8"/>
      <c r="J228" s="8"/>
      <c r="K228" s="8"/>
      <c r="L228" s="8"/>
    </row>
    <row r="229" spans="2:12" ht="14.25">
      <c r="B229" s="8"/>
      <c r="C229" s="8"/>
      <c r="D229" s="8"/>
      <c r="E229" s="8"/>
      <c r="F229" s="8"/>
      <c r="G229" s="8"/>
      <c r="I229" s="8"/>
      <c r="J229" s="8"/>
      <c r="K229" s="8"/>
      <c r="L229" s="8"/>
    </row>
    <row r="230" spans="2:12" ht="14.25">
      <c r="B230" s="8"/>
      <c r="C230" s="8"/>
      <c r="D230" s="8"/>
      <c r="E230" s="8"/>
      <c r="F230" s="8"/>
      <c r="G230" s="8"/>
      <c r="I230" s="8"/>
      <c r="J230" s="8"/>
      <c r="K230" s="8"/>
      <c r="L230" s="8"/>
    </row>
    <row r="231" spans="2:12" ht="14.25">
      <c r="B231" s="8"/>
      <c r="C231" s="8"/>
      <c r="D231" s="8"/>
      <c r="E231" s="8"/>
      <c r="F231" s="8"/>
      <c r="G231" s="8"/>
      <c r="I231" s="8"/>
      <c r="J231" s="8"/>
      <c r="K231" s="8"/>
      <c r="L231" s="8"/>
    </row>
    <row r="232" spans="2:12" ht="14.25">
      <c r="B232" s="8"/>
      <c r="C232" s="8"/>
      <c r="D232" s="8"/>
      <c r="E232" s="8"/>
      <c r="F232" s="8"/>
      <c r="G232" s="8"/>
      <c r="I232" s="8"/>
      <c r="J232" s="8"/>
      <c r="K232" s="8"/>
      <c r="L232" s="8"/>
    </row>
    <row r="233" spans="2:12" ht="14.25">
      <c r="B233" s="8"/>
      <c r="C233" s="8"/>
      <c r="D233" s="8"/>
      <c r="E233" s="8"/>
      <c r="F233" s="8"/>
      <c r="G233" s="8"/>
      <c r="I233" s="8"/>
      <c r="J233" s="8"/>
      <c r="K233" s="8"/>
      <c r="L233" s="8"/>
    </row>
    <row r="234" spans="2:12" ht="14.25">
      <c r="B234" s="8"/>
      <c r="C234" s="8"/>
      <c r="D234" s="8"/>
      <c r="E234" s="8"/>
      <c r="F234" s="8"/>
      <c r="G234" s="8"/>
      <c r="I234" s="8"/>
      <c r="J234" s="8"/>
      <c r="K234" s="8"/>
      <c r="L234" s="8"/>
    </row>
    <row r="235" spans="2:12" ht="14.25">
      <c r="B235" s="8"/>
      <c r="C235" s="8"/>
      <c r="D235" s="8"/>
      <c r="E235" s="8"/>
      <c r="F235" s="8"/>
      <c r="G235" s="8"/>
      <c r="I235" s="8"/>
      <c r="J235" s="8"/>
      <c r="K235" s="8"/>
      <c r="L235" s="8"/>
    </row>
    <row r="236" spans="2:12" ht="14.25">
      <c r="B236" s="8"/>
      <c r="C236" s="8"/>
      <c r="D236" s="8"/>
      <c r="E236" s="8"/>
      <c r="F236" s="8"/>
      <c r="G236" s="8"/>
      <c r="I236" s="8"/>
      <c r="J236" s="8"/>
      <c r="K236" s="8"/>
      <c r="L236" s="8"/>
    </row>
    <row r="237" spans="2:12" ht="14.25">
      <c r="B237" s="8"/>
      <c r="C237" s="8"/>
      <c r="D237" s="8"/>
      <c r="E237" s="8"/>
      <c r="F237" s="8"/>
      <c r="G237" s="8"/>
      <c r="I237" s="8"/>
      <c r="J237" s="8"/>
      <c r="K237" s="8"/>
      <c r="L237" s="8"/>
    </row>
    <row r="238" spans="2:12" ht="14.25">
      <c r="B238" s="8"/>
      <c r="C238" s="8"/>
      <c r="D238" s="8"/>
      <c r="E238" s="8"/>
      <c r="F238" s="8"/>
      <c r="G238" s="8"/>
      <c r="I238" s="8"/>
      <c r="J238" s="8"/>
      <c r="K238" s="8"/>
      <c r="L238" s="8"/>
    </row>
    <row r="239" spans="2:12" ht="14.25">
      <c r="B239" s="8"/>
      <c r="C239" s="8"/>
      <c r="D239" s="8"/>
      <c r="E239" s="8"/>
      <c r="F239" s="8"/>
      <c r="G239" s="8"/>
      <c r="I239" s="8"/>
      <c r="J239" s="8"/>
      <c r="K239" s="8"/>
      <c r="L239" s="8"/>
    </row>
    <row r="240" spans="2:12" ht="14.25">
      <c r="B240" s="8"/>
      <c r="C240" s="8"/>
      <c r="D240" s="8"/>
      <c r="E240" s="8"/>
      <c r="F240" s="8"/>
      <c r="G240" s="8"/>
      <c r="I240" s="8"/>
      <c r="J240" s="8"/>
      <c r="K240" s="8"/>
      <c r="L240" s="8"/>
    </row>
    <row r="241" spans="2:12" ht="14.25">
      <c r="B241" s="8"/>
      <c r="C241" s="8"/>
      <c r="D241" s="8"/>
      <c r="E241" s="8"/>
      <c r="F241" s="8"/>
      <c r="G241" s="8"/>
      <c r="I241" s="8"/>
      <c r="J241" s="8"/>
      <c r="K241" s="8"/>
      <c r="L241" s="8"/>
    </row>
    <row r="242" spans="2:12" ht="14.25">
      <c r="B242" s="8"/>
      <c r="C242" s="8"/>
      <c r="D242" s="8"/>
      <c r="E242" s="8"/>
      <c r="F242" s="8"/>
      <c r="G242" s="8"/>
      <c r="I242" s="8"/>
      <c r="J242" s="8"/>
      <c r="K242" s="8"/>
      <c r="L242" s="8"/>
    </row>
    <row r="243" spans="2:12" ht="14.25">
      <c r="B243" s="8"/>
      <c r="C243" s="8"/>
      <c r="D243" s="8"/>
      <c r="E243" s="8"/>
      <c r="F243" s="8"/>
      <c r="G243" s="8"/>
      <c r="I243" s="8"/>
      <c r="J243" s="8"/>
      <c r="K243" s="8"/>
      <c r="L243" s="8"/>
    </row>
    <row r="244" spans="2:12" ht="14.25">
      <c r="B244" s="8"/>
      <c r="C244" s="8"/>
      <c r="D244" s="8"/>
      <c r="E244" s="8"/>
      <c r="F244" s="8"/>
      <c r="G244" s="8"/>
      <c r="I244" s="8"/>
      <c r="J244" s="8"/>
      <c r="K244" s="8"/>
      <c r="L244" s="8"/>
    </row>
    <row r="245" spans="2:12" ht="14.25">
      <c r="B245" s="8"/>
      <c r="C245" s="8"/>
      <c r="D245" s="8"/>
      <c r="E245" s="8"/>
      <c r="F245" s="8"/>
      <c r="G245" s="8"/>
      <c r="I245" s="8"/>
      <c r="J245" s="8"/>
      <c r="K245" s="8"/>
      <c r="L245" s="8"/>
    </row>
    <row r="246" spans="2:12" ht="14.25">
      <c r="B246" s="8"/>
      <c r="C246" s="8"/>
      <c r="D246" s="8"/>
      <c r="E246" s="8"/>
      <c r="F246" s="8"/>
      <c r="G246" s="8"/>
      <c r="I246" s="8"/>
      <c r="J246" s="8"/>
      <c r="K246" s="8"/>
      <c r="L246" s="8"/>
    </row>
    <row r="247" spans="2:12" ht="14.25">
      <c r="B247" s="8"/>
      <c r="C247" s="8"/>
      <c r="D247" s="8"/>
      <c r="E247" s="8"/>
      <c r="F247" s="8"/>
      <c r="G247" s="8"/>
      <c r="I247" s="8"/>
      <c r="J247" s="8"/>
      <c r="K247" s="8"/>
      <c r="L247" s="8"/>
    </row>
    <row r="248" spans="2:12" ht="14.25">
      <c r="B248" s="8"/>
      <c r="C248" s="8"/>
      <c r="D248" s="8"/>
      <c r="E248" s="8"/>
      <c r="F248" s="8"/>
      <c r="G248" s="8"/>
      <c r="I248" s="8"/>
      <c r="J248" s="8"/>
      <c r="K248" s="8"/>
      <c r="L248" s="8"/>
    </row>
    <row r="249" spans="2:12" ht="14.25">
      <c r="B249" s="8"/>
      <c r="C249" s="8"/>
      <c r="D249" s="8"/>
      <c r="E249" s="8"/>
      <c r="F249" s="8"/>
      <c r="G249" s="8"/>
      <c r="I249" s="8"/>
      <c r="J249" s="8"/>
      <c r="K249" s="8"/>
      <c r="L249" s="8"/>
    </row>
    <row r="250" spans="2:12" ht="14.25">
      <c r="B250" s="8"/>
      <c r="C250" s="8"/>
      <c r="D250" s="8"/>
      <c r="E250" s="8"/>
      <c r="F250" s="8"/>
      <c r="G250" s="8"/>
      <c r="I250" s="8"/>
      <c r="J250" s="8"/>
      <c r="K250" s="8"/>
      <c r="L250" s="8"/>
    </row>
    <row r="251" spans="2:12" ht="14.25">
      <c r="B251" s="8"/>
      <c r="C251" s="8"/>
      <c r="D251" s="8"/>
      <c r="E251" s="8"/>
      <c r="F251" s="8"/>
      <c r="G251" s="8"/>
      <c r="I251" s="8"/>
      <c r="J251" s="8"/>
      <c r="K251" s="8"/>
      <c r="L251" s="8"/>
    </row>
    <row r="252" spans="2:12" ht="14.25">
      <c r="B252" s="8"/>
      <c r="C252" s="8"/>
      <c r="D252" s="8"/>
      <c r="E252" s="8"/>
      <c r="F252" s="8"/>
      <c r="G252" s="8"/>
      <c r="I252" s="8"/>
      <c r="J252" s="8"/>
      <c r="K252" s="8"/>
      <c r="L252" s="8"/>
    </row>
    <row r="253" spans="2:12" ht="14.25">
      <c r="B253" s="8"/>
      <c r="C253" s="8"/>
      <c r="D253" s="8"/>
      <c r="E253" s="8"/>
      <c r="F253" s="8"/>
      <c r="G253" s="8"/>
      <c r="I253" s="8"/>
      <c r="J253" s="8"/>
      <c r="K253" s="8"/>
      <c r="L253" s="8"/>
    </row>
    <row r="254" spans="2:12" ht="14.25">
      <c r="B254" s="8"/>
      <c r="C254" s="8"/>
      <c r="D254" s="8"/>
      <c r="E254" s="8"/>
      <c r="F254" s="8"/>
      <c r="G254" s="8"/>
      <c r="I254" s="8"/>
      <c r="J254" s="8"/>
      <c r="K254" s="8"/>
      <c r="L254" s="8"/>
    </row>
    <row r="255" spans="2:12" ht="14.25">
      <c r="B255" s="8"/>
      <c r="C255" s="8"/>
      <c r="D255" s="8"/>
      <c r="E255" s="8"/>
      <c r="F255" s="8"/>
      <c r="G255" s="8"/>
      <c r="I255" s="8"/>
      <c r="J255" s="8"/>
      <c r="K255" s="8"/>
      <c r="L255" s="8"/>
    </row>
    <row r="256" spans="2:12" ht="14.25">
      <c r="B256" s="8"/>
      <c r="C256" s="8"/>
      <c r="D256" s="8"/>
      <c r="E256" s="8"/>
      <c r="F256" s="8"/>
      <c r="G256" s="8"/>
      <c r="I256" s="8"/>
      <c r="J256" s="8"/>
      <c r="K256" s="8"/>
      <c r="L256" s="8"/>
    </row>
    <row r="257" spans="2:12" ht="14.25">
      <c r="B257" s="8"/>
      <c r="C257" s="8"/>
      <c r="D257" s="8"/>
      <c r="E257" s="8"/>
      <c r="F257" s="8"/>
      <c r="G257" s="8"/>
      <c r="I257" s="8"/>
      <c r="J257" s="8"/>
      <c r="K257" s="8"/>
      <c r="L257" s="8"/>
    </row>
    <row r="258" spans="2:12" ht="14.25">
      <c r="B258" s="8"/>
      <c r="C258" s="8"/>
      <c r="D258" s="8"/>
      <c r="E258" s="8"/>
      <c r="F258" s="8"/>
      <c r="G258" s="8"/>
      <c r="I258" s="8"/>
      <c r="J258" s="8"/>
      <c r="K258" s="8"/>
      <c r="L258" s="8"/>
    </row>
    <row r="259" spans="2:12" ht="14.25">
      <c r="B259" s="8"/>
      <c r="C259" s="8"/>
      <c r="D259" s="8"/>
      <c r="E259" s="8"/>
      <c r="F259" s="8"/>
      <c r="G259" s="8"/>
      <c r="I259" s="8"/>
      <c r="J259" s="8"/>
      <c r="K259" s="8"/>
      <c r="L259" s="8"/>
    </row>
    <row r="260" spans="2:12" ht="14.25">
      <c r="B260" s="8"/>
      <c r="C260" s="8"/>
      <c r="D260" s="8"/>
      <c r="E260" s="8"/>
      <c r="F260" s="8"/>
      <c r="G260" s="8"/>
      <c r="I260" s="8"/>
      <c r="J260" s="8"/>
      <c r="K260" s="8"/>
      <c r="L260" s="8"/>
    </row>
    <row r="261" spans="2:12" ht="14.25">
      <c r="B261" s="8"/>
      <c r="C261" s="8"/>
      <c r="D261" s="8"/>
      <c r="E261" s="8"/>
      <c r="F261" s="8"/>
      <c r="G261" s="8"/>
      <c r="I261" s="8"/>
      <c r="J261" s="8"/>
      <c r="K261" s="8"/>
      <c r="L261" s="8"/>
    </row>
    <row r="262" spans="2:12" ht="14.25">
      <c r="B262" s="8"/>
      <c r="C262" s="8"/>
      <c r="D262" s="8"/>
      <c r="E262" s="8"/>
      <c r="F262" s="8"/>
      <c r="G262" s="8"/>
      <c r="I262" s="8"/>
      <c r="J262" s="8"/>
      <c r="K262" s="8"/>
      <c r="L262" s="8"/>
    </row>
  </sheetData>
  <sheetProtection/>
  <mergeCells count="50">
    <mergeCell ref="E194:F194"/>
    <mergeCell ref="H194:J194"/>
    <mergeCell ref="L194:L195"/>
    <mergeCell ref="E158:F158"/>
    <mergeCell ref="H158:J158"/>
    <mergeCell ref="L158:L159"/>
    <mergeCell ref="E176:F176"/>
    <mergeCell ref="H176:J176"/>
    <mergeCell ref="L176:L177"/>
    <mergeCell ref="E122:F122"/>
    <mergeCell ref="H122:J122"/>
    <mergeCell ref="L122:L123"/>
    <mergeCell ref="E140:F140"/>
    <mergeCell ref="H140:J140"/>
    <mergeCell ref="L140:L141"/>
    <mergeCell ref="E86:F86"/>
    <mergeCell ref="H86:J86"/>
    <mergeCell ref="L86:L87"/>
    <mergeCell ref="E104:F104"/>
    <mergeCell ref="H104:J104"/>
    <mergeCell ref="L104:L105"/>
    <mergeCell ref="H32:J32"/>
    <mergeCell ref="L32:L33"/>
    <mergeCell ref="E50:F50"/>
    <mergeCell ref="H50:J50"/>
    <mergeCell ref="L50:L51"/>
    <mergeCell ref="H68:J68"/>
    <mergeCell ref="L68:L69"/>
    <mergeCell ref="D32:D33"/>
    <mergeCell ref="D50:D51"/>
    <mergeCell ref="D68:D69"/>
    <mergeCell ref="E5:F5"/>
    <mergeCell ref="E32:F32"/>
    <mergeCell ref="E68:F68"/>
    <mergeCell ref="L5:L6"/>
    <mergeCell ref="H5:J5"/>
    <mergeCell ref="E14:F14"/>
    <mergeCell ref="H14:J14"/>
    <mergeCell ref="L14:L15"/>
    <mergeCell ref="D14:D15"/>
    <mergeCell ref="D176:D177"/>
    <mergeCell ref="D194:D195"/>
    <mergeCell ref="A1:L1"/>
    <mergeCell ref="A2:L2"/>
    <mergeCell ref="D86:D87"/>
    <mergeCell ref="D104:D105"/>
    <mergeCell ref="D122:D123"/>
    <mergeCell ref="D140:D141"/>
    <mergeCell ref="D158:D159"/>
    <mergeCell ref="D5:D6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scale="59" r:id="rId3"/>
  <rowBreaks count="1" manualBreakCount="1">
    <brk id="6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46"/>
  <sheetViews>
    <sheetView zoomScale="90" zoomScaleNormal="90" zoomScalePageLayoutView="0" workbookViewId="0" topLeftCell="A9">
      <selection activeCell="AB37" sqref="AB37"/>
    </sheetView>
  </sheetViews>
  <sheetFormatPr defaultColWidth="13.57421875" defaultRowHeight="15"/>
  <cols>
    <col min="1" max="1" width="34.421875" style="30" customWidth="1"/>
    <col min="2" max="2" width="12.7109375" style="30" bestFit="1" customWidth="1"/>
    <col min="3" max="4" width="11.140625" style="30" bestFit="1" customWidth="1"/>
    <col min="5" max="5" width="11.7109375" style="30" bestFit="1" customWidth="1"/>
    <col min="6" max="6" width="11.140625" style="30" bestFit="1" customWidth="1"/>
    <col min="7" max="7" width="11.7109375" style="30" bestFit="1" customWidth="1"/>
    <col min="8" max="25" width="11.140625" style="30" bestFit="1" customWidth="1"/>
    <col min="26" max="26" width="9.8515625" style="30" bestFit="1" customWidth="1"/>
    <col min="27" max="27" width="11.140625" style="30" bestFit="1" customWidth="1"/>
    <col min="28" max="28" width="12.421875" style="30" customWidth="1"/>
    <col min="29" max="253" width="9.140625" style="30" customWidth="1"/>
    <col min="254" max="254" width="21.28125" style="30" customWidth="1"/>
    <col min="255" max="16384" width="13.57421875" style="30" customWidth="1"/>
  </cols>
  <sheetData>
    <row r="1" spans="1:14" ht="21">
      <c r="A1" s="25" t="s">
        <v>63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4.2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4.25">
      <c r="A3" s="2" t="s">
        <v>39</v>
      </c>
      <c r="B3" s="34" t="s">
        <v>64</v>
      </c>
      <c r="C3"/>
      <c r="D3"/>
      <c r="E3"/>
      <c r="F3"/>
      <c r="G3"/>
      <c r="H3"/>
      <c r="I3"/>
      <c r="J3"/>
      <c r="K3"/>
      <c r="L3"/>
      <c r="M3"/>
      <c r="N3"/>
    </row>
    <row r="4" spans="1:14" ht="14.25">
      <c r="A4" s="2" t="s">
        <v>67</v>
      </c>
      <c r="B4" s="34" t="s">
        <v>92</v>
      </c>
      <c r="C4"/>
      <c r="D4"/>
      <c r="E4"/>
      <c r="F4"/>
      <c r="G4"/>
      <c r="H4"/>
      <c r="I4"/>
      <c r="J4"/>
      <c r="K4"/>
      <c r="L4"/>
      <c r="M4"/>
      <c r="N4"/>
    </row>
    <row r="5" spans="1:14" ht="14.2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4.25">
      <c r="A6" s="2"/>
      <c r="B6" s="84" t="s">
        <v>41</v>
      </c>
      <c r="C6" s="84"/>
      <c r="D6" s="84" t="s">
        <v>65</v>
      </c>
      <c r="E6" s="84"/>
      <c r="F6" s="84" t="s">
        <v>66</v>
      </c>
      <c r="G6" s="84"/>
      <c r="H6"/>
      <c r="I6"/>
      <c r="J6"/>
      <c r="K6"/>
      <c r="L6"/>
      <c r="M6"/>
      <c r="N6"/>
    </row>
    <row r="7" spans="1:14" ht="14.25">
      <c r="A7" s="2" t="s">
        <v>40</v>
      </c>
      <c r="B7" s="23" t="s">
        <v>42</v>
      </c>
      <c r="C7" s="23" t="s">
        <v>43</v>
      </c>
      <c r="D7" s="23" t="s">
        <v>42</v>
      </c>
      <c r="E7" s="23" t="s">
        <v>43</v>
      </c>
      <c r="F7" s="23" t="s">
        <v>42</v>
      </c>
      <c r="G7" s="23" t="s">
        <v>43</v>
      </c>
      <c r="H7"/>
      <c r="I7"/>
      <c r="J7"/>
      <c r="K7"/>
      <c r="L7"/>
      <c r="M7"/>
      <c r="N7"/>
    </row>
    <row r="8" spans="1:14" ht="14.25">
      <c r="A8" t="s">
        <v>45</v>
      </c>
      <c r="B8" s="8">
        <f>'[1]16. Final 2002 Rate Schedule '!$F$19</f>
        <v>15.988883309645427</v>
      </c>
      <c r="C8" s="24">
        <f>'[1]16. Final 2002 Rate Schedule '!$F$20</f>
        <v>0.01028268530402781</v>
      </c>
      <c r="D8" s="24">
        <f>'[1]6. 2001PILs DefAcct Adder Calc'!$C$58</f>
        <v>0.3981363086479219</v>
      </c>
      <c r="E8" s="54">
        <f>'[1]6. 2001PILs DefAcct Adder Calc'!$B$54</f>
        <v>0.0002567910896456893</v>
      </c>
      <c r="F8" s="24">
        <f>'[1]8. 2002PILs Proxy Adder Calc'!$C$58</f>
        <v>1.8434613362584427</v>
      </c>
      <c r="G8" s="54">
        <f>'[1]8. 2002PILs Proxy Adder Calc'!$B$54</f>
        <v>0.0011890009400678029</v>
      </c>
      <c r="H8"/>
      <c r="I8"/>
      <c r="J8"/>
      <c r="K8"/>
      <c r="L8"/>
      <c r="M8"/>
      <c r="N8"/>
    </row>
    <row r="9" spans="1:14" ht="14.25">
      <c r="A9" t="s">
        <v>46</v>
      </c>
      <c r="B9" s="8">
        <f>'[1]16. Final 2002 Rate Schedule '!$F$37</f>
        <v>24.369620351215325</v>
      </c>
      <c r="C9" s="24">
        <f>'[1]16. Final 2002 Rate Schedule '!$F$38</f>
        <v>0.008052112947449275</v>
      </c>
      <c r="D9" s="24">
        <f>'[1]6. 2001PILs DefAcct Adder Calc'!$C$82</f>
        <v>0.6066801095415214</v>
      </c>
      <c r="E9" s="54">
        <f>'[1]6. 2001PILs DefAcct Adder Calc'!$B$78</f>
        <v>0.0002006372112475747</v>
      </c>
      <c r="F9" s="24">
        <f>'[1]8. 2002PILs Proxy Adder Calc'!$C$82</f>
        <v>2.809066395413442</v>
      </c>
      <c r="G9" s="54">
        <f>'[1]8. 2002PILs Proxy Adder Calc'!$B$78</f>
        <v>0.0009289957572714138</v>
      </c>
      <c r="H9"/>
      <c r="I9"/>
      <c r="J9"/>
      <c r="K9"/>
      <c r="L9"/>
      <c r="M9"/>
      <c r="N9"/>
    </row>
    <row r="10" spans="1:14" ht="14.25">
      <c r="A10" t="s">
        <v>47</v>
      </c>
      <c r="B10" s="8">
        <f>'[1]16. Final 2002 Rate Schedule '!$F$57</f>
        <v>163.45810362985117</v>
      </c>
      <c r="C10" s="24">
        <f>'[1]16. Final 2002 Rate Schedule '!$F$58</f>
        <v>2.8726121729370715</v>
      </c>
      <c r="D10" s="24">
        <f>'[1]6. 2001PILs DefAcct Adder Calc'!$C$106</f>
        <v>4.066099154466812</v>
      </c>
      <c r="E10" s="55">
        <f>'[1]6. 2001PILs DefAcct Adder Calc'!$B$102</f>
        <v>0.07156628176177782</v>
      </c>
      <c r="F10" s="24">
        <f>'[1]8. 2002PILs Proxy Adder Calc'!$C$106</f>
        <v>18.8269605605885</v>
      </c>
      <c r="G10" s="54">
        <f>'[1]8. 2002PILs Proxy Adder Calc'!$B$102</f>
        <v>0.3313681031897109</v>
      </c>
      <c r="H10"/>
      <c r="I10"/>
      <c r="J10"/>
      <c r="K10"/>
      <c r="L10"/>
      <c r="M10"/>
      <c r="N10"/>
    </row>
    <row r="11" spans="1:14" ht="14.25">
      <c r="A11" t="s">
        <v>48</v>
      </c>
      <c r="B11" s="8">
        <f>'[1]16. Final 2002 Rate Schedule '!$F$113</f>
        <v>1.6303831369578434</v>
      </c>
      <c r="C11" s="24">
        <f>'[1]16. Final 2002 Rate Schedule '!$F$114</f>
        <v>5.179593341047184</v>
      </c>
      <c r="D11" s="24">
        <f>'[1]6. 2001PILs DefAcct Adder Calc'!$C$205</f>
        <v>0.040805277371045334</v>
      </c>
      <c r="E11" s="54">
        <f>'[1]6. 2001PILs DefAcct Adder Calc'!$B$201</f>
        <v>0.12901040395081928</v>
      </c>
      <c r="F11" s="24">
        <f>'[1]8. 2002PILs Proxy Adder Calc'!$C$205</f>
        <v>0.18893768168063382</v>
      </c>
      <c r="G11" s="55">
        <f>'[1]8. 2002PILs Proxy Adder Calc'!$B$201</f>
        <v>0.5973474071382217</v>
      </c>
      <c r="H11"/>
      <c r="I11"/>
      <c r="J11"/>
      <c r="K11"/>
      <c r="L11"/>
      <c r="M11"/>
      <c r="N11"/>
    </row>
    <row r="12" spans="1:14" ht="14.25">
      <c r="A12" t="s">
        <v>49</v>
      </c>
      <c r="B12" s="8">
        <f>'[1]16. Final 2002 Rate Schedule '!$F$128</f>
        <v>0.39244550319983224</v>
      </c>
      <c r="C12" s="24">
        <f>'[1]16. Final 2002 Rate Schedule '!$F$129</f>
        <v>3.3674586967886166</v>
      </c>
      <c r="D12" s="24">
        <f>'[1]6. 2001PILs DefAcct Adder Calc'!$C$230</f>
        <v>0.009768549482620757</v>
      </c>
      <c r="E12" s="54">
        <f>'[1]6. 2001PILs DefAcct Adder Calc'!$B$226</f>
        <v>0.08387441862257275</v>
      </c>
      <c r="F12" s="24">
        <f>'[1]8. 2002PILs Proxy Adder Calc'!$C$230</f>
        <v>0.045230597891697165</v>
      </c>
      <c r="G12" s="54">
        <f>'[1]8. 2002PILs Proxy Adder Calc'!$B$226</f>
        <v>0.38835756617364986</v>
      </c>
      <c r="H12"/>
      <c r="I12"/>
      <c r="J12"/>
      <c r="K12"/>
      <c r="L12"/>
      <c r="M12"/>
      <c r="N12"/>
    </row>
    <row r="13" spans="1:14" ht="14.25">
      <c r="A13" t="s">
        <v>50</v>
      </c>
      <c r="B13" s="8">
        <f>'[2]16. Final 2002 Rate Schedule '!$F$37</f>
        <v>8.595475785714285</v>
      </c>
      <c r="C13" s="24">
        <f>'[2]16. Final 2002 Rate Schedule '!$F$38</f>
        <v>0.0440316318093182</v>
      </c>
      <c r="D13" s="24">
        <f>'[2]6. 2001PILs DefAcct Adder Calc'!$C$82</f>
        <v>0.22800000000000006</v>
      </c>
      <c r="E13" s="54">
        <f>'[2]6. 2001PILs DefAcct Adder Calc'!$B$78</f>
        <v>0.0011670729159412214</v>
      </c>
      <c r="F13" s="24">
        <f>'[2]8. 2002PILs Proxy Adder Calc'!$C$82</f>
        <v>1.0557142857142858</v>
      </c>
      <c r="G13" s="54">
        <f>'[2]8. 2002PILs Proxy Adder Calc'!$B$78</f>
        <v>0.005403927850128838</v>
      </c>
      <c r="H13"/>
      <c r="I13"/>
      <c r="J13"/>
      <c r="K13"/>
      <c r="L13"/>
      <c r="M13"/>
      <c r="N13"/>
    </row>
    <row r="14" spans="1:28" ht="14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AB14" s="30" t="s">
        <v>138</v>
      </c>
    </row>
    <row r="15" spans="1:28" ht="21">
      <c r="A15" s="25" t="s">
        <v>62</v>
      </c>
      <c r="B15"/>
      <c r="C15"/>
      <c r="D15"/>
      <c r="E15"/>
      <c r="F15"/>
      <c r="G15"/>
      <c r="H15"/>
      <c r="I15"/>
      <c r="J15"/>
      <c r="K15"/>
      <c r="L15"/>
      <c r="M15"/>
      <c r="N15"/>
      <c r="AB15" s="30">
        <v>2004</v>
      </c>
    </row>
    <row r="16" spans="1:26" ht="18">
      <c r="A16"/>
      <c r="B16" s="83">
        <v>2002</v>
      </c>
      <c r="C16" s="83"/>
      <c r="D16" s="83"/>
      <c r="E16" s="83"/>
      <c r="F16" s="83"/>
      <c r="G16" s="83"/>
      <c r="H16" s="83"/>
      <c r="I16" s="83"/>
      <c r="J16" s="83"/>
      <c r="K16" s="83"/>
      <c r="L16" s="85">
        <v>2003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6">
        <v>2004</v>
      </c>
      <c r="Y16" s="86"/>
      <c r="Z16" s="86"/>
    </row>
    <row r="17" spans="1:27" s="32" customFormat="1" ht="14.25">
      <c r="A17" s="23" t="str">
        <f aca="true" t="shared" si="0" ref="A17:A23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51</v>
      </c>
      <c r="H17" s="1" t="s">
        <v>52</v>
      </c>
      <c r="I17" s="1" t="s">
        <v>53</v>
      </c>
      <c r="J17" s="1" t="s">
        <v>54</v>
      </c>
      <c r="K17" s="1" t="s">
        <v>55</v>
      </c>
      <c r="L17" s="1" t="s">
        <v>56</v>
      </c>
      <c r="M17" s="1" t="s">
        <v>57</v>
      </c>
      <c r="N17" s="1" t="s">
        <v>58</v>
      </c>
      <c r="O17" s="1" t="s">
        <v>16</v>
      </c>
      <c r="P17" s="1" t="s">
        <v>17</v>
      </c>
      <c r="Q17" s="1" t="s">
        <v>18</v>
      </c>
      <c r="R17" s="1" t="s">
        <v>19</v>
      </c>
      <c r="S17" s="1" t="s">
        <v>51</v>
      </c>
      <c r="T17" s="1" t="s">
        <v>52</v>
      </c>
      <c r="U17" s="1" t="s">
        <v>53</v>
      </c>
      <c r="V17" s="1" t="s">
        <v>54</v>
      </c>
      <c r="W17" s="1" t="s">
        <v>55</v>
      </c>
      <c r="X17" s="1" t="s">
        <v>56</v>
      </c>
      <c r="Y17" s="1" t="s">
        <v>57</v>
      </c>
      <c r="Z17" s="32" t="s">
        <v>106</v>
      </c>
      <c r="AA17" s="57"/>
    </row>
    <row r="18" spans="1:28" ht="14.25">
      <c r="A18" t="str">
        <f t="shared" si="0"/>
        <v>Residential</v>
      </c>
      <c r="B18" s="26">
        <v>2516</v>
      </c>
      <c r="C18" s="26">
        <v>2520</v>
      </c>
      <c r="D18" s="26">
        <v>2558</v>
      </c>
      <c r="E18" s="26">
        <v>2557</v>
      </c>
      <c r="F18" s="26">
        <v>2554</v>
      </c>
      <c r="G18" s="26">
        <v>2560</v>
      </c>
      <c r="H18" s="26">
        <v>2557</v>
      </c>
      <c r="I18" s="26">
        <v>2547</v>
      </c>
      <c r="J18" s="26">
        <v>2572</v>
      </c>
      <c r="K18" s="26">
        <v>2576</v>
      </c>
      <c r="L18" s="26">
        <v>2566</v>
      </c>
      <c r="M18" s="26">
        <v>2571</v>
      </c>
      <c r="N18" s="26">
        <v>2553</v>
      </c>
      <c r="O18" s="26">
        <v>2576</v>
      </c>
      <c r="P18" s="26">
        <v>2565</v>
      </c>
      <c r="Q18" s="26">
        <v>2587</v>
      </c>
      <c r="R18" s="26">
        <v>2560</v>
      </c>
      <c r="S18" s="26">
        <v>2568</v>
      </c>
      <c r="T18" s="26">
        <v>2574</v>
      </c>
      <c r="U18" s="26">
        <v>2587</v>
      </c>
      <c r="V18" s="26">
        <v>2563</v>
      </c>
      <c r="W18" s="26">
        <v>2581</v>
      </c>
      <c r="X18" s="26">
        <v>2566</v>
      </c>
      <c r="Y18" s="26">
        <v>2558</v>
      </c>
      <c r="Z18" s="59">
        <v>2563</v>
      </c>
      <c r="AA18" s="57"/>
      <c r="AB18" s="36"/>
    </row>
    <row r="19" spans="1:28" ht="14.25">
      <c r="A19" t="str">
        <f t="shared" si="0"/>
        <v>General Service &lt; 50 kW</v>
      </c>
      <c r="B19" s="26">
        <v>555</v>
      </c>
      <c r="C19" s="26">
        <v>572</v>
      </c>
      <c r="D19" s="26">
        <v>505</v>
      </c>
      <c r="E19" s="26">
        <v>508</v>
      </c>
      <c r="F19" s="26">
        <v>516</v>
      </c>
      <c r="G19" s="26">
        <v>504</v>
      </c>
      <c r="H19" s="26">
        <v>509</v>
      </c>
      <c r="I19" s="26">
        <v>502</v>
      </c>
      <c r="J19" s="26">
        <v>495</v>
      </c>
      <c r="K19" s="26">
        <v>486</v>
      </c>
      <c r="L19" s="26">
        <v>488</v>
      </c>
      <c r="M19" s="26">
        <v>490</v>
      </c>
      <c r="N19" s="26">
        <v>492</v>
      </c>
      <c r="O19" s="26">
        <v>493</v>
      </c>
      <c r="P19" s="26">
        <v>495</v>
      </c>
      <c r="Q19" s="26">
        <v>502</v>
      </c>
      <c r="R19" s="26">
        <v>499</v>
      </c>
      <c r="S19" s="26">
        <v>498</v>
      </c>
      <c r="T19" s="26">
        <v>502</v>
      </c>
      <c r="U19" s="26">
        <v>503</v>
      </c>
      <c r="V19" s="26">
        <v>493</v>
      </c>
      <c r="W19" s="26">
        <v>499</v>
      </c>
      <c r="X19" s="26">
        <v>493</v>
      </c>
      <c r="Y19" s="26">
        <v>491</v>
      </c>
      <c r="Z19" s="59">
        <v>493</v>
      </c>
      <c r="AA19" s="57"/>
      <c r="AB19" s="36"/>
    </row>
    <row r="20" spans="1:28" ht="14.25">
      <c r="A20" t="str">
        <f t="shared" si="0"/>
        <v>General Service &gt; 50 kW</v>
      </c>
      <c r="B20" s="26">
        <v>3</v>
      </c>
      <c r="C20" s="26">
        <v>55</v>
      </c>
      <c r="D20" s="26">
        <v>58</v>
      </c>
      <c r="E20" s="26">
        <v>58</v>
      </c>
      <c r="F20" s="26">
        <v>6</v>
      </c>
      <c r="G20" s="26">
        <v>3</v>
      </c>
      <c r="H20" s="26">
        <v>3</v>
      </c>
      <c r="I20" s="26">
        <v>58</v>
      </c>
      <c r="J20" s="26">
        <v>98</v>
      </c>
      <c r="K20" s="26">
        <v>58</v>
      </c>
      <c r="L20" s="26">
        <v>58</v>
      </c>
      <c r="M20" s="26">
        <v>59</v>
      </c>
      <c r="N20" s="26">
        <v>75</v>
      </c>
      <c r="O20" s="26">
        <v>60</v>
      </c>
      <c r="P20" s="26">
        <v>59</v>
      </c>
      <c r="Q20" s="26">
        <v>60</v>
      </c>
      <c r="R20" s="26">
        <v>59</v>
      </c>
      <c r="S20" s="26">
        <v>59</v>
      </c>
      <c r="T20" s="26">
        <v>59</v>
      </c>
      <c r="U20" s="26">
        <v>58</v>
      </c>
      <c r="V20" s="26">
        <v>59</v>
      </c>
      <c r="W20" s="26">
        <v>59</v>
      </c>
      <c r="X20" s="26">
        <v>58</v>
      </c>
      <c r="Y20" s="26">
        <v>58</v>
      </c>
      <c r="Z20" s="59">
        <v>59</v>
      </c>
      <c r="AA20" s="57"/>
      <c r="AB20" s="36"/>
    </row>
    <row r="21" spans="1:27" ht="14.25">
      <c r="A21" t="str">
        <f t="shared" si="0"/>
        <v>Sentinel Lights</v>
      </c>
      <c r="B21" s="26">
        <v>12</v>
      </c>
      <c r="C21" s="26">
        <v>12</v>
      </c>
      <c r="D21" s="26">
        <v>12</v>
      </c>
      <c r="E21" s="26">
        <v>13</v>
      </c>
      <c r="F21" s="26">
        <v>13</v>
      </c>
      <c r="G21" s="26">
        <v>13</v>
      </c>
      <c r="H21" s="26">
        <v>13</v>
      </c>
      <c r="I21" s="26">
        <v>13</v>
      </c>
      <c r="J21" s="26">
        <v>13</v>
      </c>
      <c r="K21" s="26">
        <v>13</v>
      </c>
      <c r="L21" s="26">
        <v>13</v>
      </c>
      <c r="M21" s="26">
        <v>13</v>
      </c>
      <c r="N21" s="26">
        <v>13</v>
      </c>
      <c r="O21" s="26">
        <v>13</v>
      </c>
      <c r="P21" s="26">
        <v>13</v>
      </c>
      <c r="Q21" s="26">
        <v>13</v>
      </c>
      <c r="R21" s="26">
        <v>13</v>
      </c>
      <c r="S21" s="26">
        <v>13</v>
      </c>
      <c r="T21" s="26">
        <v>13</v>
      </c>
      <c r="U21" s="26">
        <v>13</v>
      </c>
      <c r="V21" s="26">
        <v>13</v>
      </c>
      <c r="W21" s="26">
        <v>13</v>
      </c>
      <c r="X21" s="26">
        <v>11</v>
      </c>
      <c r="Y21" s="26">
        <v>10</v>
      </c>
      <c r="Z21" s="59">
        <v>10</v>
      </c>
      <c r="AA21" s="57"/>
    </row>
    <row r="22" spans="1:27" ht="14.25">
      <c r="A22" t="str">
        <f t="shared" si="0"/>
        <v>Street Lights</v>
      </c>
      <c r="B22" s="26">
        <v>1004</v>
      </c>
      <c r="C22" s="26">
        <v>1004</v>
      </c>
      <c r="D22" s="26">
        <v>1004</v>
      </c>
      <c r="E22" s="26">
        <v>1004</v>
      </c>
      <c r="F22" s="26">
        <v>1004</v>
      </c>
      <c r="G22" s="26">
        <v>1004</v>
      </c>
      <c r="H22" s="26">
        <v>1004</v>
      </c>
      <c r="I22" s="26">
        <v>1004</v>
      </c>
      <c r="J22" s="26">
        <v>1004</v>
      </c>
      <c r="K22" s="26">
        <v>1004</v>
      </c>
      <c r="L22" s="26">
        <v>1004</v>
      </c>
      <c r="M22" s="26">
        <v>1004</v>
      </c>
      <c r="N22" s="26">
        <v>1004</v>
      </c>
      <c r="O22" s="26">
        <v>1004</v>
      </c>
      <c r="P22" s="26">
        <v>1004</v>
      </c>
      <c r="Q22" s="26">
        <v>1004</v>
      </c>
      <c r="R22" s="26">
        <v>1004</v>
      </c>
      <c r="S22" s="26">
        <v>1004</v>
      </c>
      <c r="T22" s="26">
        <v>1004</v>
      </c>
      <c r="U22" s="26">
        <v>1004</v>
      </c>
      <c r="V22" s="26">
        <v>1004</v>
      </c>
      <c r="W22" s="26">
        <v>1004</v>
      </c>
      <c r="X22" s="26">
        <v>1004</v>
      </c>
      <c r="Y22" s="26">
        <v>1004</v>
      </c>
      <c r="Z22" s="59">
        <v>1004</v>
      </c>
      <c r="AA22" s="57"/>
    </row>
    <row r="23" spans="1:27" ht="14.25">
      <c r="A23" t="str">
        <f t="shared" si="0"/>
        <v>Unmetered Loads</v>
      </c>
      <c r="B23" s="26">
        <v>18</v>
      </c>
      <c r="C23" s="26">
        <v>18</v>
      </c>
      <c r="D23" s="26">
        <v>18</v>
      </c>
      <c r="E23" s="26">
        <v>18</v>
      </c>
      <c r="F23" s="26">
        <v>18</v>
      </c>
      <c r="G23" s="26">
        <v>18</v>
      </c>
      <c r="H23" s="26">
        <v>18</v>
      </c>
      <c r="I23" s="26">
        <v>18</v>
      </c>
      <c r="J23" s="26">
        <v>18</v>
      </c>
      <c r="K23" s="26">
        <v>18</v>
      </c>
      <c r="L23" s="35">
        <v>17</v>
      </c>
      <c r="M23" s="35">
        <v>17</v>
      </c>
      <c r="N23" s="35">
        <v>17</v>
      </c>
      <c r="O23" s="30">
        <v>17</v>
      </c>
      <c r="P23" s="30">
        <v>17</v>
      </c>
      <c r="Q23" s="30">
        <v>17</v>
      </c>
      <c r="R23" s="30">
        <v>17</v>
      </c>
      <c r="S23" s="30">
        <v>17</v>
      </c>
      <c r="T23" s="30">
        <v>17</v>
      </c>
      <c r="U23" s="30">
        <v>17</v>
      </c>
      <c r="V23" s="30">
        <v>17</v>
      </c>
      <c r="W23" s="30">
        <v>17</v>
      </c>
      <c r="X23" s="59">
        <v>17</v>
      </c>
      <c r="Y23" s="59">
        <v>18</v>
      </c>
      <c r="Z23" s="59">
        <v>18</v>
      </c>
      <c r="AA23" s="56"/>
    </row>
    <row r="24" spans="1:14" ht="14.2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21">
      <c r="A26" s="25" t="s">
        <v>68</v>
      </c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26" s="32" customFormat="1" ht="18">
      <c r="A27" s="1"/>
      <c r="B27" s="83">
        <f>B16</f>
        <v>2002</v>
      </c>
      <c r="C27" s="83"/>
      <c r="D27" s="83"/>
      <c r="E27" s="83"/>
      <c r="F27" s="83"/>
      <c r="G27" s="83"/>
      <c r="H27" s="83"/>
      <c r="I27" s="83"/>
      <c r="J27" s="83"/>
      <c r="K27" s="83"/>
      <c r="L27" s="85">
        <f>L16</f>
        <v>2003</v>
      </c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6">
        <v>2004</v>
      </c>
      <c r="Y27" s="86"/>
      <c r="Z27" s="86"/>
    </row>
    <row r="28" spans="1:26" s="32" customFormat="1" ht="14.25">
      <c r="A28" s="23" t="str">
        <f>A7</f>
        <v>Rate Class</v>
      </c>
      <c r="B28" s="1" t="s">
        <v>9</v>
      </c>
      <c r="C28" s="1" t="s">
        <v>16</v>
      </c>
      <c r="D28" s="1" t="s">
        <v>17</v>
      </c>
      <c r="E28" s="1" t="s">
        <v>18</v>
      </c>
      <c r="F28" s="1" t="s">
        <v>19</v>
      </c>
      <c r="G28" s="1" t="s">
        <v>51</v>
      </c>
      <c r="H28" s="1" t="s">
        <v>52</v>
      </c>
      <c r="I28" s="1" t="s">
        <v>53</v>
      </c>
      <c r="J28" s="1" t="s">
        <v>54</v>
      </c>
      <c r="K28" s="1" t="s">
        <v>55</v>
      </c>
      <c r="L28" s="1" t="s">
        <v>56</v>
      </c>
      <c r="M28" s="1" t="s">
        <v>57</v>
      </c>
      <c r="N28" s="1" t="s">
        <v>58</v>
      </c>
      <c r="O28" s="1" t="s">
        <v>16</v>
      </c>
      <c r="P28" s="1" t="s">
        <v>17</v>
      </c>
      <c r="Q28" s="1" t="s">
        <v>18</v>
      </c>
      <c r="R28" s="1" t="s">
        <v>19</v>
      </c>
      <c r="S28" s="1" t="s">
        <v>51</v>
      </c>
      <c r="T28" s="1" t="s">
        <v>52</v>
      </c>
      <c r="U28" s="1" t="s">
        <v>53</v>
      </c>
      <c r="V28" s="1" t="s">
        <v>54</v>
      </c>
      <c r="W28" s="1" t="s">
        <v>55</v>
      </c>
      <c r="X28" s="1" t="s">
        <v>56</v>
      </c>
      <c r="Y28" s="1" t="s">
        <v>57</v>
      </c>
      <c r="Z28" s="32" t="s">
        <v>106</v>
      </c>
    </row>
    <row r="29" spans="1:28" ht="14.25">
      <c r="A29" t="str">
        <f aca="true" t="shared" si="1" ref="A29:A34">A18</f>
        <v>Residential</v>
      </c>
      <c r="B29" s="26">
        <v>3207584.26223314</v>
      </c>
      <c r="C29" s="26">
        <v>2875889.7317211456</v>
      </c>
      <c r="D29" s="26">
        <v>2451788.673720007</v>
      </c>
      <c r="E29" s="26">
        <v>1898201.501983757</v>
      </c>
      <c r="F29" s="26">
        <v>1854512.0914415237</v>
      </c>
      <c r="G29" s="26">
        <v>1818263.1305497813</v>
      </c>
      <c r="H29" s="26">
        <v>1795896.353674665</v>
      </c>
      <c r="I29" s="26">
        <v>2619447.4872473045</v>
      </c>
      <c r="J29" s="26">
        <v>3383246.740978651</v>
      </c>
      <c r="K29" s="26">
        <v>4282531.513319478</v>
      </c>
      <c r="L29" s="26">
        <v>5069963.24390705</v>
      </c>
      <c r="M29" s="26">
        <v>4595294.33213679</v>
      </c>
      <c r="N29" s="26">
        <v>4143153.3912714957</v>
      </c>
      <c r="O29" s="26">
        <v>3086329.661817488</v>
      </c>
      <c r="P29" s="26">
        <v>2238905.667863218</v>
      </c>
      <c r="Q29" s="26">
        <v>1818254.8932552424</v>
      </c>
      <c r="R29" s="26">
        <v>1817798.0445871917</v>
      </c>
      <c r="S29" s="26">
        <v>1777645.2956735322</v>
      </c>
      <c r="T29" s="26">
        <v>1841337.8424334058</v>
      </c>
      <c r="U29" s="26">
        <v>2637782.0989986747</v>
      </c>
      <c r="V29" s="26">
        <v>3297857.2265255963</v>
      </c>
      <c r="W29" s="26">
        <v>4250348.8475344675</v>
      </c>
      <c r="X29" s="26">
        <v>5240549.112034761</v>
      </c>
      <c r="Y29" s="26">
        <v>4355748.252408838</v>
      </c>
      <c r="Z29" s="59">
        <v>3749686.689967884</v>
      </c>
      <c r="AB29" s="36">
        <f>X29+Y29</f>
        <v>9596297.3644436</v>
      </c>
    </row>
    <row r="30" spans="1:28" ht="14.25">
      <c r="A30" t="str">
        <f t="shared" si="1"/>
        <v>General Service &lt; 50 kW</v>
      </c>
      <c r="B30" s="26">
        <v>3618541.970527109</v>
      </c>
      <c r="C30" s="26">
        <v>2269492.3672775375</v>
      </c>
      <c r="D30" s="26">
        <v>1207759.701492537</v>
      </c>
      <c r="E30" s="26">
        <v>1182105.0538447006</v>
      </c>
      <c r="F30" s="26">
        <v>1294071.1127904784</v>
      </c>
      <c r="G30" s="26">
        <v>1282572.5580955981</v>
      </c>
      <c r="H30" s="26">
        <v>1154030.0585679205</v>
      </c>
      <c r="I30" s="26">
        <v>1256878.6982807477</v>
      </c>
      <c r="J30" s="26">
        <v>1421251.9270734948</v>
      </c>
      <c r="K30" s="26">
        <v>1675544.2754581517</v>
      </c>
      <c r="L30" s="26">
        <v>1948419.884753448</v>
      </c>
      <c r="M30" s="26">
        <v>1801388.380880409</v>
      </c>
      <c r="N30" s="26">
        <v>1686115.2843378044</v>
      </c>
      <c r="O30" s="26">
        <v>1318611.741923295</v>
      </c>
      <c r="P30" s="26">
        <v>1150528.4526733404</v>
      </c>
      <c r="Q30" s="26">
        <v>1145778.934441715</v>
      </c>
      <c r="R30" s="26">
        <v>1239591.7910447763</v>
      </c>
      <c r="S30" s="26">
        <v>1190723.9372756477</v>
      </c>
      <c r="T30" s="26">
        <v>1077675.0991876067</v>
      </c>
      <c r="U30" s="26">
        <v>1252195.4373701117</v>
      </c>
      <c r="V30" s="26">
        <v>1398586.1515208764</v>
      </c>
      <c r="W30" s="26">
        <v>1683426.5539391637</v>
      </c>
      <c r="X30" s="26">
        <v>1997912.4976383885</v>
      </c>
      <c r="Y30" s="26">
        <v>1739100.0472321927</v>
      </c>
      <c r="Z30" s="59">
        <v>1562421.68902324</v>
      </c>
      <c r="AB30" s="36">
        <f>X30+Y30</f>
        <v>3737012.5448705815</v>
      </c>
    </row>
    <row r="31" spans="1:28" ht="14.25">
      <c r="A31" t="str">
        <f t="shared" si="1"/>
        <v>General Service &gt; 50 kW</v>
      </c>
      <c r="B31" s="26">
        <v>849.01</v>
      </c>
      <c r="C31" s="26">
        <v>3650.36</v>
      </c>
      <c r="D31" s="26">
        <v>5694.35</v>
      </c>
      <c r="E31" s="26">
        <v>5206.55</v>
      </c>
      <c r="F31" s="26">
        <v>1274.46</v>
      </c>
      <c r="G31" s="26">
        <v>455.07</v>
      </c>
      <c r="H31" s="26">
        <v>448.1</v>
      </c>
      <c r="I31" s="26">
        <v>5805.45</v>
      </c>
      <c r="J31" s="26">
        <v>6607</v>
      </c>
      <c r="K31" s="26">
        <v>7672.64</v>
      </c>
      <c r="L31" s="26">
        <v>3373.03</v>
      </c>
      <c r="M31" s="26">
        <v>3317.28</v>
      </c>
      <c r="N31" s="26">
        <v>4121.22</v>
      </c>
      <c r="O31" s="26">
        <v>4127.15</v>
      </c>
      <c r="P31" s="26">
        <v>3968.85</v>
      </c>
      <c r="Q31" s="26">
        <v>3854.82</v>
      </c>
      <c r="R31" s="26">
        <v>3770.41</v>
      </c>
      <c r="S31" s="26">
        <v>3969.35</v>
      </c>
      <c r="T31" s="26">
        <v>3953.68</v>
      </c>
      <c r="U31" s="26">
        <v>4145.03</v>
      </c>
      <c r="V31" s="26">
        <v>4747.01</v>
      </c>
      <c r="W31" s="26">
        <v>4861.85</v>
      </c>
      <c r="X31" s="26">
        <v>7869.34</v>
      </c>
      <c r="Y31" s="26">
        <v>7556.58</v>
      </c>
      <c r="Z31" s="59">
        <v>7185.65</v>
      </c>
      <c r="AB31" s="36">
        <f>X31+Y31</f>
        <v>15425.92</v>
      </c>
    </row>
    <row r="32" spans="1:26" ht="14.25">
      <c r="A32" t="str">
        <f t="shared" si="1"/>
        <v>Sentinel Lights</v>
      </c>
      <c r="B32" s="26">
        <v>3.4</v>
      </c>
      <c r="C32" s="26">
        <v>3.4</v>
      </c>
      <c r="D32" s="26">
        <v>3.4</v>
      </c>
      <c r="E32" s="26">
        <v>3.4</v>
      </c>
      <c r="F32" s="26">
        <v>3.4</v>
      </c>
      <c r="G32" s="26">
        <v>3.4</v>
      </c>
      <c r="H32" s="26">
        <v>3.4</v>
      </c>
      <c r="I32" s="26">
        <v>3.4</v>
      </c>
      <c r="J32" s="26">
        <v>3.4</v>
      </c>
      <c r="K32" s="26">
        <v>3.4</v>
      </c>
      <c r="L32" s="26">
        <v>3.4</v>
      </c>
      <c r="M32" s="26">
        <v>3.4</v>
      </c>
      <c r="N32" s="26">
        <v>3.4</v>
      </c>
      <c r="O32" s="26">
        <v>3.4</v>
      </c>
      <c r="P32" s="26">
        <v>3.4</v>
      </c>
      <c r="Q32" s="26">
        <v>3.4</v>
      </c>
      <c r="R32" s="26">
        <v>3.4</v>
      </c>
      <c r="S32" s="26">
        <v>3.4</v>
      </c>
      <c r="T32" s="26">
        <v>3.4</v>
      </c>
      <c r="U32" s="26">
        <v>3.4</v>
      </c>
      <c r="V32" s="26">
        <v>3.4</v>
      </c>
      <c r="W32" s="26">
        <v>3.4</v>
      </c>
      <c r="X32" s="26">
        <v>3.4</v>
      </c>
      <c r="Y32" s="26">
        <v>3.4</v>
      </c>
      <c r="Z32" s="59">
        <v>3.4</v>
      </c>
    </row>
    <row r="33" spans="1:26" ht="14.25">
      <c r="A33" t="str">
        <f t="shared" si="1"/>
        <v>Street Lights</v>
      </c>
      <c r="B33" s="26">
        <v>174</v>
      </c>
      <c r="C33" s="26">
        <v>174</v>
      </c>
      <c r="D33" s="26">
        <v>173.94</v>
      </c>
      <c r="E33" s="26">
        <v>208.41</v>
      </c>
      <c r="F33" s="26">
        <v>239.18</v>
      </c>
      <c r="G33" s="26">
        <v>160.56</v>
      </c>
      <c r="H33" s="26">
        <v>188.8</v>
      </c>
      <c r="I33" s="26">
        <v>202</v>
      </c>
      <c r="J33" s="26">
        <v>212.24</v>
      </c>
      <c r="K33" s="26">
        <v>223.64</v>
      </c>
      <c r="L33" s="26">
        <v>175.55</v>
      </c>
      <c r="M33" s="26">
        <v>192.38</v>
      </c>
      <c r="N33" s="26">
        <v>223.64</v>
      </c>
      <c r="O33" s="26">
        <v>192.08</v>
      </c>
      <c r="P33" s="26">
        <v>200.98</v>
      </c>
      <c r="Q33" s="26">
        <v>195.48</v>
      </c>
      <c r="R33" s="26">
        <v>207.43</v>
      </c>
      <c r="S33" s="26">
        <v>208.73</v>
      </c>
      <c r="T33" s="26">
        <v>196.35</v>
      </c>
      <c r="U33" s="26">
        <v>207.65</v>
      </c>
      <c r="V33" s="26">
        <v>235.45</v>
      </c>
      <c r="W33" s="26">
        <v>202</v>
      </c>
      <c r="X33" s="26">
        <v>202.45</v>
      </c>
      <c r="Y33" s="26">
        <v>201.55</v>
      </c>
      <c r="Z33" s="59">
        <v>202.22</v>
      </c>
    </row>
    <row r="34" spans="1:26" ht="14.25">
      <c r="A34" t="str">
        <f t="shared" si="1"/>
        <v>Unmetered Loads</v>
      </c>
      <c r="B34" s="26">
        <v>7268</v>
      </c>
      <c r="C34" s="26">
        <v>7267.995465709429</v>
      </c>
      <c r="D34" s="26">
        <v>9759.522010202152</v>
      </c>
      <c r="E34" s="26">
        <v>10494.946155299453</v>
      </c>
      <c r="F34" s="26">
        <v>11350.491214812013</v>
      </c>
      <c r="G34" s="26">
        <v>9323.096542603436</v>
      </c>
      <c r="H34" s="26">
        <v>10494.256565274893</v>
      </c>
      <c r="I34" s="26">
        <v>10000.217268089928</v>
      </c>
      <c r="J34" s="26">
        <v>10259.484224447384</v>
      </c>
      <c r="K34" s="26">
        <v>11126.18552805592</v>
      </c>
      <c r="L34" s="35">
        <v>9246.740978651047</v>
      </c>
      <c r="M34" s="35">
        <v>9580.80483657661</v>
      </c>
      <c r="N34" s="35">
        <v>10967.457018703946</v>
      </c>
      <c r="O34" s="59">
        <v>9996.202531645571</v>
      </c>
      <c r="P34" s="59">
        <v>10727.91422633667</v>
      </c>
      <c r="Q34" s="59">
        <v>10057.576043831476</v>
      </c>
      <c r="R34" s="59">
        <v>10242.679010013226</v>
      </c>
      <c r="S34" s="59">
        <v>10371.87795201209</v>
      </c>
      <c r="T34" s="59">
        <v>9449.06480256943</v>
      </c>
      <c r="U34" s="59">
        <v>10247.184961269604</v>
      </c>
      <c r="V34" s="59">
        <v>9997.440015114302</v>
      </c>
      <c r="W34" s="59">
        <v>9482.457963347817</v>
      </c>
      <c r="X34" s="59">
        <v>10428.78329869639</v>
      </c>
      <c r="Y34" s="59">
        <v>10176.71452862271</v>
      </c>
      <c r="Z34" s="59">
        <v>9729.17060268279</v>
      </c>
    </row>
    <row r="35" spans="1:14" ht="14.2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4.2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21">
      <c r="A37" s="25" t="s">
        <v>60</v>
      </c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4.2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26" ht="18">
      <c r="A39"/>
      <c r="B39" s="83">
        <f>B27</f>
        <v>2002</v>
      </c>
      <c r="C39" s="83"/>
      <c r="D39" s="83"/>
      <c r="E39" s="83"/>
      <c r="F39" s="83"/>
      <c r="G39" s="83"/>
      <c r="H39" s="83"/>
      <c r="I39" s="83"/>
      <c r="J39" s="83"/>
      <c r="K39" s="83"/>
      <c r="L39" s="85">
        <f>L27</f>
        <v>2003</v>
      </c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6">
        <v>2004</v>
      </c>
      <c r="Y39" s="86"/>
      <c r="Z39" s="86"/>
    </row>
    <row r="40" spans="1:26" s="32" customFormat="1" ht="14.25">
      <c r="A40" s="23" t="str">
        <f aca="true" t="shared" si="2" ref="A40:A46">A28</f>
        <v>Rate Class</v>
      </c>
      <c r="B40" s="1" t="s">
        <v>9</v>
      </c>
      <c r="C40" s="1" t="s">
        <v>16</v>
      </c>
      <c r="D40" s="1" t="s">
        <v>17</v>
      </c>
      <c r="E40" s="1" t="s">
        <v>18</v>
      </c>
      <c r="F40" s="1" t="s">
        <v>19</v>
      </c>
      <c r="G40" s="1" t="s">
        <v>51</v>
      </c>
      <c r="H40" s="1" t="s">
        <v>52</v>
      </c>
      <c r="I40" s="1" t="s">
        <v>53</v>
      </c>
      <c r="J40" s="1" t="s">
        <v>54</v>
      </c>
      <c r="K40" s="1" t="s">
        <v>55</v>
      </c>
      <c r="L40" s="1" t="s">
        <v>56</v>
      </c>
      <c r="M40" s="1" t="s">
        <v>57</v>
      </c>
      <c r="N40" s="1" t="s">
        <v>58</v>
      </c>
      <c r="O40" s="1" t="s">
        <v>16</v>
      </c>
      <c r="P40" s="1" t="s">
        <v>17</v>
      </c>
      <c r="Q40" s="1" t="s">
        <v>18</v>
      </c>
      <c r="R40" s="1" t="s">
        <v>19</v>
      </c>
      <c r="S40" s="1" t="s">
        <v>51</v>
      </c>
      <c r="T40" s="1" t="s">
        <v>52</v>
      </c>
      <c r="U40" s="1" t="s">
        <v>53</v>
      </c>
      <c r="V40" s="1" t="s">
        <v>54</v>
      </c>
      <c r="W40" s="1" t="s">
        <v>55</v>
      </c>
      <c r="X40" s="1" t="s">
        <v>56</v>
      </c>
      <c r="Y40" s="1" t="s">
        <v>57</v>
      </c>
      <c r="Z40" s="32" t="s">
        <v>106</v>
      </c>
    </row>
    <row r="41" spans="1:26" ht="14.25">
      <c r="A41" s="27" t="str">
        <f t="shared" si="2"/>
        <v>Residential</v>
      </c>
      <c r="B41" s="26">
        <f aca="true" t="shared" si="3" ref="B41:B46">(B18*($D8+$F8)+B29*($E8+$G8))*0.5</f>
        <v>5138.679717777759</v>
      </c>
      <c r="C41" s="26">
        <f aca="true" t="shared" si="4" ref="C41:Y41">(C18*($D8+$F8)+C29*($E8+$G8))</f>
        <v>9806.764517621345</v>
      </c>
      <c r="D41" s="26">
        <f t="shared" si="4"/>
        <v>9278.78329867668</v>
      </c>
      <c r="E41" s="26">
        <f t="shared" si="4"/>
        <v>8476.169780383869</v>
      </c>
      <c r="F41" s="26">
        <f t="shared" si="4"/>
        <v>8406.279185904308</v>
      </c>
      <c r="G41" s="26">
        <f t="shared" si="4"/>
        <v>8367.320313031069</v>
      </c>
      <c r="H41" s="26">
        <f t="shared" si="4"/>
        <v>8328.257812359927</v>
      </c>
      <c r="I41" s="26">
        <f t="shared" si="4"/>
        <v>9496.525500891697</v>
      </c>
      <c r="J41" s="26">
        <f t="shared" si="4"/>
        <v>10656.86031536025</v>
      </c>
      <c r="K41" s="26">
        <f t="shared" si="4"/>
        <v>11966.005462232955</v>
      </c>
      <c r="L41" s="26">
        <f t="shared" si="4"/>
        <v>13082.052005810907</v>
      </c>
      <c r="M41" s="26">
        <f t="shared" si="4"/>
        <v>12406.987464645219</v>
      </c>
      <c r="N41" s="26">
        <f t="shared" si="4"/>
        <v>11712.936938426701</v>
      </c>
      <c r="O41" s="26">
        <f t="shared" si="4"/>
        <v>10236.546359402855</v>
      </c>
      <c r="P41" s="26">
        <f t="shared" si="4"/>
        <v>8986.689929061828</v>
      </c>
      <c r="Q41" s="26">
        <f t="shared" si="4"/>
        <v>8427.83154002875</v>
      </c>
      <c r="R41" s="26">
        <f t="shared" si="4"/>
        <v>8366.647895453225</v>
      </c>
      <c r="S41" s="26">
        <f t="shared" si="4"/>
        <v>8326.52815226202</v>
      </c>
      <c r="T41" s="26">
        <f t="shared" si="4"/>
        <v>8432.063914589038</v>
      </c>
      <c r="U41" s="26">
        <f t="shared" si="4"/>
        <v>9612.697442225974</v>
      </c>
      <c r="V41" s="26">
        <f t="shared" si="4"/>
        <v>10513.230457138761</v>
      </c>
      <c r="W41" s="26">
        <f t="shared" si="4"/>
        <v>11930.684008770586</v>
      </c>
      <c r="X41" s="26">
        <f t="shared" si="4"/>
        <v>13328.683694331707</v>
      </c>
      <c r="Y41" s="26">
        <f t="shared" si="4"/>
        <v>12031.51288244165</v>
      </c>
      <c r="Z41" s="26">
        <f aca="true" t="shared" si="5" ref="Z41:Z46">(Z18*($D8+$F8)+Z29*($E8+$G8))*0.5</f>
        <v>5583.240947086672</v>
      </c>
    </row>
    <row r="42" spans="1:26" ht="14.25">
      <c r="A42" s="27" t="str">
        <f t="shared" si="2"/>
        <v>General Service &lt; 50 kW</v>
      </c>
      <c r="B42" s="26">
        <f t="shared" si="3"/>
        <v>2991.6818090635466</v>
      </c>
      <c r="C42" s="26">
        <f aca="true" t="shared" si="6" ref="C42:Y42">(C19*($D9+$F9)+C30*($E9+$G9))</f>
        <v>4517.50040071315</v>
      </c>
      <c r="D42" s="26">
        <f t="shared" si="6"/>
        <v>3089.2771618568786</v>
      </c>
      <c r="E42" s="26">
        <f t="shared" si="6"/>
        <v>3070.5440655930097</v>
      </c>
      <c r="F42" s="26">
        <f t="shared" si="6"/>
        <v>3224.35058917294</v>
      </c>
      <c r="G42" s="26">
        <f t="shared" si="6"/>
        <v>3170.372484639825</v>
      </c>
      <c r="H42" s="26">
        <f t="shared" si="6"/>
        <v>3042.2453718422985</v>
      </c>
      <c r="I42" s="26">
        <f t="shared" si="6"/>
        <v>3134.5163604945546</v>
      </c>
      <c r="J42" s="26">
        <f t="shared" si="6"/>
        <v>3296.287553346072</v>
      </c>
      <c r="K42" s="26">
        <f t="shared" si="6"/>
        <v>3552.802855178902</v>
      </c>
      <c r="L42" s="26">
        <f t="shared" si="6"/>
        <v>3867.8836327534855</v>
      </c>
      <c r="M42" s="26">
        <f t="shared" si="6"/>
        <v>3708.623491577483</v>
      </c>
      <c r="N42" s="26">
        <f t="shared" si="6"/>
        <v>3585.2386943495944</v>
      </c>
      <c r="O42" s="26">
        <f t="shared" si="6"/>
        <v>3173.5103232956035</v>
      </c>
      <c r="P42" s="26">
        <f t="shared" si="6"/>
        <v>2990.4693913116507</v>
      </c>
      <c r="Q42" s="26">
        <f t="shared" si="6"/>
        <v>3009.0144044673098</v>
      </c>
      <c r="R42" s="26">
        <f t="shared" si="6"/>
        <v>3104.741260642207</v>
      </c>
      <c r="S42" s="26">
        <f t="shared" si="6"/>
        <v>3046.1227754188794</v>
      </c>
      <c r="T42" s="26">
        <f t="shared" si="6"/>
        <v>2932.082066881683</v>
      </c>
      <c r="U42" s="26">
        <f t="shared" si="6"/>
        <v>3132.641741074679</v>
      </c>
      <c r="V42" s="26">
        <f t="shared" si="6"/>
        <v>3263.8520530148726</v>
      </c>
      <c r="W42" s="26">
        <f t="shared" si="6"/>
        <v>3606.1116413825157</v>
      </c>
      <c r="X42" s="26">
        <f t="shared" si="6"/>
        <v>3940.8708524912367</v>
      </c>
      <c r="Y42" s="26">
        <f t="shared" si="6"/>
        <v>3641.676282839302</v>
      </c>
      <c r="Z42" s="26">
        <f t="shared" si="5"/>
        <v>1724.4630387962857</v>
      </c>
    </row>
    <row r="43" spans="1:26" ht="14.25">
      <c r="A43" s="27" t="str">
        <f t="shared" si="2"/>
        <v>General Service &gt; 50 kW</v>
      </c>
      <c r="B43" s="26">
        <f t="shared" si="3"/>
        <v>205.38725065641466</v>
      </c>
      <c r="C43" s="26">
        <f aca="true" t="shared" si="7" ref="C43:Y43">(C20*($D10+$F10)+C31*($E10+$G10))</f>
        <v>2729.9738457795584</v>
      </c>
      <c r="D43" s="26">
        <f t="shared" si="7"/>
        <v>3622.246878421718</v>
      </c>
      <c r="E43" s="26">
        <f t="shared" si="7"/>
        <v>3425.6954854423816</v>
      </c>
      <c r="F43" s="26">
        <f t="shared" si="7"/>
        <v>650.8821145356062</v>
      </c>
      <c r="G43" s="26">
        <f t="shared" si="7"/>
        <v>252.0425297050399</v>
      </c>
      <c r="H43" s="26">
        <f t="shared" si="7"/>
        <v>249.23407704192803</v>
      </c>
      <c r="I43" s="26">
        <f t="shared" si="7"/>
        <v>3667.012888589828</v>
      </c>
      <c r="J43" s="26">
        <f t="shared" si="7"/>
        <v>4905.707333449906</v>
      </c>
      <c r="K43" s="26">
        <f t="shared" si="7"/>
        <v>4419.367942827399</v>
      </c>
      <c r="L43" s="26">
        <f t="shared" si="7"/>
        <v>2686.9072319461284</v>
      </c>
      <c r="M43" s="26">
        <f t="shared" si="7"/>
        <v>2687.3366997001376</v>
      </c>
      <c r="N43" s="26">
        <f t="shared" si="7"/>
        <v>3377.5607245789224</v>
      </c>
      <c r="O43" s="26">
        <f t="shared" si="7"/>
        <v>3036.554229755855</v>
      </c>
      <c r="P43" s="26">
        <f t="shared" si="7"/>
        <v>2949.8766569029794</v>
      </c>
      <c r="Q43" s="26">
        <f t="shared" si="7"/>
        <v>2926.8231087020167</v>
      </c>
      <c r="R43" s="26">
        <f t="shared" si="7"/>
        <v>2869.918357553206</v>
      </c>
      <c r="S43" s="26">
        <f t="shared" si="7"/>
        <v>2950.0781240954548</v>
      </c>
      <c r="T43" s="26">
        <f t="shared" si="7"/>
        <v>2943.764142283265</v>
      </c>
      <c r="U43" s="26">
        <f t="shared" si="7"/>
        <v>2997.9725771286776</v>
      </c>
      <c r="V43" s="26">
        <f t="shared" si="7"/>
        <v>3263.4240778968297</v>
      </c>
      <c r="W43" s="26">
        <f t="shared" si="7"/>
        <v>3309.697062664659</v>
      </c>
      <c r="X43" s="26">
        <f t="shared" si="7"/>
        <v>4498.625136347357</v>
      </c>
      <c r="Y43" s="26">
        <f t="shared" si="7"/>
        <v>4372.603378109929</v>
      </c>
      <c r="Z43" s="26">
        <f t="shared" si="5"/>
        <v>2123.0179932074643</v>
      </c>
    </row>
    <row r="44" spans="1:26" ht="14.25">
      <c r="A44" s="27" t="str">
        <f t="shared" si="2"/>
        <v>Sentinel Lights</v>
      </c>
      <c r="B44" s="26">
        <f t="shared" si="3"/>
        <v>2.6132660331614446</v>
      </c>
      <c r="C44" s="26">
        <f aca="true" t="shared" si="8" ref="C44:Y44">(C21*($D11+$F11)+C32*($E11+$G11))</f>
        <v>5.226532066322889</v>
      </c>
      <c r="D44" s="26">
        <f t="shared" si="8"/>
        <v>5.226532066322889</v>
      </c>
      <c r="E44" s="26">
        <f t="shared" si="8"/>
        <v>5.456275025374568</v>
      </c>
      <c r="F44" s="26">
        <f t="shared" si="8"/>
        <v>5.456275025374568</v>
      </c>
      <c r="G44" s="26">
        <f t="shared" si="8"/>
        <v>5.456275025374568</v>
      </c>
      <c r="H44" s="26">
        <f t="shared" si="8"/>
        <v>5.456275025374568</v>
      </c>
      <c r="I44" s="26">
        <f t="shared" si="8"/>
        <v>5.456275025374568</v>
      </c>
      <c r="J44" s="26">
        <f t="shared" si="8"/>
        <v>5.456275025374568</v>
      </c>
      <c r="K44" s="26">
        <f t="shared" si="8"/>
        <v>5.456275025374568</v>
      </c>
      <c r="L44" s="26">
        <f t="shared" si="8"/>
        <v>5.456275025374568</v>
      </c>
      <c r="M44" s="26">
        <f t="shared" si="8"/>
        <v>5.456275025374568</v>
      </c>
      <c r="N44" s="26">
        <f t="shared" si="8"/>
        <v>5.456275025374568</v>
      </c>
      <c r="O44" s="26">
        <f t="shared" si="8"/>
        <v>5.456275025374568</v>
      </c>
      <c r="P44" s="26">
        <f t="shared" si="8"/>
        <v>5.456275025374568</v>
      </c>
      <c r="Q44" s="26">
        <f t="shared" si="8"/>
        <v>5.456275025374568</v>
      </c>
      <c r="R44" s="26">
        <f t="shared" si="8"/>
        <v>5.456275025374568</v>
      </c>
      <c r="S44" s="26">
        <f t="shared" si="8"/>
        <v>5.456275025374568</v>
      </c>
      <c r="T44" s="26">
        <f t="shared" si="8"/>
        <v>5.456275025374568</v>
      </c>
      <c r="U44" s="26">
        <f t="shared" si="8"/>
        <v>5.456275025374568</v>
      </c>
      <c r="V44" s="26">
        <f t="shared" si="8"/>
        <v>5.456275025374568</v>
      </c>
      <c r="W44" s="26">
        <f t="shared" si="8"/>
        <v>5.456275025374568</v>
      </c>
      <c r="X44" s="26">
        <f t="shared" si="8"/>
        <v>4.99678910727121</v>
      </c>
      <c r="Y44" s="26">
        <f t="shared" si="8"/>
        <v>4.767046148219531</v>
      </c>
      <c r="Z44" s="26">
        <f t="shared" si="5"/>
        <v>2.3835230741097657</v>
      </c>
    </row>
    <row r="45" spans="1:26" ht="14.25">
      <c r="A45" s="27" t="str">
        <f t="shared" si="2"/>
        <v>Street Lights</v>
      </c>
      <c r="B45" s="26">
        <f t="shared" si="3"/>
        <v>68.69375465917896</v>
      </c>
      <c r="C45" s="26">
        <f aca="true" t="shared" si="9" ref="C45:Y45">(C22*($D12+$F12)+C33*($E12+$G12))</f>
        <v>137.38750931835793</v>
      </c>
      <c r="D45" s="26">
        <f t="shared" si="9"/>
        <v>137.35917539927016</v>
      </c>
      <c r="E45" s="26">
        <f t="shared" si="9"/>
        <v>153.63701191519596</v>
      </c>
      <c r="F45" s="26">
        <f t="shared" si="9"/>
        <v>168.16759008737571</v>
      </c>
      <c r="G45" s="26">
        <f t="shared" si="9"/>
        <v>131.0407114426967</v>
      </c>
      <c r="H45" s="26">
        <f t="shared" si="9"/>
        <v>144.37654269334203</v>
      </c>
      <c r="I45" s="26">
        <f t="shared" si="9"/>
        <v>150.61000489265217</v>
      </c>
      <c r="J45" s="26">
        <f t="shared" si="9"/>
        <v>155.4456604169655</v>
      </c>
      <c r="K45" s="26">
        <f t="shared" si="9"/>
        <v>160.82910504364241</v>
      </c>
      <c r="L45" s="26">
        <f t="shared" si="9"/>
        <v>138.11946889479208</v>
      </c>
      <c r="M45" s="26">
        <f t="shared" si="9"/>
        <v>146.0671331989125</v>
      </c>
      <c r="N45" s="26">
        <f t="shared" si="9"/>
        <v>160.82910504364241</v>
      </c>
      <c r="O45" s="26">
        <f t="shared" si="9"/>
        <v>145.92546360347364</v>
      </c>
      <c r="P45" s="26">
        <f t="shared" si="9"/>
        <v>150.12832826816</v>
      </c>
      <c r="Q45" s="26">
        <f t="shared" si="9"/>
        <v>147.5310523517808</v>
      </c>
      <c r="R45" s="26">
        <f t="shared" si="9"/>
        <v>153.17422457009565</v>
      </c>
      <c r="S45" s="26">
        <f t="shared" si="9"/>
        <v>153.78812615033073</v>
      </c>
      <c r="T45" s="26">
        <f t="shared" si="9"/>
        <v>147.9418941785535</v>
      </c>
      <c r="U45" s="26">
        <f t="shared" si="9"/>
        <v>153.27811560675082</v>
      </c>
      <c r="V45" s="26">
        <f t="shared" si="9"/>
        <v>166.4061647840858</v>
      </c>
      <c r="W45" s="26">
        <f t="shared" si="9"/>
        <v>150.61000489265217</v>
      </c>
      <c r="X45" s="26">
        <f t="shared" si="9"/>
        <v>150.82250928581047</v>
      </c>
      <c r="Y45" s="26">
        <f t="shared" si="9"/>
        <v>150.39750049949387</v>
      </c>
      <c r="Z45" s="26">
        <f t="shared" si="5"/>
        <v>75.35694796465367</v>
      </c>
    </row>
    <row r="46" spans="1:26" ht="14.25">
      <c r="A46" s="28" t="str">
        <f t="shared" si="2"/>
        <v>Unmetered Loads</v>
      </c>
      <c r="B46" s="29">
        <f t="shared" si="3"/>
        <v>35.43244535532717</v>
      </c>
      <c r="C46" s="29">
        <f aca="true" t="shared" si="10" ref="C46:Y46">(C23*($D13+$F13)+C34*($E13+$G13))</f>
        <v>70.86486091582752</v>
      </c>
      <c r="D46" s="29">
        <f t="shared" si="10"/>
        <v>87.23668374837308</v>
      </c>
      <c r="E46" s="29">
        <f t="shared" si="10"/>
        <v>92.06915636919388</v>
      </c>
      <c r="F46" s="29">
        <f t="shared" si="10"/>
        <v>97.69094361065837</v>
      </c>
      <c r="G46" s="29">
        <f t="shared" si="10"/>
        <v>84.36893166644944</v>
      </c>
      <c r="H46" s="29">
        <f t="shared" si="10"/>
        <v>92.0646250726142</v>
      </c>
      <c r="I46" s="29">
        <f t="shared" si="10"/>
        <v>88.8182924723431</v>
      </c>
      <c r="J46" s="29">
        <f t="shared" si="10"/>
        <v>90.52193584118459</v>
      </c>
      <c r="K46" s="29">
        <f t="shared" si="10"/>
        <v>96.2170307711502</v>
      </c>
      <c r="L46" s="29">
        <f t="shared" si="10"/>
        <v>82.5834849115103</v>
      </c>
      <c r="M46" s="29">
        <f t="shared" si="10"/>
        <v>84.7786187778555</v>
      </c>
      <c r="N46" s="29">
        <f t="shared" si="10"/>
        <v>93.89031132888694</v>
      </c>
      <c r="O46" s="29">
        <f t="shared" si="10"/>
        <v>87.50819735037737</v>
      </c>
      <c r="P46" s="29">
        <f t="shared" si="10"/>
        <v>92.316275456735</v>
      </c>
      <c r="Q46" s="29">
        <f t="shared" si="10"/>
        <v>87.91148274596736</v>
      </c>
      <c r="R46" s="29">
        <f t="shared" si="10"/>
        <v>89.12779447854948</v>
      </c>
      <c r="S46" s="29">
        <f t="shared" si="10"/>
        <v>89.97676082539945</v>
      </c>
      <c r="T46" s="29">
        <f t="shared" si="10"/>
        <v>83.91295491347222</v>
      </c>
      <c r="U46" s="29">
        <f t="shared" si="10"/>
        <v>89.15740308770701</v>
      </c>
      <c r="V46" s="29">
        <f t="shared" si="10"/>
        <v>87.5163288551984</v>
      </c>
      <c r="W46" s="29">
        <f t="shared" si="10"/>
        <v>84.1323813985285</v>
      </c>
      <c r="X46" s="29">
        <f t="shared" si="10"/>
        <v>90.35068590205547</v>
      </c>
      <c r="Y46" s="29">
        <f t="shared" si="10"/>
        <v>89.97805610651326</v>
      </c>
      <c r="Z46" s="29">
        <f t="shared" si="5"/>
        <v>43.51862231315603</v>
      </c>
    </row>
    <row r="47" spans="1:27" ht="14.25">
      <c r="A47" t="s">
        <v>13</v>
      </c>
      <c r="B47" s="26">
        <f>SUM(B41:B46)</f>
        <v>8442.48824354539</v>
      </c>
      <c r="C47" s="26">
        <f aca="true" t="shared" si="11" ref="C47:Z47">SUM(C41:C46)</f>
        <v>17267.717666414563</v>
      </c>
      <c r="D47" s="26">
        <f t="shared" si="11"/>
        <v>16220.129730169243</v>
      </c>
      <c r="E47" s="26">
        <f t="shared" si="11"/>
        <v>15223.571774729027</v>
      </c>
      <c r="F47" s="26">
        <f t="shared" si="11"/>
        <v>12552.826698336265</v>
      </c>
      <c r="G47" s="26">
        <f t="shared" si="11"/>
        <v>12010.601245510456</v>
      </c>
      <c r="H47" s="26">
        <f t="shared" si="11"/>
        <v>11861.634704035487</v>
      </c>
      <c r="I47" s="26">
        <f t="shared" si="11"/>
        <v>16542.939322366452</v>
      </c>
      <c r="J47" s="26">
        <f t="shared" si="11"/>
        <v>19110.279073439753</v>
      </c>
      <c r="K47" s="26">
        <f t="shared" si="11"/>
        <v>20200.678671079422</v>
      </c>
      <c r="L47" s="26">
        <f t="shared" si="11"/>
        <v>19863.002099342193</v>
      </c>
      <c r="M47" s="26">
        <f t="shared" si="11"/>
        <v>19039.249682924987</v>
      </c>
      <c r="N47" s="26">
        <f t="shared" si="11"/>
        <v>18935.91204875312</v>
      </c>
      <c r="O47" s="26">
        <f t="shared" si="11"/>
        <v>16685.50084843354</v>
      </c>
      <c r="P47" s="26">
        <f t="shared" si="11"/>
        <v>15174.936856026727</v>
      </c>
      <c r="Q47" s="26">
        <f t="shared" si="11"/>
        <v>14604.567863321201</v>
      </c>
      <c r="R47" s="26">
        <f t="shared" si="11"/>
        <v>14589.065807722658</v>
      </c>
      <c r="S47" s="26">
        <f t="shared" si="11"/>
        <v>14571.95021377746</v>
      </c>
      <c r="T47" s="26">
        <f t="shared" si="11"/>
        <v>14545.221247871388</v>
      </c>
      <c r="U47" s="26">
        <f t="shared" si="11"/>
        <v>15991.203554149164</v>
      </c>
      <c r="V47" s="26">
        <f t="shared" si="11"/>
        <v>17299.885356715124</v>
      </c>
      <c r="W47" s="26">
        <f t="shared" si="11"/>
        <v>19086.691374134316</v>
      </c>
      <c r="X47" s="26">
        <f t="shared" si="11"/>
        <v>22014.349667465438</v>
      </c>
      <c r="Y47" s="26">
        <f t="shared" si="11"/>
        <v>20290.935146145108</v>
      </c>
      <c r="Z47" s="26">
        <f t="shared" si="11"/>
        <v>9551.981072442342</v>
      </c>
      <c r="AA47" s="36"/>
    </row>
    <row r="48" spans="2:11" ht="12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</sheetData>
  <sheetProtection/>
  <mergeCells count="12">
    <mergeCell ref="L16:W16"/>
    <mergeCell ref="L27:W27"/>
    <mergeCell ref="L39:W39"/>
    <mergeCell ref="X16:Z16"/>
    <mergeCell ref="X27:Z27"/>
    <mergeCell ref="X39:Z39"/>
    <mergeCell ref="B39:K39"/>
    <mergeCell ref="F6:G6"/>
    <mergeCell ref="B6:C6"/>
    <mergeCell ref="D6:E6"/>
    <mergeCell ref="B16:K16"/>
    <mergeCell ref="B27:K27"/>
  </mergeCells>
  <printOptions/>
  <pageMargins left="0.75" right="0.75" top="1" bottom="1" header="0.5" footer="0.5"/>
  <pageSetup fitToHeight="2" horizontalDpi="600" verticalDpi="600" orientation="landscape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3"/>
  <sheetViews>
    <sheetView zoomScale="70" zoomScaleNormal="70" zoomScalePageLayoutView="0" workbookViewId="0" topLeftCell="A1">
      <selection activeCell="G39" sqref="G39"/>
    </sheetView>
  </sheetViews>
  <sheetFormatPr defaultColWidth="21.28125" defaultRowHeight="15"/>
  <cols>
    <col min="1" max="1" width="34.421875" style="30" customWidth="1"/>
    <col min="2" max="2" width="13.57421875" style="30" customWidth="1"/>
    <col min="3" max="3" width="18.00390625" style="30" bestFit="1" customWidth="1"/>
    <col min="4" max="4" width="13.8515625" style="30" customWidth="1"/>
    <col min="5" max="5" width="18.140625" style="30" bestFit="1" customWidth="1"/>
    <col min="6" max="6" width="19.28125" style="30" bestFit="1" customWidth="1"/>
    <col min="7" max="7" width="22.421875" style="30" bestFit="1" customWidth="1"/>
    <col min="8" max="8" width="20.57421875" style="30" bestFit="1" customWidth="1"/>
    <col min="9" max="9" width="23.140625" style="30" bestFit="1" customWidth="1"/>
    <col min="10" max="10" width="19.28125" style="30" bestFit="1" customWidth="1"/>
    <col min="11" max="11" width="15.28125" style="30" customWidth="1"/>
    <col min="12" max="12" width="13.140625" style="30" bestFit="1" customWidth="1"/>
    <col min="13" max="13" width="12.8515625" style="30" bestFit="1" customWidth="1"/>
    <col min="14" max="14" width="12.421875" style="30" bestFit="1" customWidth="1"/>
    <col min="15" max="15" width="9.140625" style="30" customWidth="1"/>
    <col min="16" max="16" width="13.8515625" style="30" customWidth="1"/>
    <col min="17" max="17" width="15.28125" style="30" customWidth="1"/>
    <col min="18" max="254" width="9.140625" style="30" customWidth="1"/>
    <col min="255" max="16384" width="21.28125" style="30" customWidth="1"/>
  </cols>
  <sheetData>
    <row r="1" spans="1:13" ht="21">
      <c r="A1" s="25" t="s">
        <v>61</v>
      </c>
      <c r="B1"/>
      <c r="C1"/>
      <c r="D1"/>
      <c r="E1"/>
      <c r="F1"/>
      <c r="G1"/>
      <c r="H1"/>
      <c r="I1"/>
      <c r="J1"/>
      <c r="K1"/>
      <c r="L1"/>
      <c r="M1"/>
    </row>
    <row r="2" spans="1:13" ht="14.2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>
      <c r="A3" s="2" t="s">
        <v>39</v>
      </c>
      <c r="B3" s="34" t="s">
        <v>35</v>
      </c>
      <c r="C3"/>
      <c r="D3"/>
      <c r="E3"/>
      <c r="F3"/>
      <c r="G3"/>
      <c r="H3"/>
      <c r="I3"/>
      <c r="J3"/>
      <c r="K3"/>
      <c r="L3"/>
      <c r="M3"/>
    </row>
    <row r="4" spans="1:13" ht="14.25">
      <c r="A4" s="2" t="s">
        <v>67</v>
      </c>
      <c r="B4" s="34" t="s">
        <v>36</v>
      </c>
      <c r="C4"/>
      <c r="D4"/>
      <c r="E4"/>
      <c r="F4"/>
      <c r="G4"/>
      <c r="H4"/>
      <c r="I4"/>
      <c r="J4"/>
      <c r="K4"/>
      <c r="L4"/>
      <c r="M4"/>
    </row>
    <row r="5" spans="1:13" ht="14.2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4.25">
      <c r="A6" s="2"/>
      <c r="B6" s="84" t="s">
        <v>41</v>
      </c>
      <c r="C6" s="84"/>
      <c r="D6" s="84" t="s">
        <v>44</v>
      </c>
      <c r="E6" s="84"/>
      <c r="F6"/>
      <c r="G6"/>
      <c r="H6"/>
      <c r="I6"/>
      <c r="J6"/>
      <c r="K6"/>
      <c r="L6"/>
      <c r="M6"/>
    </row>
    <row r="7" spans="1:13" ht="14.25">
      <c r="A7" s="2" t="s">
        <v>40</v>
      </c>
      <c r="B7" s="23" t="s">
        <v>42</v>
      </c>
      <c r="C7" s="23" t="s">
        <v>43</v>
      </c>
      <c r="D7" s="23" t="s">
        <v>42</v>
      </c>
      <c r="E7" s="23" t="s">
        <v>43</v>
      </c>
      <c r="F7"/>
      <c r="G7"/>
      <c r="H7"/>
      <c r="I7"/>
      <c r="J7"/>
      <c r="K7"/>
      <c r="L7"/>
      <c r="M7"/>
    </row>
    <row r="8" spans="1:13" ht="14.25">
      <c r="A8" t="s">
        <v>45</v>
      </c>
      <c r="B8" s="8">
        <f>'[3]10. 2004 Rate Schedule '!$F$10</f>
        <v>15.99</v>
      </c>
      <c r="C8" s="24">
        <f>'[3]10. 2004 Rate Schedule '!$F$11</f>
        <v>0.012993130666277228</v>
      </c>
      <c r="D8" s="8">
        <v>0</v>
      </c>
      <c r="E8" s="24">
        <f>'[3]7. 2002 Data &amp; 2004 PILs'!$B$48</f>
        <v>0.003064078688955267</v>
      </c>
      <c r="F8"/>
      <c r="G8"/>
      <c r="H8"/>
      <c r="I8"/>
      <c r="J8"/>
      <c r="K8"/>
      <c r="L8"/>
      <c r="M8"/>
    </row>
    <row r="9" spans="1:13" ht="14.25">
      <c r="A9" t="s">
        <v>46</v>
      </c>
      <c r="B9" s="8">
        <f>'[3]10. 2004 Rate Schedule '!$F$22</f>
        <v>24.37</v>
      </c>
      <c r="C9" s="24">
        <f>'[3]10. 2004 Rate Schedule '!$F$23</f>
        <v>0.009760199144416986</v>
      </c>
      <c r="D9" s="8">
        <v>0</v>
      </c>
      <c r="E9" s="24">
        <f>'[3]7. 2002 Data &amp; 2004 PILs'!$B$66</f>
        <v>0.0016457101558318091</v>
      </c>
      <c r="F9"/>
      <c r="G9"/>
      <c r="H9"/>
      <c r="I9"/>
      <c r="J9"/>
      <c r="K9"/>
      <c r="L9"/>
      <c r="M9"/>
    </row>
    <row r="10" spans="1:13" ht="14.25">
      <c r="A10" t="s">
        <v>47</v>
      </c>
      <c r="B10" s="8">
        <f>'[3]10. 2004 Rate Schedule '!$F$28</f>
        <v>163.46</v>
      </c>
      <c r="C10" s="24">
        <f>'[3]10. 2004 Rate Schedule '!$F$29</f>
        <v>3.303052193655666</v>
      </c>
      <c r="D10" s="8">
        <v>0</v>
      </c>
      <c r="E10" s="24">
        <f>'[3]7. 2002 Data &amp; 2004 PILs'!$B$84</f>
        <v>0.5027284015172294</v>
      </c>
      <c r="F10"/>
      <c r="G10"/>
      <c r="H10"/>
      <c r="I10"/>
      <c r="J10"/>
      <c r="K10"/>
      <c r="L10"/>
      <c r="M10"/>
    </row>
    <row r="11" spans="1:13" ht="14.25">
      <c r="A11" t="s">
        <v>48</v>
      </c>
      <c r="B11" s="8">
        <f>'[3]10. 2004 Rate Schedule '!$F$63</f>
        <v>1.63</v>
      </c>
      <c r="C11" s="24">
        <f>'[3]10. 2004 Rate Schedule '!$F$64</f>
        <v>4.714867138332227</v>
      </c>
      <c r="D11" s="8">
        <v>0</v>
      </c>
      <c r="E11" s="24">
        <f>'[3]7. 2002 Data &amp; 2004 PILs'!$B$156</f>
        <v>1.266386715669602</v>
      </c>
      <c r="F11"/>
      <c r="G11"/>
      <c r="H11"/>
      <c r="I11"/>
      <c r="J11"/>
      <c r="K11"/>
      <c r="L11"/>
      <c r="M11"/>
    </row>
    <row r="12" spans="1:13" ht="14.25">
      <c r="A12" t="s">
        <v>49</v>
      </c>
      <c r="B12" s="8">
        <f>'[3]10. 2004 Rate Schedule '!$F$75</f>
        <v>0.39</v>
      </c>
      <c r="C12" s="24">
        <f>'[3]10. 2004 Rate Schedule '!$F$76</f>
        <v>4.246798676922417</v>
      </c>
      <c r="D12" s="8">
        <v>0</v>
      </c>
      <c r="E12" s="24">
        <f>'[3]7. 2002 Data &amp; 2004 PILs'!$B$174</f>
        <v>0.8692208663769545</v>
      </c>
      <c r="F12"/>
      <c r="G12"/>
      <c r="H12"/>
      <c r="I12"/>
      <c r="J12"/>
      <c r="K12"/>
      <c r="L12"/>
      <c r="M12"/>
    </row>
    <row r="13" spans="1:13" ht="14.25">
      <c r="A13" t="s">
        <v>50</v>
      </c>
      <c r="B13" s="8">
        <f>'[3]10. 2004 Rate Schedule '!$F$40</f>
        <v>8.6</v>
      </c>
      <c r="C13" s="24">
        <f>'[3]10. 2004 Rate Schedule '!$F$41</f>
        <v>0.04485044471229015</v>
      </c>
      <c r="D13" s="8">
        <v>0</v>
      </c>
      <c r="E13" s="24">
        <f>'[3]7. 2002 Data &amp; 2004 PILs'!$B$120</f>
        <v>0.006258517698367678</v>
      </c>
      <c r="F13"/>
      <c r="G13"/>
      <c r="H13"/>
      <c r="I13"/>
      <c r="J13"/>
      <c r="K13"/>
      <c r="L13"/>
      <c r="M13"/>
    </row>
    <row r="14" spans="1:17" ht="14.25">
      <c r="A14"/>
      <c r="B14"/>
      <c r="C14"/>
      <c r="D14"/>
      <c r="E14"/>
      <c r="F14"/>
      <c r="G14"/>
      <c r="H14"/>
      <c r="I14"/>
      <c r="J14"/>
      <c r="K14"/>
      <c r="L14"/>
      <c r="M14"/>
      <c r="Q14" s="30" t="s">
        <v>139</v>
      </c>
    </row>
    <row r="15" spans="1:17" ht="21">
      <c r="A15" s="25" t="s">
        <v>68</v>
      </c>
      <c r="B15"/>
      <c r="C15"/>
      <c r="D15"/>
      <c r="E15"/>
      <c r="F15"/>
      <c r="G15"/>
      <c r="H15"/>
      <c r="I15"/>
      <c r="J15"/>
      <c r="K15"/>
      <c r="L15"/>
      <c r="M15"/>
      <c r="P15" s="30">
        <v>2004</v>
      </c>
      <c r="Q15" s="30">
        <v>2005</v>
      </c>
    </row>
    <row r="16" spans="1:14" s="32" customFormat="1" ht="18">
      <c r="A16" s="1"/>
      <c r="B16" s="83">
        <v>2004</v>
      </c>
      <c r="C16" s="83"/>
      <c r="D16" s="83"/>
      <c r="E16" s="83"/>
      <c r="F16" s="83"/>
      <c r="G16" s="83"/>
      <c r="H16" s="83"/>
      <c r="I16" s="83"/>
      <c r="J16" s="83"/>
      <c r="K16" s="83"/>
      <c r="L16" s="85">
        <v>2005</v>
      </c>
      <c r="M16" s="85"/>
      <c r="N16" s="85"/>
    </row>
    <row r="17" spans="1:14" s="32" customFormat="1" ht="14.25">
      <c r="A17" s="23" t="str">
        <f aca="true" t="shared" si="0" ref="A17:A23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51</v>
      </c>
      <c r="H17" s="1" t="s">
        <v>52</v>
      </c>
      <c r="I17" s="1" t="s">
        <v>53</v>
      </c>
      <c r="J17" s="1" t="s">
        <v>54</v>
      </c>
      <c r="K17" s="1" t="s">
        <v>55</v>
      </c>
      <c r="L17" s="1" t="s">
        <v>56</v>
      </c>
      <c r="M17" s="1" t="s">
        <v>57</v>
      </c>
      <c r="N17" s="32" t="s">
        <v>106</v>
      </c>
    </row>
    <row r="18" spans="1:17" ht="14.25">
      <c r="A18" t="str">
        <f t="shared" si="0"/>
        <v>Residential</v>
      </c>
      <c r="B18" s="26">
        <f>'App 32 - Mar02 to Feb04 Revenue'!Z29</f>
        <v>3749686.689967884</v>
      </c>
      <c r="C18" s="26">
        <v>2921821.6134517314</v>
      </c>
      <c r="D18" s="26">
        <v>2259200.7273757816</v>
      </c>
      <c r="E18" s="26">
        <v>1759243.4725108654</v>
      </c>
      <c r="F18" s="26">
        <v>1757258.350651809</v>
      </c>
      <c r="G18" s="26">
        <v>1722809.9093141882</v>
      </c>
      <c r="H18" s="26">
        <v>1706323.568864538</v>
      </c>
      <c r="I18" s="26">
        <v>2335933.846589832</v>
      </c>
      <c r="J18" s="26">
        <v>3086278.7360665053</v>
      </c>
      <c r="K18" s="26">
        <v>4489911.675798236</v>
      </c>
      <c r="L18" s="26">
        <v>4926141.243151333</v>
      </c>
      <c r="M18" s="26">
        <v>4132090.440204053</v>
      </c>
      <c r="N18" s="26">
        <v>3939016.0306064626</v>
      </c>
      <c r="P18" s="36">
        <f>SUM(B18:K18)</f>
        <v>25788468.59059137</v>
      </c>
      <c r="Q18" s="36">
        <f>L18+M18</f>
        <v>9058231.683355387</v>
      </c>
    </row>
    <row r="19" spans="1:17" ht="14.25">
      <c r="A19" t="str">
        <f t="shared" si="0"/>
        <v>General Service &lt; 50 kW</v>
      </c>
      <c r="B19" s="26">
        <f>'App 32 - Mar02 to Feb04 Revenue'!Z30</f>
        <v>1562421.68902324</v>
      </c>
      <c r="C19" s="26">
        <v>1276605.337237862</v>
      </c>
      <c r="D19" s="26">
        <v>1148853.9108256183</v>
      </c>
      <c r="E19" s="26">
        <v>1102345.7868883428</v>
      </c>
      <c r="F19" s="26">
        <v>1211357.755526166</v>
      </c>
      <c r="G19" s="26">
        <v>1163858.1050443987</v>
      </c>
      <c r="H19" s="26">
        <v>1071526.0721707926</v>
      </c>
      <c r="I19" s="26">
        <v>1139212.6771207254</v>
      </c>
      <c r="J19" s="26">
        <v>1326597.0810504449</v>
      </c>
      <c r="K19" s="26">
        <v>1735603.9202720593</v>
      </c>
      <c r="L19" s="26">
        <v>1936015.6810882285</v>
      </c>
      <c r="M19" s="26">
        <v>1672913.6028717174</v>
      </c>
      <c r="N19" s="26">
        <v>1598978.651048555</v>
      </c>
      <c r="P19" s="36">
        <f>SUM(B19:K19)</f>
        <v>12738382.335159648</v>
      </c>
      <c r="Q19" s="36">
        <f>L19+M19</f>
        <v>3608929.2839599457</v>
      </c>
    </row>
    <row r="20" spans="1:17" ht="14.25">
      <c r="A20" t="str">
        <f t="shared" si="0"/>
        <v>General Service &gt; 50 kW</v>
      </c>
      <c r="B20" s="26">
        <f>'App 32 - Mar02 to Feb04 Revenue'!Z31</f>
        <v>7185.65</v>
      </c>
      <c r="C20" s="26">
        <v>6592.6</v>
      </c>
      <c r="D20" s="26">
        <v>6835.63</v>
      </c>
      <c r="E20" s="26">
        <v>5737.31</v>
      </c>
      <c r="F20" s="26">
        <v>5851.32</v>
      </c>
      <c r="G20" s="26">
        <v>5889.24</v>
      </c>
      <c r="H20" s="26">
        <v>5971.09</v>
      </c>
      <c r="I20" s="26">
        <v>7103.96</v>
      </c>
      <c r="J20" s="26">
        <v>7075.25</v>
      </c>
      <c r="K20" s="26">
        <v>8228.51</v>
      </c>
      <c r="L20" s="26">
        <v>8533.62</v>
      </c>
      <c r="M20" s="26">
        <v>7834.99</v>
      </c>
      <c r="N20" s="26">
        <v>7939.28</v>
      </c>
      <c r="P20" s="36">
        <f>SUM(B20:K20)</f>
        <v>66470.56</v>
      </c>
      <c r="Q20" s="36">
        <f>L20+M20</f>
        <v>16368.61</v>
      </c>
    </row>
    <row r="21" spans="1:14" ht="14.25">
      <c r="A21" t="str">
        <f t="shared" si="0"/>
        <v>Sentinel Lights</v>
      </c>
      <c r="B21" s="26">
        <f>'App 32 - Mar02 to Feb04 Revenue'!Z32</f>
        <v>3.4</v>
      </c>
      <c r="C21" s="33">
        <v>3.4</v>
      </c>
      <c r="D21" s="33">
        <v>3.4</v>
      </c>
      <c r="E21" s="33">
        <v>3.4</v>
      </c>
      <c r="F21" s="33">
        <v>3.4</v>
      </c>
      <c r="G21" s="33">
        <v>3.4</v>
      </c>
      <c r="H21" s="33">
        <v>3.4</v>
      </c>
      <c r="I21" s="33">
        <v>3.4</v>
      </c>
      <c r="J21" s="33">
        <v>3.4</v>
      </c>
      <c r="K21" s="33">
        <v>3.4</v>
      </c>
      <c r="L21" s="26">
        <v>3.4</v>
      </c>
      <c r="M21" s="26">
        <v>3.4</v>
      </c>
      <c r="N21" s="26">
        <v>3.4</v>
      </c>
    </row>
    <row r="22" spans="1:14" ht="14.25">
      <c r="A22" t="str">
        <f t="shared" si="0"/>
        <v>Street Lights</v>
      </c>
      <c r="B22" s="26">
        <f>'App 32 - Mar02 to Feb04 Revenue'!Z33</f>
        <v>202.22</v>
      </c>
      <c r="C22" s="26">
        <v>201.78</v>
      </c>
      <c r="D22" s="26">
        <v>202.22</v>
      </c>
      <c r="E22" s="26">
        <v>201.78</v>
      </c>
      <c r="F22" s="26">
        <v>202</v>
      </c>
      <c r="G22" s="26">
        <v>202.22</v>
      </c>
      <c r="H22" s="26">
        <v>201.78</v>
      </c>
      <c r="I22" s="26">
        <v>202.22</v>
      </c>
      <c r="J22" s="26">
        <v>201.78</v>
      </c>
      <c r="K22" s="26">
        <v>202</v>
      </c>
      <c r="L22" s="26">
        <v>202.7</v>
      </c>
      <c r="M22" s="26">
        <v>201.3</v>
      </c>
      <c r="N22" s="26">
        <v>202.22</v>
      </c>
    </row>
    <row r="23" spans="1:14" ht="14.25">
      <c r="A23" t="str">
        <f t="shared" si="0"/>
        <v>Unmetered Loads</v>
      </c>
      <c r="B23" s="26">
        <f>'App 32 - Mar02 to Feb04 Revenue'!Z34</f>
        <v>9729.17060268279</v>
      </c>
      <c r="C23" s="26">
        <v>9551.775930474212</v>
      </c>
      <c r="D23" s="26">
        <v>10913.895711316834</v>
      </c>
      <c r="E23" s="26">
        <v>9407.642168902321</v>
      </c>
      <c r="F23" s="26">
        <v>10056.433024749671</v>
      </c>
      <c r="G23" s="26">
        <v>9895.597959569244</v>
      </c>
      <c r="H23" s="26">
        <v>10185.528055922918</v>
      </c>
      <c r="I23" s="26">
        <v>10587.256754203665</v>
      </c>
      <c r="J23" s="26">
        <v>9598.63026638957</v>
      </c>
      <c r="K23" s="26">
        <v>10049.263177781975</v>
      </c>
      <c r="L23" s="26">
        <v>10758.152276591723</v>
      </c>
      <c r="M23" s="26">
        <v>10237.644058190064</v>
      </c>
      <c r="N23" s="26">
        <v>9884.196108067259</v>
      </c>
    </row>
    <row r="24" spans="1:13" ht="14.25">
      <c r="A24"/>
      <c r="B24" s="26"/>
      <c r="C24"/>
      <c r="D24"/>
      <c r="E24"/>
      <c r="F24"/>
      <c r="G24"/>
      <c r="H24"/>
      <c r="I24"/>
      <c r="J24"/>
      <c r="K24"/>
      <c r="L24"/>
      <c r="M24"/>
    </row>
    <row r="25" spans="1:13" ht="14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21">
      <c r="A26" s="25" t="s">
        <v>60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4" ht="18">
      <c r="A28"/>
      <c r="B28" s="83">
        <v>2004</v>
      </c>
      <c r="C28" s="83"/>
      <c r="D28" s="83"/>
      <c r="E28" s="83"/>
      <c r="F28" s="83"/>
      <c r="G28" s="83"/>
      <c r="H28" s="83"/>
      <c r="I28" s="83"/>
      <c r="J28" s="83"/>
      <c r="K28" s="83"/>
      <c r="L28" s="85">
        <v>2005</v>
      </c>
      <c r="M28" s="85"/>
      <c r="N28" s="85"/>
    </row>
    <row r="29" spans="1:14" s="32" customFormat="1" ht="14.25">
      <c r="A29" s="23" t="str">
        <f aca="true" t="shared" si="1" ref="A29:A35">A17</f>
        <v>Rate Class</v>
      </c>
      <c r="B29" s="1" t="s">
        <v>9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51</v>
      </c>
      <c r="H29" s="1" t="s">
        <v>52</v>
      </c>
      <c r="I29" s="1" t="s">
        <v>53</v>
      </c>
      <c r="J29" s="1" t="s">
        <v>54</v>
      </c>
      <c r="K29" s="1" t="s">
        <v>55</v>
      </c>
      <c r="L29" s="1" t="s">
        <v>56</v>
      </c>
      <c r="M29" s="1" t="s">
        <v>57</v>
      </c>
      <c r="N29" s="32" t="s">
        <v>106</v>
      </c>
    </row>
    <row r="30" spans="1:14" ht="14.25">
      <c r="A30" s="48" t="str">
        <f t="shared" si="1"/>
        <v>Residential</v>
      </c>
      <c r="B30" s="26">
        <f aca="true" t="shared" si="2" ref="B30:B35">(B18*$E8)*0.5</f>
        <v>5744.667538494905</v>
      </c>
      <c r="C30" s="26">
        <f aca="true" t="shared" si="3" ref="C30:M30">(C18*$E8)</f>
        <v>8952.691338706343</v>
      </c>
      <c r="D30" s="26">
        <f t="shared" si="3"/>
        <v>6922.3688028243705</v>
      </c>
      <c r="E30" s="26">
        <f t="shared" si="3"/>
        <v>5390.460432804204</v>
      </c>
      <c r="F30" s="26">
        <f t="shared" si="3"/>
        <v>5384.37786322089</v>
      </c>
      <c r="G30" s="26">
        <f t="shared" si="3"/>
        <v>5278.82512825056</v>
      </c>
      <c r="H30" s="26">
        <f t="shared" si="3"/>
        <v>5228.309683819926</v>
      </c>
      <c r="I30" s="26">
        <f t="shared" si="3"/>
        <v>7157.485118145207</v>
      </c>
      <c r="J30" s="26">
        <f t="shared" si="3"/>
        <v>9456.600903357175</v>
      </c>
      <c r="K30" s="26">
        <f t="shared" si="3"/>
        <v>13757.442681104805</v>
      </c>
      <c r="L30" s="26">
        <f t="shared" si="3"/>
        <v>15094.084401923606</v>
      </c>
      <c r="M30" s="26">
        <f t="shared" si="3"/>
        <v>12661.050258665027</v>
      </c>
      <c r="N30" s="26">
        <f aca="true" t="shared" si="4" ref="N30:N35">(N18*$E8)*0.5</f>
        <v>6034.727537417215</v>
      </c>
    </row>
    <row r="31" spans="1:14" ht="14.25">
      <c r="A31" s="48" t="str">
        <f t="shared" si="1"/>
        <v>General Service &lt; 50 kW</v>
      </c>
      <c r="B31" s="26">
        <f t="shared" si="2"/>
        <v>1285.6466206587174</v>
      </c>
      <c r="C31" s="26">
        <f aca="true" t="shared" si="5" ref="C31:M31">(C19*$E9)</f>
        <v>2100.922368481441</v>
      </c>
      <c r="D31" s="26">
        <f t="shared" si="5"/>
        <v>1890.6805486128117</v>
      </c>
      <c r="E31" s="26">
        <f t="shared" si="5"/>
        <v>1814.1416567205529</v>
      </c>
      <c r="F31" s="26">
        <f t="shared" si="5"/>
        <v>1993.5437606150372</v>
      </c>
      <c r="G31" s="26">
        <f t="shared" si="5"/>
        <v>1915.3731034187315</v>
      </c>
      <c r="H31" s="26">
        <f t="shared" si="5"/>
        <v>1763.4213392100414</v>
      </c>
      <c r="I31" s="26">
        <f t="shared" si="5"/>
        <v>1874.8138723899215</v>
      </c>
      <c r="J31" s="26">
        <f t="shared" si="5"/>
        <v>2183.194288981551</v>
      </c>
      <c r="K31" s="26">
        <f t="shared" si="5"/>
        <v>2856.3009980932297</v>
      </c>
      <c r="L31" s="26">
        <f t="shared" si="5"/>
        <v>3186.120668216535</v>
      </c>
      <c r="M31" s="26">
        <f t="shared" si="5"/>
        <v>2753.1309060751673</v>
      </c>
      <c r="N31" s="26">
        <f t="shared" si="4"/>
        <v>1315.7277024944267</v>
      </c>
    </row>
    <row r="32" spans="1:14" ht="14.25">
      <c r="A32" s="48" t="str">
        <f t="shared" si="1"/>
        <v>General Service &gt; 50 kW</v>
      </c>
      <c r="B32" s="26">
        <f t="shared" si="2"/>
        <v>1806.2151691811398</v>
      </c>
      <c r="C32" s="26">
        <f aca="true" t="shared" si="6" ref="C32:M32">(C20*$E10)</f>
        <v>3314.287259842487</v>
      </c>
      <c r="D32" s="26">
        <f t="shared" si="6"/>
        <v>3436.465343263219</v>
      </c>
      <c r="E32" s="26">
        <f t="shared" si="6"/>
        <v>2884.3086853088157</v>
      </c>
      <c r="F32" s="26">
        <f t="shared" si="6"/>
        <v>2941.6247503657946</v>
      </c>
      <c r="G32" s="26">
        <f t="shared" si="6"/>
        <v>2960.688211351328</v>
      </c>
      <c r="H32" s="26">
        <f t="shared" si="6"/>
        <v>3001.8365310155136</v>
      </c>
      <c r="I32" s="26">
        <f t="shared" si="6"/>
        <v>3571.362455242337</v>
      </c>
      <c r="J32" s="26">
        <f t="shared" si="6"/>
        <v>3556.9291228347774</v>
      </c>
      <c r="K32" s="26">
        <f t="shared" si="6"/>
        <v>4136.705679168537</v>
      </c>
      <c r="L32" s="26">
        <f t="shared" si="6"/>
        <v>4290.093141755459</v>
      </c>
      <c r="M32" s="26">
        <f t="shared" si="6"/>
        <v>3938.871998603477</v>
      </c>
      <c r="N32" s="26">
        <f t="shared" si="4"/>
        <v>1995.6507717988545</v>
      </c>
    </row>
    <row r="33" spans="1:14" ht="14.25">
      <c r="A33" s="48" t="str">
        <f t="shared" si="1"/>
        <v>Sentinel Lights</v>
      </c>
      <c r="B33" s="26">
        <f t="shared" si="2"/>
        <v>2.1528574166383234</v>
      </c>
      <c r="C33" s="26">
        <f aca="true" t="shared" si="7" ref="C33:M33">(C21*$E11)</f>
        <v>4.305714833276647</v>
      </c>
      <c r="D33" s="26">
        <f t="shared" si="7"/>
        <v>4.305714833276647</v>
      </c>
      <c r="E33" s="26">
        <f t="shared" si="7"/>
        <v>4.305714833276647</v>
      </c>
      <c r="F33" s="26">
        <f t="shared" si="7"/>
        <v>4.305714833276647</v>
      </c>
      <c r="G33" s="26">
        <f t="shared" si="7"/>
        <v>4.305714833276647</v>
      </c>
      <c r="H33" s="26">
        <f t="shared" si="7"/>
        <v>4.305714833276647</v>
      </c>
      <c r="I33" s="26">
        <f t="shared" si="7"/>
        <v>4.305714833276647</v>
      </c>
      <c r="J33" s="26">
        <f t="shared" si="7"/>
        <v>4.305714833276647</v>
      </c>
      <c r="K33" s="26">
        <f t="shared" si="7"/>
        <v>4.305714833276647</v>
      </c>
      <c r="L33" s="26">
        <f t="shared" si="7"/>
        <v>4.305714833276647</v>
      </c>
      <c r="M33" s="26">
        <f t="shared" si="7"/>
        <v>4.305714833276647</v>
      </c>
      <c r="N33" s="26">
        <f t="shared" si="4"/>
        <v>2.1528574166383234</v>
      </c>
    </row>
    <row r="34" spans="1:14" ht="14.25">
      <c r="A34" s="48" t="str">
        <f t="shared" si="1"/>
        <v>Street Lights</v>
      </c>
      <c r="B34" s="26">
        <f t="shared" si="2"/>
        <v>87.88692179937387</v>
      </c>
      <c r="C34" s="26">
        <f aca="true" t="shared" si="8" ref="C34:M34">(C22*$E12)</f>
        <v>175.39138641754187</v>
      </c>
      <c r="D34" s="26">
        <f t="shared" si="8"/>
        <v>175.77384359874773</v>
      </c>
      <c r="E34" s="26">
        <f t="shared" si="8"/>
        <v>175.39138641754187</v>
      </c>
      <c r="F34" s="26">
        <f t="shared" si="8"/>
        <v>175.5826150081448</v>
      </c>
      <c r="G34" s="26">
        <f t="shared" si="8"/>
        <v>175.77384359874773</v>
      </c>
      <c r="H34" s="26">
        <f t="shared" si="8"/>
        <v>175.39138641754187</v>
      </c>
      <c r="I34" s="26">
        <f t="shared" si="8"/>
        <v>175.77384359874773</v>
      </c>
      <c r="J34" s="26">
        <f t="shared" si="8"/>
        <v>175.39138641754187</v>
      </c>
      <c r="K34" s="26">
        <f t="shared" si="8"/>
        <v>175.5826150081448</v>
      </c>
      <c r="L34" s="26">
        <f t="shared" si="8"/>
        <v>176.19106961460867</v>
      </c>
      <c r="M34" s="26">
        <f t="shared" si="8"/>
        <v>174.97416040168096</v>
      </c>
      <c r="N34" s="26">
        <f t="shared" si="4"/>
        <v>87.88692179937387</v>
      </c>
    </row>
    <row r="35" spans="1:14" ht="14.25">
      <c r="A35" s="28" t="str">
        <f t="shared" si="1"/>
        <v>Unmetered Loads</v>
      </c>
      <c r="B35" s="29">
        <f t="shared" si="2"/>
        <v>30.445093203664385</v>
      </c>
      <c r="C35" s="29">
        <f aca="true" t="shared" si="9" ref="C35:M35">(C23*$E13)</f>
        <v>59.77995871171525</v>
      </c>
      <c r="D35" s="29">
        <f t="shared" si="9"/>
        <v>68.30480946741551</v>
      </c>
      <c r="E35" s="29">
        <f t="shared" si="9"/>
        <v>58.87789501398526</v>
      </c>
      <c r="F35" s="29">
        <f t="shared" si="9"/>
        <v>62.938364067845015</v>
      </c>
      <c r="G35" s="29">
        <f t="shared" si="9"/>
        <v>61.931774965895194</v>
      </c>
      <c r="H35" s="29">
        <f t="shared" si="9"/>
        <v>63.746307605214106</v>
      </c>
      <c r="I35" s="29">
        <f t="shared" si="9"/>
        <v>66.26053377334637</v>
      </c>
      <c r="J35" s="29">
        <f t="shared" si="9"/>
        <v>60.07319740228678</v>
      </c>
      <c r="K35" s="29">
        <f t="shared" si="9"/>
        <v>62.893491453703106</v>
      </c>
      <c r="L35" s="29">
        <f t="shared" si="9"/>
        <v>67.33008642478383</v>
      </c>
      <c r="M35" s="29">
        <f t="shared" si="9"/>
        <v>64.07247652777122</v>
      </c>
      <c r="N35" s="29">
        <f t="shared" si="4"/>
        <v>30.93020813823793</v>
      </c>
    </row>
    <row r="36" spans="1:15" ht="14.25">
      <c r="A36" t="s">
        <v>13</v>
      </c>
      <c r="B36" s="26">
        <f>SUM(B30:B35)</f>
        <v>8957.01420075444</v>
      </c>
      <c r="C36" s="26">
        <f aca="true" t="shared" si="10" ref="C36:N36">SUM(C30:C35)</f>
        <v>14607.378026992805</v>
      </c>
      <c r="D36" s="26">
        <f t="shared" si="10"/>
        <v>12497.899062599843</v>
      </c>
      <c r="E36" s="26">
        <f t="shared" si="10"/>
        <v>10327.485771098376</v>
      </c>
      <c r="F36" s="26">
        <f t="shared" si="10"/>
        <v>10562.373068110988</v>
      </c>
      <c r="G36" s="26">
        <f t="shared" si="10"/>
        <v>10396.89777641854</v>
      </c>
      <c r="H36" s="26">
        <f t="shared" si="10"/>
        <v>10237.010962901513</v>
      </c>
      <c r="I36" s="26">
        <f t="shared" si="10"/>
        <v>12850.001537982836</v>
      </c>
      <c r="J36" s="26">
        <f t="shared" si="10"/>
        <v>15436.49461382661</v>
      </c>
      <c r="K36" s="26">
        <f t="shared" si="10"/>
        <v>20993.2311796617</v>
      </c>
      <c r="L36" s="26">
        <f t="shared" si="10"/>
        <v>22818.12508276827</v>
      </c>
      <c r="M36" s="26">
        <f t="shared" si="10"/>
        <v>19596.405515106402</v>
      </c>
      <c r="N36" s="26">
        <f t="shared" si="10"/>
        <v>9467.075999064748</v>
      </c>
      <c r="O36" s="36"/>
    </row>
    <row r="37" spans="2:11" ht="12.75"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2:11" ht="12.75"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2:11" ht="12.75"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2:11" ht="12.75"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2:11" ht="12.75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2:11" ht="12.75"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2:11" ht="12.75"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2:11" ht="12.75"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2:11" ht="12.75"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2:11" ht="12.75"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2:11" ht="12.75"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2:11" ht="12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2:11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2:11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2:11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2:11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2:11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2:11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2:11" ht="12.75"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2:11" ht="12.75"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2:11" ht="12.75"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2:11" ht="12.75"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2:11" ht="12.75"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2:11" ht="12.75"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2:11" ht="12.75"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2:11" ht="12.75"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2:11" ht="12.75"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2:11" ht="12.75"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2:11" ht="12.75"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2:11" ht="12.75"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2:11" ht="12.75"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2:11" ht="12.75"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2:11" ht="12.75"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2:11" ht="12.75"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2:11" ht="12.75"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2:11" ht="12.75"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2:11" ht="12.75"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2:11" ht="12.75"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2:11" ht="12.75"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2:11" ht="12.75"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2:11" ht="12.75"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2:11" ht="12.75"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2:11" ht="12.75"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2:11" ht="12.75"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2:11" ht="12.75"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2:11" ht="12.75"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2:11" ht="12.75"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2:11" ht="12.75"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2:11" ht="12.75"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2:11" ht="12.75"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2:11" ht="12.75"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2:11" ht="12.75"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2:11" ht="12.75"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2:11" ht="12.75"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2:11" ht="12.75"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2:11" ht="12.75"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2:11" ht="12.75"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2:11" ht="12.75"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2:11" ht="12.75"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2:11" ht="12.75"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2:11" ht="12.75"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2:11" ht="12.75"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2:11" ht="12.75"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2:11" ht="12.75"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2:11" ht="12.75"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2:11" ht="12.75"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2:11" ht="12.75"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2:11" ht="12.75"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2:11" ht="12.75"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2:11" ht="12.75"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2:11" ht="12.75"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2:11" ht="12.75"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2:11" ht="12.75"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2:11" ht="12.75">
      <c r="B510" s="31"/>
      <c r="C510" s="31"/>
      <c r="D510" s="31"/>
      <c r="E510" s="31"/>
      <c r="F510" s="31"/>
      <c r="G510" s="31"/>
      <c r="H510" s="31"/>
      <c r="I510" s="31"/>
      <c r="J510" s="31"/>
      <c r="K510" s="31"/>
    </row>
    <row r="511" spans="2:11" ht="12.75">
      <c r="B511" s="31"/>
      <c r="C511" s="31"/>
      <c r="D511" s="31"/>
      <c r="E511" s="31"/>
      <c r="F511" s="31"/>
      <c r="G511" s="31"/>
      <c r="H511" s="31"/>
      <c r="I511" s="31"/>
      <c r="J511" s="31"/>
      <c r="K511" s="31"/>
    </row>
    <row r="512" spans="2:11" ht="12.75">
      <c r="B512" s="31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2:11" ht="12.75">
      <c r="B513" s="31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2:11" ht="12.75">
      <c r="B514" s="31"/>
      <c r="C514" s="31"/>
      <c r="D514" s="31"/>
      <c r="E514" s="31"/>
      <c r="F514" s="31"/>
      <c r="G514" s="31"/>
      <c r="H514" s="31"/>
      <c r="I514" s="31"/>
      <c r="J514" s="31"/>
      <c r="K514" s="31"/>
    </row>
    <row r="515" spans="2:11" ht="12.75">
      <c r="B515" s="31"/>
      <c r="C515" s="31"/>
      <c r="D515" s="31"/>
      <c r="E515" s="31"/>
      <c r="F515" s="31"/>
      <c r="G515" s="31"/>
      <c r="H515" s="31"/>
      <c r="I515" s="31"/>
      <c r="J515" s="31"/>
      <c r="K515" s="31"/>
    </row>
    <row r="516" spans="2:11" ht="12.75">
      <c r="B516" s="31"/>
      <c r="C516" s="31"/>
      <c r="D516" s="31"/>
      <c r="E516" s="31"/>
      <c r="F516" s="31"/>
      <c r="G516" s="31"/>
      <c r="H516" s="31"/>
      <c r="I516" s="31"/>
      <c r="J516" s="31"/>
      <c r="K516" s="31"/>
    </row>
    <row r="517" spans="2:11" ht="12.75">
      <c r="B517" s="31"/>
      <c r="C517" s="31"/>
      <c r="D517" s="31"/>
      <c r="E517" s="31"/>
      <c r="F517" s="31"/>
      <c r="G517" s="31"/>
      <c r="H517" s="31"/>
      <c r="I517" s="31"/>
      <c r="J517" s="31"/>
      <c r="K517" s="31"/>
    </row>
    <row r="518" spans="2:11" ht="12.75">
      <c r="B518" s="31"/>
      <c r="C518" s="31"/>
      <c r="D518" s="31"/>
      <c r="E518" s="31"/>
      <c r="F518" s="31"/>
      <c r="G518" s="31"/>
      <c r="H518" s="31"/>
      <c r="I518" s="31"/>
      <c r="J518" s="31"/>
      <c r="K518" s="31"/>
    </row>
    <row r="519" spans="2:11" ht="12.75">
      <c r="B519" s="31"/>
      <c r="C519" s="31"/>
      <c r="D519" s="31"/>
      <c r="E519" s="31"/>
      <c r="F519" s="31"/>
      <c r="G519" s="31"/>
      <c r="H519" s="31"/>
      <c r="I519" s="31"/>
      <c r="J519" s="31"/>
      <c r="K519" s="31"/>
    </row>
    <row r="520" spans="2:11" ht="12.75">
      <c r="B520" s="31"/>
      <c r="C520" s="31"/>
      <c r="D520" s="31"/>
      <c r="E520" s="31"/>
      <c r="F520" s="31"/>
      <c r="G520" s="31"/>
      <c r="H520" s="31"/>
      <c r="I520" s="31"/>
      <c r="J520" s="31"/>
      <c r="K520" s="31"/>
    </row>
    <row r="521" spans="2:11" ht="12.75">
      <c r="B521" s="31"/>
      <c r="C521" s="31"/>
      <c r="D521" s="31"/>
      <c r="E521" s="31"/>
      <c r="F521" s="31"/>
      <c r="G521" s="31"/>
      <c r="H521" s="31"/>
      <c r="I521" s="31"/>
      <c r="J521" s="31"/>
      <c r="K521" s="31"/>
    </row>
    <row r="522" spans="2:11" ht="12.75"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2:11" ht="12.75">
      <c r="B523" s="31"/>
      <c r="C523" s="31"/>
      <c r="D523" s="31"/>
      <c r="E523" s="31"/>
      <c r="F523" s="31"/>
      <c r="G523" s="31"/>
      <c r="H523" s="31"/>
      <c r="I523" s="31"/>
      <c r="J523" s="31"/>
      <c r="K523" s="31"/>
    </row>
  </sheetData>
  <sheetProtection/>
  <mergeCells count="6">
    <mergeCell ref="B6:C6"/>
    <mergeCell ref="D6:E6"/>
    <mergeCell ref="B16:K16"/>
    <mergeCell ref="B28:K28"/>
    <mergeCell ref="L16:N16"/>
    <mergeCell ref="L28:N28"/>
  </mergeCells>
  <printOptions/>
  <pageMargins left="0.75" right="0.75" top="1" bottom="1" header="0.5" footer="0.5"/>
  <pageSetup fitToHeight="2" horizontalDpi="600" verticalDpi="600" orientation="landscape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9"/>
  <sheetViews>
    <sheetView zoomScale="90" zoomScaleNormal="90" zoomScalePageLayoutView="0" workbookViewId="0" topLeftCell="B1">
      <selection activeCell="Q13" sqref="Q13"/>
    </sheetView>
  </sheetViews>
  <sheetFormatPr defaultColWidth="9.140625" defaultRowHeight="15"/>
  <cols>
    <col min="1" max="1" width="23.8515625" style="0" customWidth="1"/>
    <col min="2" max="2" width="14.421875" style="0" bestFit="1" customWidth="1"/>
    <col min="3" max="4" width="13.28125" style="0" bestFit="1" customWidth="1"/>
    <col min="5" max="5" width="12.140625" style="0" bestFit="1" customWidth="1"/>
    <col min="6" max="9" width="13.28125" style="0" bestFit="1" customWidth="1"/>
    <col min="10" max="10" width="12.140625" style="0" bestFit="1" customWidth="1"/>
    <col min="11" max="11" width="13.28125" style="0" bestFit="1" customWidth="1"/>
    <col min="12" max="12" width="14.421875" style="0" bestFit="1" customWidth="1"/>
    <col min="13" max="15" width="13.28125" style="0" bestFit="1" customWidth="1"/>
    <col min="16" max="16" width="10.57421875" style="0" bestFit="1" customWidth="1"/>
    <col min="17" max="18" width="12.7109375" style="0" bestFit="1" customWidth="1"/>
    <col min="19" max="20" width="12.57421875" style="0" bestFit="1" customWidth="1"/>
  </cols>
  <sheetData>
    <row r="1" ht="21">
      <c r="A1" s="25" t="s">
        <v>38</v>
      </c>
    </row>
    <row r="3" spans="1:2" ht="14.25">
      <c r="A3" s="2" t="s">
        <v>39</v>
      </c>
      <c r="B3" s="34" t="s">
        <v>34</v>
      </c>
    </row>
    <row r="4" spans="1:2" ht="14.25">
      <c r="A4" s="2" t="s">
        <v>67</v>
      </c>
      <c r="B4" s="34" t="s">
        <v>37</v>
      </c>
    </row>
    <row r="6" spans="1:5" ht="14.25">
      <c r="A6" s="2"/>
      <c r="B6" s="84" t="s">
        <v>41</v>
      </c>
      <c r="C6" s="84"/>
      <c r="D6" s="84" t="s">
        <v>44</v>
      </c>
      <c r="E6" s="84"/>
    </row>
    <row r="7" spans="1:5" ht="14.25">
      <c r="A7" s="2" t="s">
        <v>40</v>
      </c>
      <c r="B7" s="3" t="s">
        <v>42</v>
      </c>
      <c r="C7" s="3" t="s">
        <v>43</v>
      </c>
      <c r="D7" s="3" t="s">
        <v>42</v>
      </c>
      <c r="E7" s="3" t="s">
        <v>43</v>
      </c>
    </row>
    <row r="8" spans="1:5" ht="14.25">
      <c r="A8" t="s">
        <v>45</v>
      </c>
      <c r="B8" s="8">
        <f>'[4]11. 2005 Final Rate Schedule '!$F$13</f>
        <v>15.70891199807245</v>
      </c>
      <c r="C8" s="24">
        <f>'[4]11. 2005 Final Rate Schedule '!$F$14</f>
        <v>0.01452207195394337</v>
      </c>
      <c r="D8" s="8">
        <v>0</v>
      </c>
      <c r="E8" s="24">
        <f>'[4]4. 2003 Data &amp; 2005 PILs'!$B$50</f>
        <v>0.0023789837562859326</v>
      </c>
    </row>
    <row r="9" spans="1:5" ht="14.25">
      <c r="A9" t="s">
        <v>46</v>
      </c>
      <c r="B9" s="8">
        <f>'[4]11. 2005 Final Rate Schedule '!$F$25</f>
        <v>23.942132115136392</v>
      </c>
      <c r="C9" s="24">
        <f>'[4]11. 2005 Final Rate Schedule '!$F$26</f>
        <v>0.011705992653432614</v>
      </c>
      <c r="D9" s="8">
        <v>0</v>
      </c>
      <c r="E9" s="24">
        <f>'[4]4. 2003 Data &amp; 2005 PILs'!$B$67</f>
        <v>0.0017518867783845493</v>
      </c>
    </row>
    <row r="10" spans="1:5" ht="14.25">
      <c r="A10" t="s">
        <v>47</v>
      </c>
      <c r="B10" s="8">
        <f>'[4]11. 2005 Final Rate Schedule '!$F$31</f>
        <v>160.61519361329238</v>
      </c>
      <c r="C10" s="24">
        <f>'[4]11. 2005 Final Rate Schedule '!$F$32</f>
        <v>4.04038517829835</v>
      </c>
      <c r="D10" s="8">
        <v>0</v>
      </c>
      <c r="E10" s="24">
        <f>'[4]4. 2003 Data &amp; 2005 PILs'!$B$84</f>
        <v>0.4321582099720993</v>
      </c>
    </row>
    <row r="11" spans="1:5" ht="14.25">
      <c r="A11" t="s">
        <v>48</v>
      </c>
      <c r="B11" s="8">
        <f>'[4]11. 2005 Final Rate Schedule '!$F$56</f>
        <v>1.6099944681612635</v>
      </c>
      <c r="C11" s="24">
        <f>'[4]11. 2005 Final Rate Schedule '!$F$57</f>
        <v>6.984797905607287</v>
      </c>
      <c r="D11" s="8">
        <v>0</v>
      </c>
      <c r="E11" s="24">
        <f>'[4]4. 2003 Data &amp; 2005 PILs'!$B$152</f>
        <v>1.1677918114135755</v>
      </c>
    </row>
    <row r="12" spans="1:5" ht="14.25">
      <c r="A12" t="s">
        <v>49</v>
      </c>
      <c r="B12" s="8">
        <f>'[4]11. 2005 Final Rate Schedule '!$F$68</f>
        <v>0.3902714718651938</v>
      </c>
      <c r="C12" s="24">
        <f>'[4]11. 2005 Final Rate Schedule '!$F$69</f>
        <v>4.56839562254055</v>
      </c>
      <c r="D12" s="8">
        <v>0</v>
      </c>
      <c r="E12" s="24">
        <f>'[4]4. 2003 Data &amp; 2005 PILs'!$B$169</f>
        <v>0.5316783751193801</v>
      </c>
    </row>
    <row r="13" spans="1:5" ht="14.25">
      <c r="A13" t="s">
        <v>50</v>
      </c>
      <c r="B13" s="8">
        <f>'[4]11. 2005 Final Rate Schedule '!$F$37</f>
        <v>8.484076947685862</v>
      </c>
      <c r="C13" s="24">
        <f>'[4]11. 2005 Final Rate Schedule '!$F$38</f>
        <v>0.05155988654870163</v>
      </c>
      <c r="D13" s="8">
        <v>0</v>
      </c>
      <c r="E13" s="24">
        <f>'[4]4. 2003 Data &amp; 2005 PILs'!$B$101</f>
        <v>0.006072578756624929</v>
      </c>
    </row>
    <row r="14" spans="4:18" ht="14.25">
      <c r="D14" s="8"/>
      <c r="R14">
        <v>2005</v>
      </c>
    </row>
    <row r="15" ht="21">
      <c r="A15" s="25" t="s">
        <v>68</v>
      </c>
    </row>
    <row r="16" spans="2:16" ht="18">
      <c r="B16" s="83">
        <v>2005</v>
      </c>
      <c r="C16" s="83"/>
      <c r="D16" s="83"/>
      <c r="E16" s="83"/>
      <c r="F16" s="83"/>
      <c r="G16" s="83"/>
      <c r="H16" s="83"/>
      <c r="I16" s="83"/>
      <c r="J16" s="83"/>
      <c r="K16" s="83"/>
      <c r="L16" s="85">
        <v>2006</v>
      </c>
      <c r="M16" s="85"/>
      <c r="N16" s="85"/>
      <c r="O16" s="85"/>
      <c r="P16" s="85"/>
    </row>
    <row r="17" spans="1:20" ht="14.25">
      <c r="A17" s="2" t="str">
        <f aca="true" t="shared" si="0" ref="A17:A23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51</v>
      </c>
      <c r="H17" s="1" t="s">
        <v>52</v>
      </c>
      <c r="I17" s="1" t="s">
        <v>53</v>
      </c>
      <c r="J17" s="1" t="s">
        <v>54</v>
      </c>
      <c r="K17" s="1" t="s">
        <v>55</v>
      </c>
      <c r="L17" s="1" t="s">
        <v>56</v>
      </c>
      <c r="M17" s="1" t="s">
        <v>57</v>
      </c>
      <c r="N17" s="1" t="s">
        <v>58</v>
      </c>
      <c r="O17" s="1" t="s">
        <v>59</v>
      </c>
      <c r="P17" s="1" t="s">
        <v>17</v>
      </c>
      <c r="S17" s="26"/>
      <c r="T17" s="26"/>
    </row>
    <row r="18" spans="1:20" ht="14.25">
      <c r="A18" t="str">
        <f t="shared" si="0"/>
        <v>Residential</v>
      </c>
      <c r="B18" s="26">
        <f>'App 33 - Mar04 to Feb05 Revenue'!N18</f>
        <v>3939016.0306064626</v>
      </c>
      <c r="C18" s="26">
        <v>2719389.7411675807</v>
      </c>
      <c r="D18" s="26">
        <v>2210168.4205554468</v>
      </c>
      <c r="E18" s="26">
        <v>1809176.15718874</v>
      </c>
      <c r="F18" s="26">
        <v>1888396.4764783676</v>
      </c>
      <c r="G18" s="26">
        <v>1782238.7492915166</v>
      </c>
      <c r="H18" s="26">
        <v>1703562.6487814074</v>
      </c>
      <c r="I18" s="26">
        <v>2263073.0209710943</v>
      </c>
      <c r="J18" s="26">
        <v>3212733.5254109213</v>
      </c>
      <c r="K18" s="26">
        <v>4243588.588702062</v>
      </c>
      <c r="L18" s="26">
        <v>4273340.440204046</v>
      </c>
      <c r="M18" s="26">
        <v>3950323.691668237</v>
      </c>
      <c r="N18" s="26">
        <v>3814706.7636501053</v>
      </c>
      <c r="O18" s="26">
        <v>2599169.327413572</v>
      </c>
      <c r="P18" s="60">
        <v>2051739.4388815435</v>
      </c>
      <c r="R18" s="26">
        <f>SUM(B18:K18)</f>
        <v>25771343.3591536</v>
      </c>
      <c r="S18" s="26"/>
      <c r="T18" s="33"/>
    </row>
    <row r="19" spans="1:20" ht="14.25">
      <c r="A19" t="str">
        <f t="shared" si="0"/>
        <v>General Service &lt; 50 kW</v>
      </c>
      <c r="B19" s="26">
        <f>'App 33 - Mar04 to Feb05 Revenue'!N19</f>
        <v>1598978.651048555</v>
      </c>
      <c r="C19" s="26">
        <v>1235023.9089363313</v>
      </c>
      <c r="D19" s="26">
        <v>1160889.9017570373</v>
      </c>
      <c r="E19" s="26">
        <v>1177800.1983752116</v>
      </c>
      <c r="F19" s="26">
        <v>1297779.812960514</v>
      </c>
      <c r="G19" s="26">
        <v>1197899.6504817691</v>
      </c>
      <c r="H19" s="26">
        <v>1177371.3678443227</v>
      </c>
      <c r="I19" s="26">
        <v>1136533.3081428302</v>
      </c>
      <c r="J19" s="26">
        <v>1400539.1365955027</v>
      </c>
      <c r="K19" s="26">
        <v>1721223.0870961645</v>
      </c>
      <c r="L19" s="26">
        <v>1767698.4507840541</v>
      </c>
      <c r="M19" s="26">
        <v>1653648.6869450223</v>
      </c>
      <c r="N19" s="26">
        <v>1639706.0551672007</v>
      </c>
      <c r="O19" s="26">
        <v>1232451.3319478557</v>
      </c>
      <c r="P19" s="60">
        <v>1162475.1842055544</v>
      </c>
      <c r="R19" s="26">
        <f>SUM(B19:K19)</f>
        <v>13104039.023238236</v>
      </c>
      <c r="S19" s="26"/>
      <c r="T19" s="33"/>
    </row>
    <row r="20" spans="1:20" ht="14.25">
      <c r="A20" t="str">
        <f t="shared" si="0"/>
        <v>General Service &gt; 50 kW</v>
      </c>
      <c r="B20" s="26">
        <f>'App 33 - Mar04 to Feb05 Revenue'!N20</f>
        <v>7939.28</v>
      </c>
      <c r="C20" s="26">
        <v>7071.56</v>
      </c>
      <c r="D20" s="26">
        <v>7405.9</v>
      </c>
      <c r="E20" s="26">
        <v>7341.41</v>
      </c>
      <c r="F20" s="26">
        <v>7165.4</v>
      </c>
      <c r="G20" s="26">
        <v>7002.51</v>
      </c>
      <c r="H20" s="26">
        <v>6757.56</v>
      </c>
      <c r="I20" s="26">
        <v>7297.29</v>
      </c>
      <c r="J20" s="26">
        <v>7123.01</v>
      </c>
      <c r="K20" s="26">
        <v>7724.97</v>
      </c>
      <c r="L20" s="26">
        <v>7843.07</v>
      </c>
      <c r="M20" s="26">
        <v>7476.15</v>
      </c>
      <c r="N20" s="26">
        <v>7907.06</v>
      </c>
      <c r="O20" s="26">
        <v>7343.53</v>
      </c>
      <c r="P20" s="60">
        <v>7320.75</v>
      </c>
      <c r="R20" s="26">
        <f>SUM(B20:K20)</f>
        <v>72828.89</v>
      </c>
      <c r="S20" s="26"/>
      <c r="T20" s="33"/>
    </row>
    <row r="21" spans="1:20" ht="14.25">
      <c r="A21" t="str">
        <f t="shared" si="0"/>
        <v>Sentinel Lights</v>
      </c>
      <c r="B21" s="26">
        <f>'App 33 - Mar04 to Feb05 Revenue'!N21</f>
        <v>3.4</v>
      </c>
      <c r="C21" s="26">
        <v>3.4</v>
      </c>
      <c r="D21" s="26">
        <v>3.4</v>
      </c>
      <c r="E21" s="26">
        <v>3.4</v>
      </c>
      <c r="F21" s="26">
        <v>3.4</v>
      </c>
      <c r="G21" s="26">
        <v>3.4</v>
      </c>
      <c r="H21" s="26">
        <v>3.4</v>
      </c>
      <c r="I21" s="26">
        <v>3.4</v>
      </c>
      <c r="J21" s="26">
        <v>3.4</v>
      </c>
      <c r="K21" s="26">
        <v>3.4</v>
      </c>
      <c r="L21" s="26">
        <v>3.4</v>
      </c>
      <c r="M21" s="26">
        <v>3.4</v>
      </c>
      <c r="N21" s="26">
        <v>3.4</v>
      </c>
      <c r="O21" s="26">
        <v>3.4</v>
      </c>
      <c r="P21" s="60">
        <v>3.4</v>
      </c>
      <c r="S21" s="26"/>
      <c r="T21" s="33"/>
    </row>
    <row r="22" spans="1:20" ht="14.25">
      <c r="A22" t="str">
        <f t="shared" si="0"/>
        <v>Street Lights</v>
      </c>
      <c r="B22" s="26">
        <f>'App 33 - Mar04 to Feb05 Revenue'!N22</f>
        <v>202.22</v>
      </c>
      <c r="C22" s="26">
        <v>201.78</v>
      </c>
      <c r="D22" s="26">
        <v>202.22</v>
      </c>
      <c r="E22" s="26">
        <v>201.78</v>
      </c>
      <c r="F22" s="26">
        <v>202</v>
      </c>
      <c r="G22" s="26">
        <v>202.22</v>
      </c>
      <c r="H22" s="26">
        <v>201.78</v>
      </c>
      <c r="I22" s="26">
        <v>202.22</v>
      </c>
      <c r="J22" s="26">
        <v>201.78</v>
      </c>
      <c r="K22" s="26">
        <v>202</v>
      </c>
      <c r="L22" s="26">
        <v>202.7</v>
      </c>
      <c r="M22" s="26">
        <v>201.3</v>
      </c>
      <c r="N22" s="26">
        <v>202.22</v>
      </c>
      <c r="O22" s="26">
        <v>201.78</v>
      </c>
      <c r="P22" s="60">
        <v>202.22</v>
      </c>
      <c r="S22" s="26"/>
      <c r="T22" s="33"/>
    </row>
    <row r="23" spans="1:20" ht="14.25">
      <c r="A23" t="str">
        <f t="shared" si="0"/>
        <v>Unmetered Loads</v>
      </c>
      <c r="B23" s="26">
        <f>'App 33 - Mar04 to Feb05 Revenue'!N23</f>
        <v>9884.196108067259</v>
      </c>
      <c r="C23" s="26">
        <v>10280.030228603817</v>
      </c>
      <c r="D23" s="26">
        <v>10746.74097865105</v>
      </c>
      <c r="E23" s="26">
        <v>9491.649348195731</v>
      </c>
      <c r="F23" s="26">
        <v>10206.102399395426</v>
      </c>
      <c r="G23" s="26">
        <v>10752.956735310787</v>
      </c>
      <c r="H23" s="26">
        <v>10636.926128849422</v>
      </c>
      <c r="I23" s="26">
        <v>11144.93670886076</v>
      </c>
      <c r="J23" s="26">
        <v>9874.966937464573</v>
      </c>
      <c r="K23" s="26">
        <v>10693.491403740789</v>
      </c>
      <c r="L23" s="26">
        <v>10159.238617041374</v>
      </c>
      <c r="M23" s="26">
        <v>10165.454373701115</v>
      </c>
      <c r="N23" s="26">
        <v>10559.370867183072</v>
      </c>
      <c r="O23" s="26">
        <v>10256.518042697904</v>
      </c>
      <c r="P23" s="60">
        <v>10528.320423200454</v>
      </c>
      <c r="S23" s="26"/>
      <c r="T23" s="33"/>
    </row>
    <row r="26" ht="21">
      <c r="A26" s="25" t="s">
        <v>60</v>
      </c>
    </row>
    <row r="28" spans="2:16" ht="18">
      <c r="B28" s="83">
        <v>2005</v>
      </c>
      <c r="C28" s="83"/>
      <c r="D28" s="83"/>
      <c r="E28" s="83"/>
      <c r="F28" s="83"/>
      <c r="G28" s="83"/>
      <c r="H28" s="83"/>
      <c r="I28" s="83"/>
      <c r="J28" s="83"/>
      <c r="K28" s="83"/>
      <c r="L28" s="85">
        <v>2006</v>
      </c>
      <c r="M28" s="85"/>
      <c r="N28" s="85"/>
      <c r="O28" s="85"/>
      <c r="P28" s="85"/>
    </row>
    <row r="29" spans="1:16" ht="14.25">
      <c r="A29" s="2" t="str">
        <f aca="true" t="shared" si="1" ref="A29:A35">A17</f>
        <v>Rate Class</v>
      </c>
      <c r="B29" s="1" t="s">
        <v>9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51</v>
      </c>
      <c r="H29" s="1" t="s">
        <v>52</v>
      </c>
      <c r="I29" s="1" t="s">
        <v>53</v>
      </c>
      <c r="J29" s="1" t="s">
        <v>54</v>
      </c>
      <c r="K29" s="1" t="s">
        <v>55</v>
      </c>
      <c r="L29" s="1" t="s">
        <v>56</v>
      </c>
      <c r="M29" s="1" t="s">
        <v>57</v>
      </c>
      <c r="N29" s="1" t="s">
        <v>58</v>
      </c>
      <c r="O29" s="1" t="s">
        <v>59</v>
      </c>
      <c r="P29" s="1" t="s">
        <v>17</v>
      </c>
    </row>
    <row r="30" spans="1:16" ht="14.25">
      <c r="A30" s="48" t="str">
        <f t="shared" si="1"/>
        <v>Residential</v>
      </c>
      <c r="B30" s="26">
        <f aca="true" t="shared" si="2" ref="B30:B35">B18*$E8*0.5</f>
        <v>4685.427576281333</v>
      </c>
      <c r="C30" s="26">
        <f aca="true" t="shared" si="3" ref="C30:O30">C18*$E8</f>
        <v>6469.384021248281</v>
      </c>
      <c r="D30" s="26">
        <f t="shared" si="3"/>
        <v>5257.954771157543</v>
      </c>
      <c r="E30" s="26">
        <f t="shared" si="3"/>
        <v>4304.0006902118175</v>
      </c>
      <c r="F30" s="26">
        <f t="shared" si="3"/>
        <v>4492.464542969627</v>
      </c>
      <c r="G30" s="26">
        <f t="shared" si="3"/>
        <v>4239.917034387875</v>
      </c>
      <c r="H30" s="26">
        <f t="shared" si="3"/>
        <v>4052.7478692664054</v>
      </c>
      <c r="I30" s="26">
        <f t="shared" si="3"/>
        <v>5383.813956179167</v>
      </c>
      <c r="J30" s="26">
        <f t="shared" si="3"/>
        <v>7643.04087022782</v>
      </c>
      <c r="K30" s="26">
        <f t="shared" si="3"/>
        <v>10095.42832088255</v>
      </c>
      <c r="L30" s="26">
        <f t="shared" si="3"/>
        <v>10166.207492325202</v>
      </c>
      <c r="M30" s="26">
        <f t="shared" si="3"/>
        <v>9397.755894550215</v>
      </c>
      <c r="N30" s="26">
        <f t="shared" si="3"/>
        <v>9075.12542571768</v>
      </c>
      <c r="O30" s="26">
        <f t="shared" si="3"/>
        <v>6183.381609753521</v>
      </c>
      <c r="P30" s="26">
        <f aca="true" t="shared" si="4" ref="P30:P35">P18*$E8*0.5</f>
        <v>2440.527398615203</v>
      </c>
    </row>
    <row r="31" spans="1:16" ht="14.25">
      <c r="A31" s="48" t="str">
        <f t="shared" si="1"/>
        <v>General Service &lt; 50 kW</v>
      </c>
      <c r="B31" s="26">
        <f t="shared" si="2"/>
        <v>1400.6147788455628</v>
      </c>
      <c r="C31" s="26">
        <f aca="true" t="shared" si="5" ref="C31:O31">C19*$E9</f>
        <v>2163.6220570543624</v>
      </c>
      <c r="D31" s="26">
        <f t="shared" si="5"/>
        <v>2033.747670048292</v>
      </c>
      <c r="E31" s="26">
        <f t="shared" si="5"/>
        <v>2063.3725951122324</v>
      </c>
      <c r="F31" s="26">
        <f t="shared" si="5"/>
        <v>2273.563295579898</v>
      </c>
      <c r="G31" s="26">
        <f t="shared" si="5"/>
        <v>2098.5845595104843</v>
      </c>
      <c r="H31" s="26">
        <f t="shared" si="5"/>
        <v>2062.6213325750005</v>
      </c>
      <c r="I31" s="26">
        <f t="shared" si="5"/>
        <v>1991.077675729077</v>
      </c>
      <c r="J31" s="26">
        <f t="shared" si="5"/>
        <v>2453.5859960117737</v>
      </c>
      <c r="K31" s="26">
        <f t="shared" si="5"/>
        <v>3015.3879689340083</v>
      </c>
      <c r="L31" s="26">
        <f t="shared" si="5"/>
        <v>3096.8075440994353</v>
      </c>
      <c r="M31" s="26">
        <f t="shared" si="5"/>
        <v>2897.0052707519553</v>
      </c>
      <c r="N31" s="26">
        <f t="shared" si="5"/>
        <v>2872.5793584845055</v>
      </c>
      <c r="O31" s="26">
        <f t="shared" si="5"/>
        <v>2159.115193441876</v>
      </c>
      <c r="P31" s="26">
        <f t="shared" si="4"/>
        <v>1018.2624527049271</v>
      </c>
    </row>
    <row r="32" spans="1:16" ht="14.25">
      <c r="A32" s="48" t="str">
        <f t="shared" si="1"/>
        <v>General Service &gt; 50 kW</v>
      </c>
      <c r="B32" s="26">
        <f t="shared" si="2"/>
        <v>1715.5125166336443</v>
      </c>
      <c r="C32" s="26">
        <f aca="true" t="shared" si="6" ref="C32:O32">C20*$E10</f>
        <v>3056.0327113102985</v>
      </c>
      <c r="D32" s="26">
        <f t="shared" si="6"/>
        <v>3200.52048723237</v>
      </c>
      <c r="E32" s="26">
        <f t="shared" si="6"/>
        <v>3172.6506042712695</v>
      </c>
      <c r="F32" s="26">
        <f t="shared" si="6"/>
        <v>3096.5864377340804</v>
      </c>
      <c r="G32" s="26">
        <f t="shared" si="6"/>
        <v>3026.192186911725</v>
      </c>
      <c r="H32" s="26">
        <f t="shared" si="6"/>
        <v>2920.3350333790595</v>
      </c>
      <c r="I32" s="26">
        <f t="shared" si="6"/>
        <v>3153.5837840473005</v>
      </c>
      <c r="J32" s="26">
        <f t="shared" si="6"/>
        <v>3078.267251213363</v>
      </c>
      <c r="K32" s="26">
        <f t="shared" si="6"/>
        <v>3338.409207288168</v>
      </c>
      <c r="L32" s="26">
        <f t="shared" si="6"/>
        <v>3389.447091885873</v>
      </c>
      <c r="M32" s="26">
        <f t="shared" si="6"/>
        <v>3230.87960148291</v>
      </c>
      <c r="N32" s="26">
        <f t="shared" si="6"/>
        <v>3417.1008957419876</v>
      </c>
      <c r="O32" s="26">
        <f t="shared" si="6"/>
        <v>3173.56677967641</v>
      </c>
      <c r="P32" s="26">
        <f t="shared" si="4"/>
        <v>1581.861107826623</v>
      </c>
    </row>
    <row r="33" spans="1:16" ht="14.25">
      <c r="A33" s="48" t="str">
        <f t="shared" si="1"/>
        <v>Sentinel Lights</v>
      </c>
      <c r="B33" s="26">
        <f t="shared" si="2"/>
        <v>1.9852460794030782</v>
      </c>
      <c r="C33" s="26">
        <f aca="true" t="shared" si="7" ref="C33:O33">C21*$E11</f>
        <v>3.9704921588061564</v>
      </c>
      <c r="D33" s="26">
        <f t="shared" si="7"/>
        <v>3.9704921588061564</v>
      </c>
      <c r="E33" s="26">
        <f t="shared" si="7"/>
        <v>3.9704921588061564</v>
      </c>
      <c r="F33" s="26">
        <f t="shared" si="7"/>
        <v>3.9704921588061564</v>
      </c>
      <c r="G33" s="26">
        <f t="shared" si="7"/>
        <v>3.9704921588061564</v>
      </c>
      <c r="H33" s="26">
        <f t="shared" si="7"/>
        <v>3.9704921588061564</v>
      </c>
      <c r="I33" s="26">
        <f t="shared" si="7"/>
        <v>3.9704921588061564</v>
      </c>
      <c r="J33" s="26">
        <f t="shared" si="7"/>
        <v>3.9704921588061564</v>
      </c>
      <c r="K33" s="26">
        <f t="shared" si="7"/>
        <v>3.9704921588061564</v>
      </c>
      <c r="L33" s="26">
        <f t="shared" si="7"/>
        <v>3.9704921588061564</v>
      </c>
      <c r="M33" s="26">
        <f t="shared" si="7"/>
        <v>3.9704921588061564</v>
      </c>
      <c r="N33" s="26">
        <f t="shared" si="7"/>
        <v>3.9704921588061564</v>
      </c>
      <c r="O33" s="26">
        <f t="shared" si="7"/>
        <v>3.9704921588061564</v>
      </c>
      <c r="P33" s="26">
        <f t="shared" si="4"/>
        <v>1.9852460794030782</v>
      </c>
    </row>
    <row r="34" spans="1:16" ht="14.25">
      <c r="A34" s="48" t="str">
        <f t="shared" si="1"/>
        <v>Street Lights</v>
      </c>
      <c r="B34" s="26">
        <f t="shared" si="2"/>
        <v>53.75800050832052</v>
      </c>
      <c r="C34" s="26">
        <f aca="true" t="shared" si="8" ref="C34:O34">C22*$E12</f>
        <v>107.28206253158852</v>
      </c>
      <c r="D34" s="26">
        <f t="shared" si="8"/>
        <v>107.51600101664104</v>
      </c>
      <c r="E34" s="26">
        <f t="shared" si="8"/>
        <v>107.28206253158852</v>
      </c>
      <c r="F34" s="26">
        <f t="shared" si="8"/>
        <v>107.39903177411477</v>
      </c>
      <c r="G34" s="26">
        <f t="shared" si="8"/>
        <v>107.51600101664104</v>
      </c>
      <c r="H34" s="26">
        <f t="shared" si="8"/>
        <v>107.28206253158852</v>
      </c>
      <c r="I34" s="26">
        <f t="shared" si="8"/>
        <v>107.51600101664104</v>
      </c>
      <c r="J34" s="26">
        <f t="shared" si="8"/>
        <v>107.28206253158852</v>
      </c>
      <c r="K34" s="26">
        <f t="shared" si="8"/>
        <v>107.39903177411477</v>
      </c>
      <c r="L34" s="26">
        <f t="shared" si="8"/>
        <v>107.77120663669834</v>
      </c>
      <c r="M34" s="26">
        <f t="shared" si="8"/>
        <v>107.02685691153123</v>
      </c>
      <c r="N34" s="26">
        <f t="shared" si="8"/>
        <v>107.51600101664104</v>
      </c>
      <c r="O34" s="26">
        <f t="shared" si="8"/>
        <v>107.28206253158852</v>
      </c>
      <c r="P34" s="26">
        <f t="shared" si="4"/>
        <v>53.75800050832052</v>
      </c>
    </row>
    <row r="35" spans="1:20" ht="14.25">
      <c r="A35" s="28" t="str">
        <f t="shared" si="1"/>
        <v>Unmetered Loads</v>
      </c>
      <c r="B35" s="29">
        <f t="shared" si="2"/>
        <v>30.011279656082017</v>
      </c>
      <c r="C35" s="29">
        <f aca="true" t="shared" si="9" ref="C35:O35">C23*$E13</f>
        <v>62.42629318368165</v>
      </c>
      <c r="D35" s="29">
        <f t="shared" si="9"/>
        <v>65.26043096990696</v>
      </c>
      <c r="E35" s="29">
        <f t="shared" si="9"/>
        <v>57.63878819718625</v>
      </c>
      <c r="F35" s="29">
        <f t="shared" si="9"/>
        <v>61.977360618507376</v>
      </c>
      <c r="G35" s="29">
        <f t="shared" si="9"/>
        <v>65.29817664175523</v>
      </c>
      <c r="H35" s="29">
        <f t="shared" si="9"/>
        <v>64.59357164583965</v>
      </c>
      <c r="I35" s="29">
        <f t="shared" si="9"/>
        <v>67.6785059021572</v>
      </c>
      <c r="J35" s="29">
        <f t="shared" si="9"/>
        <v>59.966514446820895</v>
      </c>
      <c r="K35" s="29">
        <f t="shared" si="9"/>
        <v>64.93706873250761</v>
      </c>
      <c r="L35" s="29">
        <f t="shared" si="9"/>
        <v>61.692776609329066</v>
      </c>
      <c r="M35" s="29">
        <f t="shared" si="9"/>
        <v>61.730522281177365</v>
      </c>
      <c r="N35" s="29">
        <f t="shared" si="9"/>
        <v>64.12261121138008</v>
      </c>
      <c r="O35" s="29">
        <f t="shared" si="9"/>
        <v>62.283513583027585</v>
      </c>
      <c r="P35" s="29">
        <f t="shared" si="4"/>
        <v>31.967027472433728</v>
      </c>
      <c r="T35" s="26"/>
    </row>
    <row r="36" spans="1:16" ht="14.25">
      <c r="A36" t="s">
        <v>13</v>
      </c>
      <c r="B36" s="26">
        <f>SUM(B30:B35)</f>
        <v>7887.309398004345</v>
      </c>
      <c r="C36" s="26">
        <f>SUM(C30:C35)</f>
        <v>11862.71763748702</v>
      </c>
      <c r="D36" s="26">
        <f aca="true" t="shared" si="10" ref="D36:O36">SUM(D30:D35)</f>
        <v>10668.96985258356</v>
      </c>
      <c r="E36" s="26">
        <f t="shared" si="10"/>
        <v>9708.9152324829</v>
      </c>
      <c r="F36" s="26">
        <f t="shared" si="10"/>
        <v>10035.961160835033</v>
      </c>
      <c r="G36" s="26">
        <f t="shared" si="10"/>
        <v>9541.478450627288</v>
      </c>
      <c r="H36" s="26">
        <f t="shared" si="10"/>
        <v>9211.5503615567</v>
      </c>
      <c r="I36" s="26">
        <f t="shared" si="10"/>
        <v>10707.64041503315</v>
      </c>
      <c r="J36" s="26">
        <f t="shared" si="10"/>
        <v>13346.113186590173</v>
      </c>
      <c r="K36" s="26">
        <f t="shared" si="10"/>
        <v>16625.532089770153</v>
      </c>
      <c r="L36" s="26">
        <f t="shared" si="10"/>
        <v>16825.89660371534</v>
      </c>
      <c r="M36" s="26">
        <f t="shared" si="10"/>
        <v>15698.368638136593</v>
      </c>
      <c r="N36" s="26">
        <f t="shared" si="10"/>
        <v>15540.414784331</v>
      </c>
      <c r="O36" s="26">
        <f t="shared" si="10"/>
        <v>11689.59965114523</v>
      </c>
      <c r="P36" s="26">
        <f>SUM(P30:P35)</f>
        <v>5128.361233206911</v>
      </c>
    </row>
    <row r="37" ht="14.25">
      <c r="P37" s="26"/>
    </row>
    <row r="39" ht="14.25">
      <c r="C39" s="26"/>
    </row>
  </sheetData>
  <sheetProtection/>
  <mergeCells count="6">
    <mergeCell ref="B6:C6"/>
    <mergeCell ref="D6:E6"/>
    <mergeCell ref="B16:K16"/>
    <mergeCell ref="B28:K28"/>
    <mergeCell ref="L16:P16"/>
    <mergeCell ref="L28:P28"/>
  </mergeCells>
  <printOptions/>
  <pageMargins left="0.7" right="0.7" top="0.75" bottom="0.75" header="0.3" footer="0.3"/>
  <pageSetup horizontalDpi="1200" verticalDpi="1200" orientation="landscape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4.28125" style="0" bestFit="1" customWidth="1"/>
    <col min="2" max="2" width="14.00390625" style="0" bestFit="1" customWidth="1"/>
    <col min="3" max="3" width="10.421875" style="0" customWidth="1"/>
    <col min="4" max="4" width="21.421875" style="0" customWidth="1"/>
    <col min="5" max="5" width="19.8515625" style="0" customWidth="1"/>
    <col min="6" max="6" width="10.140625" style="0" bestFit="1" customWidth="1"/>
  </cols>
  <sheetData>
    <row r="1" ht="15">
      <c r="A1" s="44" t="s">
        <v>93</v>
      </c>
    </row>
    <row r="3" spans="1:5" ht="57">
      <c r="A3" s="61" t="s">
        <v>40</v>
      </c>
      <c r="B3" s="61" t="s">
        <v>104</v>
      </c>
      <c r="C3" s="61" t="s">
        <v>101</v>
      </c>
      <c r="D3" s="61" t="s">
        <v>102</v>
      </c>
      <c r="E3" s="39"/>
    </row>
    <row r="4" spans="1:4" ht="14.25">
      <c r="A4" t="str">
        <f>'App 34 - Mar05 to Apr06 Revenue'!A8</f>
        <v>Residential</v>
      </c>
      <c r="B4" s="41">
        <v>1304445</v>
      </c>
      <c r="C4" s="15">
        <f aca="true" t="shared" si="0" ref="C4:C9">ROUND(B4/$B$10,4)</f>
        <v>0.5565</v>
      </c>
      <c r="D4" s="49">
        <f aca="true" t="shared" si="1" ref="D4:D9">C4*$D$10</f>
        <v>-67188.7792178262</v>
      </c>
    </row>
    <row r="5" spans="1:4" ht="14.25">
      <c r="A5" t="str">
        <f>'App 34 - Mar05 to Apr06 Revenue'!A9</f>
        <v>General Service &lt; 50 kW</v>
      </c>
      <c r="B5" s="41">
        <v>413922</v>
      </c>
      <c r="C5" s="15">
        <f t="shared" si="0"/>
        <v>0.1766</v>
      </c>
      <c r="D5" s="49">
        <f t="shared" si="1"/>
        <v>-21321.722210005584</v>
      </c>
    </row>
    <row r="6" spans="1:4" ht="14.25">
      <c r="A6" t="str">
        <f>'App 34 - Mar05 to Apr06 Revenue'!A10</f>
        <v>General Service &gt; 50 kW</v>
      </c>
      <c r="B6" s="41">
        <v>564456</v>
      </c>
      <c r="C6" s="15">
        <f t="shared" si="0"/>
        <v>0.2408</v>
      </c>
      <c r="D6" s="49">
        <f t="shared" si="1"/>
        <v>-29072.88056721033</v>
      </c>
    </row>
    <row r="7" spans="1:4" ht="14.25">
      <c r="A7" t="str">
        <f>'App 34 - Mar05 to Apr06 Revenue'!A11</f>
        <v>Sentinel Lights</v>
      </c>
      <c r="B7" s="41">
        <v>1180</v>
      </c>
      <c r="C7" s="15">
        <f t="shared" si="0"/>
        <v>0.0005</v>
      </c>
      <c r="D7" s="49">
        <f t="shared" si="1"/>
        <v>-60.36727692527062</v>
      </c>
    </row>
    <row r="8" spans="1:4" ht="14.25">
      <c r="A8" t="str">
        <f>'App 34 - Mar05 to Apr06 Revenue'!A12</f>
        <v>Street Lights</v>
      </c>
      <c r="B8" s="41">
        <v>47584</v>
      </c>
      <c r="C8" s="15">
        <f t="shared" si="0"/>
        <v>0.0203</v>
      </c>
      <c r="D8" s="49">
        <f t="shared" si="1"/>
        <v>-2450.911443165987</v>
      </c>
    </row>
    <row r="9" spans="1:4" ht="14.25">
      <c r="A9" s="42" t="str">
        <f>'App 34 - Mar05 to Apr06 Revenue'!A13</f>
        <v>Unmetered Loads</v>
      </c>
      <c r="B9" s="43">
        <v>12458</v>
      </c>
      <c r="C9" s="17">
        <f t="shared" si="0"/>
        <v>0.0053</v>
      </c>
      <c r="D9" s="50">
        <f t="shared" si="1"/>
        <v>-639.8931354078686</v>
      </c>
    </row>
    <row r="10" spans="1:4" ht="14.25">
      <c r="A10" s="2" t="s">
        <v>13</v>
      </c>
      <c r="B10" s="45">
        <f>SUM(B4:B9)</f>
        <v>2344045</v>
      </c>
      <c r="C10" s="46">
        <f>SUM(C4:C9)</f>
        <v>0.9999999999999999</v>
      </c>
      <c r="D10" s="51">
        <f>'App 1 - Continuity Schedule'!L199</f>
        <v>-120734.55385054124</v>
      </c>
    </row>
    <row r="14" ht="15">
      <c r="A14" s="44" t="s">
        <v>94</v>
      </c>
    </row>
    <row r="16" spans="1:6" ht="42.75">
      <c r="A16" s="61" t="s">
        <v>40</v>
      </c>
      <c r="B16" s="61" t="s">
        <v>95</v>
      </c>
      <c r="C16" s="61" t="s">
        <v>96</v>
      </c>
      <c r="D16" s="61" t="s">
        <v>97</v>
      </c>
      <c r="E16" s="61" t="s">
        <v>105</v>
      </c>
      <c r="F16" s="61" t="s">
        <v>98</v>
      </c>
    </row>
    <row r="17" spans="1:7" ht="14.25">
      <c r="A17" t="str">
        <f aca="true" t="shared" si="2" ref="A17:A23">A4</f>
        <v>Residential</v>
      </c>
      <c r="B17" s="49">
        <f aca="true" t="shared" si="3" ref="B17:B23">D4</f>
        <v>-67188.7792178262</v>
      </c>
      <c r="C17" s="34">
        <v>1</v>
      </c>
      <c r="D17" s="49">
        <f>B17/C17</f>
        <v>-67188.7792178262</v>
      </c>
      <c r="E17" s="40">
        <v>33572049</v>
      </c>
      <c r="F17" s="52">
        <f aca="true" t="shared" si="4" ref="F17:F22">ROUND(D17/E17,4)</f>
        <v>-0.002</v>
      </c>
      <c r="G17" t="s">
        <v>99</v>
      </c>
    </row>
    <row r="18" spans="1:7" ht="14.25">
      <c r="A18" t="str">
        <f t="shared" si="2"/>
        <v>General Service &lt; 50 kW</v>
      </c>
      <c r="B18" s="49">
        <f t="shared" si="3"/>
        <v>-21321.722210005584</v>
      </c>
      <c r="C18">
        <f aca="true" t="shared" si="5" ref="C18:C23">C17</f>
        <v>1</v>
      </c>
      <c r="D18" s="49">
        <f aca="true" t="shared" si="6" ref="D18:D23">B18/C18</f>
        <v>-21321.722210005584</v>
      </c>
      <c r="E18" s="40">
        <v>16873256</v>
      </c>
      <c r="F18" s="52">
        <f t="shared" si="4"/>
        <v>-0.0013</v>
      </c>
      <c r="G18" t="s">
        <v>99</v>
      </c>
    </row>
    <row r="19" spans="1:7" ht="14.25">
      <c r="A19" t="str">
        <f t="shared" si="2"/>
        <v>General Service &gt; 50 kW</v>
      </c>
      <c r="B19" s="49">
        <f t="shared" si="3"/>
        <v>-29072.88056721033</v>
      </c>
      <c r="C19">
        <f t="shared" si="5"/>
        <v>1</v>
      </c>
      <c r="D19" s="49">
        <f t="shared" si="6"/>
        <v>-29072.88056721033</v>
      </c>
      <c r="E19" s="40">
        <v>97877</v>
      </c>
      <c r="F19" s="52">
        <f t="shared" si="4"/>
        <v>-0.297</v>
      </c>
      <c r="G19" t="s">
        <v>100</v>
      </c>
    </row>
    <row r="20" spans="1:7" ht="14.25">
      <c r="A20" t="str">
        <f t="shared" si="2"/>
        <v>Sentinel Lights</v>
      </c>
      <c r="B20" s="49">
        <f t="shared" si="3"/>
        <v>-60.36727692527062</v>
      </c>
      <c r="C20">
        <f t="shared" si="5"/>
        <v>1</v>
      </c>
      <c r="D20" s="49">
        <f t="shared" si="6"/>
        <v>-60.36727692527062</v>
      </c>
      <c r="E20" s="40">
        <v>36</v>
      </c>
      <c r="F20" s="52">
        <f t="shared" si="4"/>
        <v>-1.6769</v>
      </c>
      <c r="G20" t="s">
        <v>100</v>
      </c>
    </row>
    <row r="21" spans="1:7" ht="14.25">
      <c r="A21" t="str">
        <f t="shared" si="2"/>
        <v>Street Lights</v>
      </c>
      <c r="B21" s="49">
        <f t="shared" si="3"/>
        <v>-2450.911443165987</v>
      </c>
      <c r="C21">
        <f t="shared" si="5"/>
        <v>1</v>
      </c>
      <c r="D21" s="49">
        <f t="shared" si="6"/>
        <v>-2450.911443165987</v>
      </c>
      <c r="E21" s="40">
        <v>2421</v>
      </c>
      <c r="F21" s="52">
        <f t="shared" si="4"/>
        <v>-1.0124</v>
      </c>
      <c r="G21" t="s">
        <v>100</v>
      </c>
    </row>
    <row r="22" spans="1:7" ht="14.25" customHeight="1">
      <c r="A22" s="42" t="str">
        <f t="shared" si="2"/>
        <v>Unmetered Loads</v>
      </c>
      <c r="B22" s="50">
        <f t="shared" si="3"/>
        <v>-639.8931354078686</v>
      </c>
      <c r="C22" s="42">
        <f t="shared" si="5"/>
        <v>1</v>
      </c>
      <c r="D22" s="50">
        <f t="shared" si="6"/>
        <v>-639.8931354078686</v>
      </c>
      <c r="E22" s="47">
        <v>58750</v>
      </c>
      <c r="F22" s="53">
        <f t="shared" si="4"/>
        <v>-0.0109</v>
      </c>
      <c r="G22" t="s">
        <v>99</v>
      </c>
    </row>
    <row r="23" spans="1:4" ht="14.25">
      <c r="A23" t="str">
        <f t="shared" si="2"/>
        <v>Total</v>
      </c>
      <c r="B23" s="51">
        <f t="shared" si="3"/>
        <v>-120734.55385054124</v>
      </c>
      <c r="C23">
        <f t="shared" si="5"/>
        <v>1</v>
      </c>
      <c r="D23" s="51">
        <f t="shared" si="6"/>
        <v>-120734.55385054124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="160" zoomScaleNormal="160" zoomScalePageLayoutView="0" workbookViewId="0" topLeftCell="A1">
      <selection activeCell="A1" sqref="A1:I2"/>
    </sheetView>
  </sheetViews>
  <sheetFormatPr defaultColWidth="9.140625" defaultRowHeight="15"/>
  <cols>
    <col min="1" max="1" width="10.421875" style="0" customWidth="1"/>
    <col min="2" max="2" width="12.28125" style="0" customWidth="1"/>
    <col min="3" max="3" width="16.140625" style="0" customWidth="1"/>
    <col min="4" max="4" width="12.28125" style="0" customWidth="1"/>
    <col min="5" max="5" width="15.7109375" style="0" customWidth="1"/>
    <col min="6" max="6" width="13.28125" style="0" customWidth="1"/>
    <col min="7" max="8" width="13.140625" style="0" customWidth="1"/>
    <col min="9" max="9" width="38.8515625" style="0" bestFit="1" customWidth="1"/>
  </cols>
  <sheetData>
    <row r="1" spans="1:9" ht="14.25">
      <c r="A1" s="87" t="s">
        <v>71</v>
      </c>
      <c r="B1" s="87" t="s">
        <v>77</v>
      </c>
      <c r="C1" s="87"/>
      <c r="D1" s="87"/>
      <c r="E1" s="88" t="s">
        <v>22</v>
      </c>
      <c r="F1" s="88" t="s">
        <v>27</v>
      </c>
      <c r="G1" s="88" t="s">
        <v>28</v>
      </c>
      <c r="H1" s="88" t="s">
        <v>24</v>
      </c>
      <c r="I1" s="87" t="s">
        <v>23</v>
      </c>
    </row>
    <row r="2" spans="1:9" ht="19.5" customHeight="1">
      <c r="A2" s="87"/>
      <c r="B2" s="62" t="s">
        <v>78</v>
      </c>
      <c r="C2" s="62" t="s">
        <v>79</v>
      </c>
      <c r="D2" s="62" t="s">
        <v>80</v>
      </c>
      <c r="E2" s="88"/>
      <c r="F2" s="88"/>
      <c r="G2" s="88"/>
      <c r="H2" s="88"/>
      <c r="I2" s="87"/>
    </row>
    <row r="3" spans="1:9" ht="14.25">
      <c r="A3" s="1" t="s">
        <v>1</v>
      </c>
      <c r="B3" s="1" t="s">
        <v>81</v>
      </c>
      <c r="C3" s="1" t="s">
        <v>82</v>
      </c>
      <c r="D3" s="1" t="s">
        <v>83</v>
      </c>
      <c r="E3" s="58">
        <v>37688</v>
      </c>
      <c r="F3" s="1" t="s">
        <v>25</v>
      </c>
      <c r="G3" s="1" t="s">
        <v>26</v>
      </c>
      <c r="H3" s="21">
        <f>E3/3</f>
        <v>12562.666666666666</v>
      </c>
      <c r="I3" s="38" t="s">
        <v>72</v>
      </c>
    </row>
    <row r="4" spans="1:9" ht="14.25">
      <c r="A4" s="1">
        <v>2002</v>
      </c>
      <c r="B4" s="1" t="s">
        <v>81</v>
      </c>
      <c r="C4" s="1" t="s">
        <v>84</v>
      </c>
      <c r="D4" s="1" t="s">
        <v>83</v>
      </c>
      <c r="E4" s="8">
        <v>174504</v>
      </c>
      <c r="F4" s="1" t="s">
        <v>29</v>
      </c>
      <c r="G4" s="1" t="s">
        <v>30</v>
      </c>
      <c r="H4" s="8">
        <f>E4/12</f>
        <v>14542</v>
      </c>
      <c r="I4" s="38" t="s">
        <v>73</v>
      </c>
    </row>
    <row r="5" spans="1:9" ht="14.25">
      <c r="A5" s="1">
        <v>2003</v>
      </c>
      <c r="B5" s="1" t="s">
        <v>81</v>
      </c>
      <c r="C5" s="1" t="s">
        <v>85</v>
      </c>
      <c r="D5" s="1" t="s">
        <v>83</v>
      </c>
      <c r="E5" s="21">
        <f>E3+E4</f>
        <v>212192</v>
      </c>
      <c r="F5" s="1" t="s">
        <v>31</v>
      </c>
      <c r="G5" s="1" t="s">
        <v>32</v>
      </c>
      <c r="H5" s="21">
        <f>E5/12</f>
        <v>17682.666666666668</v>
      </c>
      <c r="I5" s="38" t="s">
        <v>74</v>
      </c>
    </row>
    <row r="6" spans="1:9" ht="14.25">
      <c r="A6" s="1">
        <v>2004</v>
      </c>
      <c r="B6" s="1" t="s">
        <v>81</v>
      </c>
      <c r="C6" s="1" t="s">
        <v>85</v>
      </c>
      <c r="D6" s="1" t="s">
        <v>83</v>
      </c>
      <c r="E6" s="21">
        <f>E5</f>
        <v>212192</v>
      </c>
      <c r="F6" s="1" t="s">
        <v>33</v>
      </c>
      <c r="G6" s="1" t="s">
        <v>107</v>
      </c>
      <c r="H6" s="21">
        <f>E6/12</f>
        <v>17682.666666666668</v>
      </c>
      <c r="I6" s="38" t="s">
        <v>74</v>
      </c>
    </row>
    <row r="7" spans="1:9" ht="14.25">
      <c r="A7" s="1">
        <v>2004</v>
      </c>
      <c r="B7" s="1" t="s">
        <v>86</v>
      </c>
      <c r="C7" s="1" t="s">
        <v>87</v>
      </c>
      <c r="D7" s="1" t="s">
        <v>88</v>
      </c>
      <c r="E7" s="21">
        <f>E4</f>
        <v>174504</v>
      </c>
      <c r="F7" s="1" t="s">
        <v>108</v>
      </c>
      <c r="G7" s="1" t="s">
        <v>109</v>
      </c>
      <c r="H7" s="21">
        <f>E7/12</f>
        <v>14542</v>
      </c>
      <c r="I7" s="22" t="s">
        <v>75</v>
      </c>
    </row>
    <row r="8" spans="1:9" ht="14.25">
      <c r="A8" s="1">
        <v>2005</v>
      </c>
      <c r="B8" s="1" t="s">
        <v>89</v>
      </c>
      <c r="C8" s="1" t="s">
        <v>90</v>
      </c>
      <c r="D8" s="1" t="s">
        <v>91</v>
      </c>
      <c r="E8" s="8">
        <v>157668</v>
      </c>
      <c r="F8" s="1" t="s">
        <v>110</v>
      </c>
      <c r="G8" s="1" t="s">
        <v>37</v>
      </c>
      <c r="H8" s="21">
        <f>E8/12</f>
        <v>13139</v>
      </c>
      <c r="I8" s="22" t="s">
        <v>76</v>
      </c>
    </row>
    <row r="9" ht="14.25">
      <c r="I9" s="22"/>
    </row>
    <row r="10" ht="14.25">
      <c r="I10" s="22"/>
    </row>
    <row r="11" ht="14.25">
      <c r="I11" s="22"/>
    </row>
    <row r="12" ht="14.25">
      <c r="I12" s="22"/>
    </row>
    <row r="13" ht="14.25">
      <c r="I13" s="22"/>
    </row>
    <row r="14" ht="14.25">
      <c r="I14" s="22"/>
    </row>
    <row r="15" ht="14.25">
      <c r="I15" s="22"/>
    </row>
    <row r="16" ht="14.25">
      <c r="I16" s="22"/>
    </row>
    <row r="17" ht="14.25">
      <c r="I17" s="22"/>
    </row>
  </sheetData>
  <sheetProtection/>
  <mergeCells count="7">
    <mergeCell ref="I1:I2"/>
    <mergeCell ref="B1:D1"/>
    <mergeCell ref="A1:A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IMBSI</dc:creator>
  <cp:keywords/>
  <dc:description/>
  <cp:lastModifiedBy>Miles Thompson</cp:lastModifiedBy>
  <cp:lastPrinted>2012-07-25T21:09:59Z</cp:lastPrinted>
  <dcterms:created xsi:type="dcterms:W3CDTF">2011-08-02T14:49:25Z</dcterms:created>
  <dcterms:modified xsi:type="dcterms:W3CDTF">2012-07-26T16:47:38Z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