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0992" windowHeight="7956" activeTab="0"/>
  </bookViews>
  <sheets>
    <sheet name="App 13 - Continuity Schedule" sheetId="1" r:id="rId1"/>
    <sheet name="App 32 - Mar02 to Feb04 Revenue" sheetId="2" r:id="rId2"/>
    <sheet name="App 33 - Mar04 to Feb05 Revenue" sheetId="3" r:id="rId3"/>
    <sheet name="App 34 - Mar05 to Apr06 Revenue" sheetId="4" r:id="rId4"/>
    <sheet name="Rate Derivation" sheetId="5" state="hidden" r:id="rId5"/>
    <sheet name="PILS Entitlement Summary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0">'App 13 - Continuity Schedule'!$A$1:$L$208</definedName>
    <definedName name="_xlnm.Print_Titles" localSheetId="0">'App 13 - Continuity Schedule'!$1:$2</definedName>
  </definedNames>
  <calcPr fullCalcOnLoad="1"/>
</workbook>
</file>

<file path=xl/comments1.xml><?xml version="1.0" encoding="utf-8"?>
<comments xmlns="http://schemas.openxmlformats.org/spreadsheetml/2006/main">
  <authors>
    <author>IMBSI</author>
    <author>Ian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5" authorId="1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2004 PILS as per 2004 RAM </t>
        </r>
      </text>
    </comment>
    <comment ref="B73" authorId="1">
      <text>
        <r>
          <rPr>
            <b/>
            <sz val="9"/>
            <rFont val="Tahoma"/>
            <family val="0"/>
          </rPr>
          <t>Ian:</t>
        </r>
        <r>
          <rPr>
            <sz val="9"/>
            <rFont val="Tahoma"/>
            <family val="0"/>
          </rPr>
          <t xml:space="preserve">
2005 PILS as approved in 2005 RAM, in effect for 13 months until April 30, 2006</t>
        </r>
      </text>
    </comment>
  </commentList>
</comments>
</file>

<file path=xl/sharedStrings.xml><?xml version="1.0" encoding="utf-8"?>
<sst xmlns="http://schemas.openxmlformats.org/spreadsheetml/2006/main" count="548" uniqueCount="113">
  <si>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</si>
  <si>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</si>
  <si>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</si>
  <si>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</si>
  <si>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</si>
  <si>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</si>
  <si>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</si>
  <si>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</si>
  <si>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</si>
  <si>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</si>
  <si>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</si>
  <si>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</si>
  <si>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</si>
  <si>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</si>
  <si>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</si>
  <si>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</si>
  <si>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</si>
  <si>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</si>
  <si>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</si>
  <si>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</si>
  <si>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</si>
  <si>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</si>
  <si>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</si>
  <si>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</si>
  <si>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</si>
  <si>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</si>
  <si>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</si>
  <si>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</si>
  <si>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</si>
  <si>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</si>
  <si>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</si>
  <si>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</si>
  <si>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</si>
  <si>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</si>
  <si>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Mar. 1, 2005</t>
  </si>
  <si>
    <t>Mar. 1, 2004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</si>
  <si>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</si>
  <si>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</si>
  <si>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</si>
  <si>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</si>
  <si>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</si>
  <si>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</si>
  <si>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</si>
  <si>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</si>
  <si>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</si>
  <si>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</si>
  <si>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</si>
  <si>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</si>
  <si>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Sentinel Lights</t>
  </si>
  <si>
    <t>Street Lights</t>
  </si>
  <si>
    <t>Unmetered Loads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</si>
  <si>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</si>
  <si>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</si>
  <si>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</si>
  <si>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</si>
  <si>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</si>
  <si>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</si>
  <si>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</si>
  <si>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</si>
  <si>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</si>
  <si>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</si>
  <si>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</si>
  <si>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</si>
  <si>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</si>
  <si>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</si>
  <si>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</si>
  <si>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</si>
  <si>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</si>
  <si>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</si>
  <si>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</si>
  <si>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</si>
  <si>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Year</t>
  </si>
  <si>
    <t>Q4 2001 Entitlement / 3 months</t>
  </si>
  <si>
    <t>2002 Entitlement / 12 months</t>
  </si>
  <si>
    <t>(Q4 2001 + 2002 Entitlements) / 12 months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</si>
  <si>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</si>
  <si>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</si>
  <si>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</si>
  <si>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</si>
  <si>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</si>
  <si>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</si>
  <si>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</si>
  <si>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</si>
  <si>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</si>
  <si>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</si>
  <si>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</si>
  <si>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</si>
  <si>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</si>
  <si>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</si>
  <si>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</si>
  <si>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</si>
  <si>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</si>
  <si>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Feb. 29, 2004</t>
  </si>
  <si>
    <t>Customer Class Allocation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</si>
  <si>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</si>
  <si>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</si>
  <si>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</si>
  <si>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</si>
  <si>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</si>
  <si>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</si>
  <si>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</si>
  <si>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Allocation %</t>
  </si>
  <si>
    <t>Allocated 1562 Disposition Value                         (including interest to Apr. 30, 2012)</t>
  </si>
  <si>
    <t>1562 Deferred PILS - Continuity Schedule</t>
  </si>
  <si>
    <t>2011    Approved DRR</t>
  </si>
  <si>
    <t>2011 Approved    Billing Determinant (kWh / kW)</t>
  </si>
  <si>
    <t>Mar</t>
  </si>
  <si>
    <t>Mar. 31, 2004</t>
  </si>
  <si>
    <t>Apr. 1, 2004</t>
  </si>
  <si>
    <t>Mar. 31, 2005</t>
  </si>
  <si>
    <t>Apr. 1, 2005</t>
  </si>
  <si>
    <t>Note: PSPC did not have any LCT included in approved PILS entitlement, therefore no adjustment to revenue required.</t>
  </si>
  <si>
    <t>Parry Sound Power Corporation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</si>
</sst>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00_-;\-&quot;$&quot;* #,##0.0000_-;_-&quot;$&quot;* &quot;-&quot;??_-;_-@_-"/>
    <numFmt numFmtId="173" formatCode="_-* #,##0_-;\-* #,##0_-;_-* &quot;-&quot;??_-;_-@_-"/>
    <numFmt numFmtId="174" formatCode="#,##0;[Red]\(#,##0\)"/>
    <numFmt numFmtId="175" formatCode="_-&quot;$&quot;* #,##0_-;\-&quot;$&quot;* #,##0_-;_-&quot;$&quot;* &quot;-&quot;??_-;_-@_-"/>
    <numFmt numFmtId="176" formatCode="#,##0.00;[Red]\(#,##0.00\)"/>
    <numFmt numFmtId="177" formatCode="#,##0.0000;[Red]\(#,##0.0000\)"/>
    <numFmt numFmtId="178" formatCode="_-&quot;$&quot;* #,##0.000000_-;\-&quot;$&quot;* #,##0.000000_-;_-&quot;$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0" fontId="0" fillId="33" borderId="0" xfId="59" applyNumberFormat="1" applyFont="1" applyFill="1" applyAlignment="1">
      <alignment/>
    </xf>
    <xf numFmtId="0" fontId="45" fillId="0" borderId="0" xfId="0" applyFont="1" applyAlignment="1">
      <alignment/>
    </xf>
    <xf numFmtId="44" fontId="0" fillId="33" borderId="0" xfId="45" applyFont="1" applyFill="1" applyAlignment="1">
      <alignment/>
    </xf>
    <xf numFmtId="44" fontId="0" fillId="33" borderId="10" xfId="45" applyFont="1" applyFill="1" applyBorder="1" applyAlignment="1">
      <alignment/>
    </xf>
    <xf numFmtId="44" fontId="0" fillId="0" borderId="0" xfId="45" applyFont="1" applyAlignment="1">
      <alignment/>
    </xf>
    <xf numFmtId="44" fontId="45" fillId="0" borderId="0" xfId="45" applyFont="1" applyAlignment="1">
      <alignment/>
    </xf>
    <xf numFmtId="44" fontId="43" fillId="0" borderId="0" xfId="45" applyFont="1" applyAlignment="1">
      <alignment horizontal="center"/>
    </xf>
    <xf numFmtId="44" fontId="43" fillId="0" borderId="0" xfId="45" applyFont="1" applyAlignment="1">
      <alignment horizontal="center" wrapText="1"/>
    </xf>
    <xf numFmtId="44" fontId="0" fillId="0" borderId="0" xfId="45" applyFont="1" applyFill="1" applyAlignment="1">
      <alignment/>
    </xf>
    <xf numFmtId="44" fontId="0" fillId="0" borderId="10" xfId="45" applyFont="1" applyFill="1" applyBorder="1" applyAlignment="1">
      <alignment/>
    </xf>
    <xf numFmtId="44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43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45" fillId="0" borderId="0" xfId="45" applyNumberFormat="1" applyFont="1" applyAlignment="1">
      <alignment horizontal="left"/>
    </xf>
    <xf numFmtId="44" fontId="0" fillId="0" borderId="0" xfId="45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/>
    </xf>
    <xf numFmtId="172" fontId="0" fillId="0" borderId="0" xfId="45" applyNumberFormat="1" applyFont="1" applyAlignment="1">
      <alignment/>
    </xf>
    <xf numFmtId="0" fontId="46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" fillId="0" borderId="0" xfId="56">
      <alignment/>
      <protection/>
    </xf>
    <xf numFmtId="174" fontId="4" fillId="0" borderId="0" xfId="56" applyNumberFormat="1">
      <alignment/>
      <protection/>
    </xf>
    <xf numFmtId="0" fontId="4" fillId="0" borderId="0" xfId="56" applyAlignment="1">
      <alignment horizontal="center"/>
      <protection/>
    </xf>
    <xf numFmtId="173" fontId="0" fillId="0" borderId="0" xfId="0" applyNumberFormat="1" applyFill="1" applyAlignment="1">
      <alignment/>
    </xf>
    <xf numFmtId="0" fontId="0" fillId="33" borderId="0" xfId="0" applyFill="1" applyAlignment="1">
      <alignment/>
    </xf>
    <xf numFmtId="173" fontId="23" fillId="0" borderId="0" xfId="0" applyNumberFormat="1" applyFont="1" applyFill="1" applyAlignment="1">
      <alignment/>
    </xf>
    <xf numFmtId="173" fontId="4" fillId="0" borderId="0" xfId="56" applyNumberFormat="1">
      <alignment/>
      <protection/>
    </xf>
    <xf numFmtId="0" fontId="47" fillId="0" borderId="0" xfId="0" applyFont="1" applyAlignment="1">
      <alignment/>
    </xf>
    <xf numFmtId="0" fontId="0" fillId="0" borderId="0" xfId="0" applyAlignment="1" quotePrefix="1">
      <alignment horizontal="left"/>
    </xf>
    <xf numFmtId="0" fontId="43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75" fontId="0" fillId="0" borderId="0" xfId="45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45" applyNumberFormat="1" applyFont="1" applyBorder="1" applyAlignment="1">
      <alignment/>
    </xf>
    <xf numFmtId="0" fontId="48" fillId="0" borderId="0" xfId="0" applyFont="1" applyAlignment="1">
      <alignment/>
    </xf>
    <xf numFmtId="175" fontId="43" fillId="0" borderId="0" xfId="45" applyNumberFormat="1" applyFont="1" applyAlignment="1">
      <alignment/>
    </xf>
    <xf numFmtId="10" fontId="4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43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8" fontId="0" fillId="0" borderId="0" xfId="45" applyNumberFormat="1" applyFont="1" applyAlignment="1">
      <alignment/>
    </xf>
    <xf numFmtId="178" fontId="0" fillId="0" borderId="0" xfId="45" applyNumberFormat="1" applyFont="1" applyAlignment="1">
      <alignment/>
    </xf>
    <xf numFmtId="173" fontId="4" fillId="0" borderId="0" xfId="56" applyNumberFormat="1" applyAlignment="1">
      <alignment horizontal="center"/>
      <protection/>
    </xf>
    <xf numFmtId="173" fontId="4" fillId="0" borderId="0" xfId="56" applyNumberFormat="1" applyFill="1" applyAlignment="1">
      <alignment horizontal="center"/>
      <protection/>
    </xf>
    <xf numFmtId="44" fontId="0" fillId="0" borderId="0" xfId="45" applyFont="1" applyAlignment="1">
      <alignment/>
    </xf>
    <xf numFmtId="37" fontId="4" fillId="0" borderId="0" xfId="56" applyNumberFormat="1">
      <alignment/>
      <protection/>
    </xf>
    <xf numFmtId="37" fontId="0" fillId="0" borderId="0" xfId="0" applyNumberFormat="1" applyAlignment="1">
      <alignment/>
    </xf>
    <xf numFmtId="0" fontId="32" fillId="34" borderId="0" xfId="0" applyFont="1" applyFill="1" applyAlignment="1">
      <alignment horizontal="center" wrapText="1"/>
    </xf>
    <xf numFmtId="0" fontId="32" fillId="34" borderId="0" xfId="0" applyFont="1" applyFill="1" applyAlignment="1">
      <alignment horizontal="center"/>
    </xf>
    <xf numFmtId="44" fontId="43" fillId="0" borderId="0" xfId="45" applyFont="1" applyAlignment="1">
      <alignment horizontal="center" wrapText="1"/>
    </xf>
    <xf numFmtId="0" fontId="49" fillId="0" borderId="0" xfId="0" applyFont="1" applyAlignment="1">
      <alignment horizontal="center"/>
    </xf>
    <xf numFmtId="44" fontId="43" fillId="0" borderId="0" xfId="45" applyFont="1" applyAlignment="1">
      <alignment horizontal="center"/>
    </xf>
    <xf numFmtId="0" fontId="45" fillId="35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50" fillId="36" borderId="0" xfId="0" applyFont="1" applyFill="1" applyAlignment="1">
      <alignment horizontal="center"/>
    </xf>
    <xf numFmtId="0" fontId="28" fillId="37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2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54">
          <cell r="B54">
            <v>0.0002567910896456893</v>
          </cell>
        </row>
        <row r="58">
          <cell r="C58">
            <v>0.3981363086479219</v>
          </cell>
        </row>
        <row r="78">
          <cell r="B78">
            <v>0.0002006372112475747</v>
          </cell>
        </row>
        <row r="82">
          <cell r="C82">
            <v>0.6066801095415214</v>
          </cell>
        </row>
        <row r="102">
          <cell r="B102">
            <v>0.07156628176177782</v>
          </cell>
        </row>
        <row r="106">
          <cell r="C106">
            <v>4.066099154466812</v>
          </cell>
        </row>
        <row r="201">
          <cell r="B201">
            <v>0.12901040395081928</v>
          </cell>
        </row>
        <row r="205">
          <cell r="C205">
            <v>0.040805277371045334</v>
          </cell>
        </row>
        <row r="226">
          <cell r="B226">
            <v>0.08387441862257275</v>
          </cell>
        </row>
        <row r="230">
          <cell r="C230">
            <v>0.009768549482620757</v>
          </cell>
        </row>
      </sheetData>
      <sheetData sheetId="7">
        <row r="54">
          <cell r="B54">
            <v>0.0011890009400678029</v>
          </cell>
        </row>
        <row r="58">
          <cell r="C58">
            <v>1.8434613362584427</v>
          </cell>
        </row>
        <row r="78">
          <cell r="B78">
            <v>0.0009289957572714138</v>
          </cell>
        </row>
        <row r="82">
          <cell r="C82">
            <v>2.809066395413442</v>
          </cell>
        </row>
        <row r="102">
          <cell r="B102">
            <v>0.3313681031897109</v>
          </cell>
        </row>
        <row r="106">
          <cell r="C106">
            <v>18.8269605605885</v>
          </cell>
        </row>
        <row r="201">
          <cell r="B201">
            <v>0.5973474071382217</v>
          </cell>
        </row>
        <row r="205">
          <cell r="C205">
            <v>0.18893768168063382</v>
          </cell>
        </row>
        <row r="226">
          <cell r="B226">
            <v>0.38835756617364986</v>
          </cell>
        </row>
        <row r="230">
          <cell r="C230">
            <v>0.045230597891697165</v>
          </cell>
        </row>
      </sheetData>
      <sheetData sheetId="15">
        <row r="19">
          <cell r="F19">
            <v>15.988883309645427</v>
          </cell>
        </row>
        <row r="20">
          <cell r="F20">
            <v>0.01028268530402781</v>
          </cell>
        </row>
        <row r="37">
          <cell r="F37">
            <v>24.369620351215325</v>
          </cell>
        </row>
        <row r="38">
          <cell r="F38">
            <v>0.008052112947449275</v>
          </cell>
        </row>
        <row r="57">
          <cell r="F57">
            <v>163.45810362985117</v>
          </cell>
        </row>
        <row r="58">
          <cell r="F58">
            <v>2.8726121729370715</v>
          </cell>
        </row>
        <row r="113">
          <cell r="F113">
            <v>1.6303831369578434</v>
          </cell>
        </row>
        <row r="114">
          <cell r="F114">
            <v>5.179593341047184</v>
          </cell>
        </row>
        <row r="128">
          <cell r="F128">
            <v>0.39244550319983224</v>
          </cell>
        </row>
        <row r="129">
          <cell r="F129">
            <v>3.3674586967886166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78">
          <cell r="B78">
            <v>0.0011670729159412214</v>
          </cell>
        </row>
        <row r="82">
          <cell r="C82">
            <v>0.22800000000000006</v>
          </cell>
        </row>
      </sheetData>
      <sheetData sheetId="7">
        <row r="78">
          <cell r="B78">
            <v>0.005403927850128838</v>
          </cell>
        </row>
        <row r="82">
          <cell r="C82">
            <v>1.0557142857142858</v>
          </cell>
        </row>
      </sheetData>
      <sheetData sheetId="15">
        <row r="37">
          <cell r="F37">
            <v>8.595475785714285</v>
          </cell>
        </row>
        <row r="38">
          <cell r="F38">
            <v>0.0440316318093182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</sheetNames>
    <sheetDataSet>
      <sheetData sheetId="6">
        <row r="48">
          <cell r="B48">
            <v>0.003064078688955267</v>
          </cell>
        </row>
        <row r="66">
          <cell r="B66">
            <v>0.0016457101558318091</v>
          </cell>
        </row>
        <row r="84">
          <cell r="B84">
            <v>0.5027284015172294</v>
          </cell>
        </row>
        <row r="120">
          <cell r="B120">
            <v>0.006258517698367678</v>
          </cell>
        </row>
        <row r="156">
          <cell r="B156">
            <v>1.266386715669602</v>
          </cell>
        </row>
        <row r="174">
          <cell r="B174">
            <v>0.8692208663769545</v>
          </cell>
        </row>
      </sheetData>
      <sheetData sheetId="9">
        <row r="10">
          <cell r="F10">
            <v>15.99</v>
          </cell>
        </row>
        <row r="11">
          <cell r="F11">
            <v>0.012993130666277228</v>
          </cell>
        </row>
        <row r="22">
          <cell r="F22">
            <v>24.37</v>
          </cell>
        </row>
        <row r="23">
          <cell r="F23">
            <v>0.009760199144416986</v>
          </cell>
        </row>
        <row r="28">
          <cell r="F28">
            <v>163.46</v>
          </cell>
        </row>
        <row r="29">
          <cell r="F29">
            <v>3.303052193655666</v>
          </cell>
        </row>
        <row r="40">
          <cell r="F40">
            <v>8.6</v>
          </cell>
        </row>
        <row r="41">
          <cell r="F41">
            <v>0.04485044471229015</v>
          </cell>
        </row>
        <row r="63">
          <cell r="F63">
            <v>1.63</v>
          </cell>
        </row>
        <row r="64">
          <cell r="F64">
            <v>4.714867138332227</v>
          </cell>
        </row>
        <row r="75">
          <cell r="F75">
            <v>0.39</v>
          </cell>
        </row>
        <row r="76">
          <cell r="F76">
            <v>4.246798676922417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50">
          <cell r="B50">
            <v>0.0023789837562859326</v>
          </cell>
        </row>
        <row r="67">
          <cell r="B67">
            <v>0.0017518867783845493</v>
          </cell>
        </row>
        <row r="84">
          <cell r="B84">
            <v>0.4321582099720993</v>
          </cell>
        </row>
        <row r="101">
          <cell r="B101">
            <v>0.006072578756624929</v>
          </cell>
        </row>
        <row r="152">
          <cell r="B152">
            <v>1.1677918114135755</v>
          </cell>
        </row>
        <row r="169">
          <cell r="B169">
            <v>0.5316783751193801</v>
          </cell>
        </row>
      </sheetData>
      <sheetData sheetId="11">
        <row r="13">
          <cell r="F13">
            <v>15.70891199807245</v>
          </cell>
        </row>
        <row r="14">
          <cell r="F14">
            <v>0.01452207195394337</v>
          </cell>
        </row>
        <row r="25">
          <cell r="F25">
            <v>23.942132115136392</v>
          </cell>
        </row>
        <row r="26">
          <cell r="F26">
            <v>0.011705992653432614</v>
          </cell>
        </row>
        <row r="31">
          <cell r="F31">
            <v>160.61519361329238</v>
          </cell>
        </row>
        <row r="32">
          <cell r="F32">
            <v>4.04038517829835</v>
          </cell>
        </row>
        <row r="37">
          <cell r="F37">
            <v>8.484076947685862</v>
          </cell>
        </row>
        <row r="38">
          <cell r="F38">
            <v>0.05155988654870163</v>
          </cell>
        </row>
        <row r="56">
          <cell r="F56">
            <v>1.6099944681612635</v>
          </cell>
        </row>
        <row r="57">
          <cell r="F57">
            <v>6.984797905607287</v>
          </cell>
        </row>
        <row r="68">
          <cell r="F68">
            <v>0.3902714718651938</v>
          </cell>
        </row>
        <row r="69">
          <cell r="F69">
            <v>4.56839562254055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="120" zoomScaleNormal="120" zoomScalePageLayoutView="40" workbookViewId="0" topLeftCell="A154">
      <selection activeCell="D77" sqref="D77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28125" style="0" bestFit="1" customWidth="1"/>
    <col min="4" max="4" width="16.57421875" style="0" customWidth="1"/>
    <col min="5" max="5" width="13.00390625" style="0" customWidth="1"/>
    <col min="6" max="6" width="14.28125" style="0" bestFit="1" customWidth="1"/>
    <col min="7" max="7" width="2.57421875" style="0" customWidth="1"/>
    <col min="8" max="8" width="13.00390625" style="15" customWidth="1"/>
    <col min="9" max="9" width="12.71093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3" max="13" width="11.57421875" style="0" bestFit="1" customWidth="1"/>
    <col min="14" max="14" width="14.28125" style="0" bestFit="1" customWidth="1"/>
  </cols>
  <sheetData>
    <row r="1" spans="1:12" ht="28.5">
      <c r="A1" s="64" t="s">
        <v>112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8.5">
      <c r="A2" s="64" t="s">
        <v>103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ht="15"/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63" t="s">
        <v>70</v>
      </c>
      <c r="E5" s="65" t="s">
        <v>14</v>
      </c>
      <c r="F5" s="65"/>
      <c r="G5" s="10"/>
      <c r="H5" s="65" t="s">
        <v>15</v>
      </c>
      <c r="I5" s="65"/>
      <c r="J5" s="65"/>
      <c r="K5" s="10"/>
      <c r="L5" s="63" t="s">
        <v>5</v>
      </c>
      <c r="M5" s="3"/>
    </row>
    <row r="6" spans="2:13" ht="28.5" customHeight="1">
      <c r="B6" s="11" t="s">
        <v>2</v>
      </c>
      <c r="C6" s="11" t="s">
        <v>3</v>
      </c>
      <c r="D6" s="63"/>
      <c r="E6" s="10" t="s">
        <v>4</v>
      </c>
      <c r="F6" s="10" t="s">
        <v>69</v>
      </c>
      <c r="G6" s="10"/>
      <c r="H6" s="16" t="s">
        <v>6</v>
      </c>
      <c r="I6" s="10" t="s">
        <v>4</v>
      </c>
      <c r="J6" s="10" t="s">
        <v>69</v>
      </c>
      <c r="K6" s="10"/>
      <c r="L6" s="63"/>
      <c r="M6" s="3"/>
    </row>
    <row r="7" spans="1:12" ht="15">
      <c r="A7" t="s">
        <v>10</v>
      </c>
      <c r="B7" s="6">
        <f>'PILS Entitlement Summary'!H3</f>
        <v>12562.666666666666</v>
      </c>
      <c r="C7" s="6">
        <v>0</v>
      </c>
      <c r="D7" s="8"/>
      <c r="E7" s="8">
        <f>B7-C7+D7</f>
        <v>12562.666666666666</v>
      </c>
      <c r="F7" s="8">
        <f>E7</f>
        <v>12562.666666666666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12562.666666666666</v>
      </c>
    </row>
    <row r="8" spans="1:12" ht="15">
      <c r="A8" t="s">
        <v>11</v>
      </c>
      <c r="B8" s="12">
        <f>B7</f>
        <v>12562.666666666666</v>
      </c>
      <c r="C8" s="6">
        <v>0</v>
      </c>
      <c r="D8" s="8"/>
      <c r="E8" s="8">
        <f>B8-C8+D8</f>
        <v>12562.666666666666</v>
      </c>
      <c r="F8" s="8">
        <f>F7+E8</f>
        <v>25125.333333333332</v>
      </c>
      <c r="G8" s="8"/>
      <c r="H8" s="15">
        <f>H7</f>
        <v>0.0725</v>
      </c>
      <c r="I8" s="8">
        <f>F7*H8/12</f>
        <v>75.89944444444443</v>
      </c>
      <c r="J8" s="8">
        <f>I8+J7</f>
        <v>75.89944444444443</v>
      </c>
      <c r="K8" s="8"/>
      <c r="L8" s="8">
        <f>F8+J8</f>
        <v>25201.232777777775</v>
      </c>
    </row>
    <row r="9" spans="1:12" ht="15">
      <c r="A9" t="s">
        <v>12</v>
      </c>
      <c r="B9" s="13">
        <f>B8</f>
        <v>12562.666666666666</v>
      </c>
      <c r="C9" s="7">
        <v>0</v>
      </c>
      <c r="D9" s="14"/>
      <c r="E9" s="14">
        <f>B9-C9+D9</f>
        <v>12562.666666666666</v>
      </c>
      <c r="F9" s="14">
        <f>F8+E9</f>
        <v>37688</v>
      </c>
      <c r="G9" s="14"/>
      <c r="H9" s="17">
        <f>H8</f>
        <v>0.0725</v>
      </c>
      <c r="I9" s="14">
        <f>F8*H9/12</f>
        <v>151.79888888888885</v>
      </c>
      <c r="J9" s="14">
        <f>I9+J8</f>
        <v>227.69833333333327</v>
      </c>
      <c r="K9" s="14"/>
      <c r="L9" s="14">
        <f>F9+J9</f>
        <v>37915.698333333334</v>
      </c>
    </row>
    <row r="10" spans="1:12" ht="15">
      <c r="A10" s="2" t="s">
        <v>13</v>
      </c>
      <c r="B10" s="8">
        <f>SUM(B7:B9)</f>
        <v>37688</v>
      </c>
      <c r="C10" s="8">
        <f>SUM(C7:C9)</f>
        <v>0</v>
      </c>
      <c r="D10" s="8">
        <f>SUM(D7:D9)</f>
        <v>0</v>
      </c>
      <c r="E10" s="8">
        <f>SUM(E7:E9)</f>
        <v>37688</v>
      </c>
      <c r="F10" s="8"/>
      <c r="G10" s="8"/>
      <c r="I10" s="8">
        <f>SUM(I7:I9)</f>
        <v>227.69833333333327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63" t="str">
        <f>$D$5</f>
        <v>SIMPILS True-Up Adjustments    (neg = CR)</v>
      </c>
      <c r="E14" s="65" t="s">
        <v>14</v>
      </c>
      <c r="F14" s="65"/>
      <c r="G14" s="10"/>
      <c r="H14" s="65" t="s">
        <v>15</v>
      </c>
      <c r="I14" s="65"/>
      <c r="J14" s="65"/>
      <c r="K14" s="10"/>
      <c r="L14" s="63" t="s">
        <v>5</v>
      </c>
    </row>
    <row r="15" spans="2:12" ht="45">
      <c r="B15" s="11" t="s">
        <v>2</v>
      </c>
      <c r="C15" s="11" t="s">
        <v>3</v>
      </c>
      <c r="D15" s="63"/>
      <c r="E15" s="10" t="s">
        <v>4</v>
      </c>
      <c r="F15" s="10" t="s">
        <v>69</v>
      </c>
      <c r="G15" s="10"/>
      <c r="H15" s="16" t="s">
        <v>6</v>
      </c>
      <c r="I15" s="10" t="s">
        <v>4</v>
      </c>
      <c r="J15" s="10" t="s">
        <v>69</v>
      </c>
      <c r="K15" s="10"/>
      <c r="L15" s="63"/>
    </row>
    <row r="16" spans="1:12" ht="15">
      <c r="A16" t="s">
        <v>7</v>
      </c>
      <c r="B16" s="6">
        <f>'PILS Entitlement Summary'!H4</f>
        <v>14542</v>
      </c>
      <c r="C16" s="6">
        <v>0</v>
      </c>
      <c r="D16" s="8"/>
      <c r="E16" s="8">
        <f aca="true" t="shared" si="0" ref="E16:E27">B16-C16+D16</f>
        <v>14542</v>
      </c>
      <c r="F16" s="8">
        <f>F9+E16</f>
        <v>52230</v>
      </c>
      <c r="G16" s="8"/>
      <c r="H16" s="15">
        <f>H9</f>
        <v>0.0725</v>
      </c>
      <c r="I16" s="8">
        <f>H16*F9/12</f>
        <v>227.6983333333333</v>
      </c>
      <c r="J16" s="8">
        <f>J9+I16</f>
        <v>455.39666666666653</v>
      </c>
      <c r="K16" s="8"/>
      <c r="L16" s="8">
        <f aca="true" t="shared" si="1" ref="L16:L27">F16+J16</f>
        <v>52685.39666666667</v>
      </c>
    </row>
    <row r="17" spans="1:12" ht="15">
      <c r="A17" t="s">
        <v>8</v>
      </c>
      <c r="B17" s="12">
        <f>B16</f>
        <v>14542</v>
      </c>
      <c r="C17" s="6">
        <v>0</v>
      </c>
      <c r="D17" s="8"/>
      <c r="E17" s="8">
        <f t="shared" si="0"/>
        <v>14542</v>
      </c>
      <c r="F17" s="8">
        <f>F16+E17</f>
        <v>66772</v>
      </c>
      <c r="G17" s="8"/>
      <c r="H17" s="15">
        <f>H16</f>
        <v>0.0725</v>
      </c>
      <c r="I17" s="8">
        <f>H17*F16/12</f>
        <v>315.55625</v>
      </c>
      <c r="J17" s="8">
        <f>I17+J16</f>
        <v>770.9529166666665</v>
      </c>
      <c r="K17" s="8"/>
      <c r="L17" s="8">
        <f t="shared" si="1"/>
        <v>67542.95291666666</v>
      </c>
    </row>
    <row r="18" spans="1:12" ht="15">
      <c r="A18" t="s">
        <v>9</v>
      </c>
      <c r="B18" s="12">
        <f>B17</f>
        <v>14542</v>
      </c>
      <c r="C18" s="6">
        <f>'App 32 - Mar02 to Feb04 Revenue'!B$47</f>
        <v>8442.48824354539</v>
      </c>
      <c r="D18" s="8"/>
      <c r="E18" s="8">
        <f t="shared" si="0"/>
        <v>6099.511756454611</v>
      </c>
      <c r="F18" s="8">
        <f aca="true" t="shared" si="2" ref="F18:F27">F17+E18</f>
        <v>72871.51175645461</v>
      </c>
      <c r="G18" s="8"/>
      <c r="H18" s="15">
        <f aca="true" t="shared" si="3" ref="H18:H27">H17</f>
        <v>0.0725</v>
      </c>
      <c r="I18" s="8">
        <f aca="true" t="shared" si="4" ref="I18:I27">H18*F17/12</f>
        <v>403.41416666666663</v>
      </c>
      <c r="J18" s="8">
        <f aca="true" t="shared" si="5" ref="J18:J27">I18+J17</f>
        <v>1174.367083333333</v>
      </c>
      <c r="K18" s="8"/>
      <c r="L18" s="8">
        <f t="shared" si="1"/>
        <v>74045.87883978794</v>
      </c>
    </row>
    <row r="19" spans="1:12" ht="15">
      <c r="A19" t="s">
        <v>16</v>
      </c>
      <c r="B19" s="12">
        <f aca="true" t="shared" si="6" ref="B19:B27">B18</f>
        <v>14542</v>
      </c>
      <c r="C19" s="6">
        <f>'App 32 - Mar02 to Feb04 Revenue'!C$47</f>
        <v>17267.717666414563</v>
      </c>
      <c r="D19" s="8"/>
      <c r="E19" s="8">
        <f t="shared" si="0"/>
        <v>-2725.7176664145627</v>
      </c>
      <c r="F19" s="8">
        <f t="shared" si="2"/>
        <v>70145.79409004004</v>
      </c>
      <c r="G19" s="8"/>
      <c r="H19" s="15">
        <f t="shared" si="3"/>
        <v>0.0725</v>
      </c>
      <c r="I19" s="8">
        <f>H19*F18/12</f>
        <v>440.2653835285799</v>
      </c>
      <c r="J19" s="8">
        <f>I19+J18</f>
        <v>1614.632466861913</v>
      </c>
      <c r="K19" s="8"/>
      <c r="L19" s="8">
        <f t="shared" si="1"/>
        <v>71760.42655690196</v>
      </c>
    </row>
    <row r="20" spans="1:12" ht="15">
      <c r="A20" t="s">
        <v>17</v>
      </c>
      <c r="B20" s="12">
        <f t="shared" si="6"/>
        <v>14542</v>
      </c>
      <c r="C20" s="6">
        <f>'App 32 - Mar02 to Feb04 Revenue'!D$47</f>
        <v>16220.129730169243</v>
      </c>
      <c r="D20" s="8"/>
      <c r="E20" s="8">
        <f t="shared" si="0"/>
        <v>-1678.129730169243</v>
      </c>
      <c r="F20" s="8">
        <f t="shared" si="2"/>
        <v>68467.6643598708</v>
      </c>
      <c r="G20" s="8"/>
      <c r="H20" s="15">
        <f t="shared" si="3"/>
        <v>0.0725</v>
      </c>
      <c r="I20" s="8">
        <f t="shared" si="4"/>
        <v>423.79750596065855</v>
      </c>
      <c r="J20" s="8">
        <f t="shared" si="5"/>
        <v>2038.4299728225715</v>
      </c>
      <c r="K20" s="8"/>
      <c r="L20" s="8">
        <f t="shared" si="1"/>
        <v>70506.09433269338</v>
      </c>
    </row>
    <row r="21" spans="1:12" ht="15">
      <c r="A21" t="s">
        <v>18</v>
      </c>
      <c r="B21" s="12">
        <f t="shared" si="6"/>
        <v>14542</v>
      </c>
      <c r="C21" s="6">
        <f>'App 32 - Mar02 to Feb04 Revenue'!E$47</f>
        <v>15223.571774729027</v>
      </c>
      <c r="D21" s="8"/>
      <c r="E21" s="8">
        <f t="shared" si="0"/>
        <v>-681.5717747290273</v>
      </c>
      <c r="F21" s="8">
        <f t="shared" si="2"/>
        <v>67786.09258514177</v>
      </c>
      <c r="G21" s="8"/>
      <c r="H21" s="15">
        <f t="shared" si="3"/>
        <v>0.0725</v>
      </c>
      <c r="I21" s="8">
        <f t="shared" si="4"/>
        <v>413.6588055075527</v>
      </c>
      <c r="J21" s="8">
        <f t="shared" si="5"/>
        <v>2452.088778330124</v>
      </c>
      <c r="K21" s="8"/>
      <c r="L21" s="8">
        <f t="shared" si="1"/>
        <v>70238.1813634719</v>
      </c>
    </row>
    <row r="22" spans="1:12" ht="15">
      <c r="A22" t="s">
        <v>19</v>
      </c>
      <c r="B22" s="12">
        <f t="shared" si="6"/>
        <v>14542</v>
      </c>
      <c r="C22" s="6">
        <f>'App 32 - Mar02 to Feb04 Revenue'!F$47</f>
        <v>12552.826698336265</v>
      </c>
      <c r="D22" s="6">
        <v>0</v>
      </c>
      <c r="E22" s="8">
        <f t="shared" si="0"/>
        <v>1989.1733016637354</v>
      </c>
      <c r="F22" s="8">
        <f t="shared" si="2"/>
        <v>69775.2658868055</v>
      </c>
      <c r="G22" s="8"/>
      <c r="H22" s="15">
        <f t="shared" si="3"/>
        <v>0.0725</v>
      </c>
      <c r="I22" s="8">
        <f t="shared" si="4"/>
        <v>409.5409760352315</v>
      </c>
      <c r="J22" s="8">
        <f t="shared" si="5"/>
        <v>2861.6297543653554</v>
      </c>
      <c r="K22" s="8"/>
      <c r="L22" s="8">
        <f t="shared" si="1"/>
        <v>72636.89564117085</v>
      </c>
    </row>
    <row r="23" spans="1:12" ht="15">
      <c r="A23" t="s">
        <v>20</v>
      </c>
      <c r="B23" s="12">
        <f t="shared" si="6"/>
        <v>14542</v>
      </c>
      <c r="C23" s="6">
        <f>'App 32 - Mar02 to Feb04 Revenue'!G$47</f>
        <v>12010.601245510456</v>
      </c>
      <c r="D23" s="8"/>
      <c r="E23" s="8">
        <f t="shared" si="0"/>
        <v>2531.3987544895444</v>
      </c>
      <c r="F23" s="8">
        <f t="shared" si="2"/>
        <v>72306.66464129505</v>
      </c>
      <c r="G23" s="8"/>
      <c r="H23" s="15">
        <f t="shared" si="3"/>
        <v>0.0725</v>
      </c>
      <c r="I23" s="8">
        <f t="shared" si="4"/>
        <v>421.55889806611657</v>
      </c>
      <c r="J23" s="8">
        <f t="shared" si="5"/>
        <v>3283.188652431472</v>
      </c>
      <c r="K23" s="8"/>
      <c r="L23" s="8">
        <f t="shared" si="1"/>
        <v>75589.85329372653</v>
      </c>
    </row>
    <row r="24" spans="1:12" ht="15">
      <c r="A24" t="s">
        <v>21</v>
      </c>
      <c r="B24" s="12">
        <f t="shared" si="6"/>
        <v>14542</v>
      </c>
      <c r="C24" s="6">
        <f>'App 32 - Mar02 to Feb04 Revenue'!H$47</f>
        <v>11861.634704035487</v>
      </c>
      <c r="D24" s="8"/>
      <c r="E24" s="8">
        <f t="shared" si="0"/>
        <v>2680.3652959645133</v>
      </c>
      <c r="F24" s="8">
        <f t="shared" si="2"/>
        <v>74987.02993725956</v>
      </c>
      <c r="G24" s="8"/>
      <c r="H24" s="15">
        <f t="shared" si="3"/>
        <v>0.0725</v>
      </c>
      <c r="I24" s="8">
        <f t="shared" si="4"/>
        <v>436.85276554115757</v>
      </c>
      <c r="J24" s="8">
        <f t="shared" si="5"/>
        <v>3720.0414179726295</v>
      </c>
      <c r="K24" s="8"/>
      <c r="L24" s="8">
        <f t="shared" si="1"/>
        <v>78707.0713552322</v>
      </c>
    </row>
    <row r="25" spans="1:12" ht="15">
      <c r="A25" t="s">
        <v>10</v>
      </c>
      <c r="B25" s="12">
        <f t="shared" si="6"/>
        <v>14542</v>
      </c>
      <c r="C25" s="6">
        <f>'App 32 - Mar02 to Feb04 Revenue'!I$47</f>
        <v>16542.939322366452</v>
      </c>
      <c r="D25" s="8"/>
      <c r="E25" s="8">
        <f t="shared" si="0"/>
        <v>-2000.939322366452</v>
      </c>
      <c r="F25" s="8">
        <f t="shared" si="2"/>
        <v>72986.09061489311</v>
      </c>
      <c r="G25" s="8"/>
      <c r="H25" s="15">
        <f t="shared" si="3"/>
        <v>0.0725</v>
      </c>
      <c r="I25" s="8">
        <f t="shared" si="4"/>
        <v>453.0466392042765</v>
      </c>
      <c r="J25" s="8">
        <f t="shared" si="5"/>
        <v>4173.088057176906</v>
      </c>
      <c r="K25" s="8"/>
      <c r="L25" s="8">
        <f t="shared" si="1"/>
        <v>77159.17867207002</v>
      </c>
    </row>
    <row r="26" spans="1:12" ht="15">
      <c r="A26" t="s">
        <v>11</v>
      </c>
      <c r="B26" s="12">
        <f t="shared" si="6"/>
        <v>14542</v>
      </c>
      <c r="C26" s="6">
        <f>'App 32 - Mar02 to Feb04 Revenue'!J$47</f>
        <v>19110.279073439753</v>
      </c>
      <c r="D26" s="8"/>
      <c r="E26" s="8">
        <f t="shared" si="0"/>
        <v>-4568.279073439753</v>
      </c>
      <c r="F26" s="8">
        <f t="shared" si="2"/>
        <v>68417.81154145335</v>
      </c>
      <c r="G26" s="8"/>
      <c r="H26" s="15">
        <f t="shared" si="3"/>
        <v>0.0725</v>
      </c>
      <c r="I26" s="8">
        <f t="shared" si="4"/>
        <v>440.9576307983125</v>
      </c>
      <c r="J26" s="8">
        <f t="shared" si="5"/>
        <v>4614.045687975218</v>
      </c>
      <c r="K26" s="8"/>
      <c r="L26" s="8">
        <f t="shared" si="1"/>
        <v>73031.85722942857</v>
      </c>
    </row>
    <row r="27" spans="1:12" ht="15">
      <c r="A27" t="s">
        <v>12</v>
      </c>
      <c r="B27" s="13">
        <f t="shared" si="6"/>
        <v>14542</v>
      </c>
      <c r="C27" s="7">
        <f>'App 32 - Mar02 to Feb04 Revenue'!K$47</f>
        <v>20200.678671079422</v>
      </c>
      <c r="D27" s="14"/>
      <c r="E27" s="14">
        <f t="shared" si="0"/>
        <v>-5658.678671079422</v>
      </c>
      <c r="F27" s="14">
        <f t="shared" si="2"/>
        <v>62759.13287037393</v>
      </c>
      <c r="G27" s="14"/>
      <c r="H27" s="17">
        <f t="shared" si="3"/>
        <v>0.0725</v>
      </c>
      <c r="I27" s="14">
        <f t="shared" si="4"/>
        <v>413.3576113962806</v>
      </c>
      <c r="J27" s="14">
        <f t="shared" si="5"/>
        <v>5027.403299371499</v>
      </c>
      <c r="K27" s="14"/>
      <c r="L27" s="14">
        <f t="shared" si="1"/>
        <v>67786.53616974542</v>
      </c>
    </row>
    <row r="28" spans="1:12" ht="15">
      <c r="A28" s="2" t="s">
        <v>13</v>
      </c>
      <c r="B28" s="8">
        <f>SUM(B16:B27)</f>
        <v>174504</v>
      </c>
      <c r="C28" s="8">
        <f>SUM(C16:C27)</f>
        <v>149432.86712962604</v>
      </c>
      <c r="D28" s="8">
        <f>SUM(D16:D27)</f>
        <v>0</v>
      </c>
      <c r="E28" s="8">
        <f>SUM(E16:E27)</f>
        <v>25071.132870373942</v>
      </c>
      <c r="F28" s="8"/>
      <c r="G28" s="8"/>
      <c r="I28" s="8">
        <f>SUM(I16:I27)</f>
        <v>4799.704966038166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63" t="str">
        <f>$D$5</f>
        <v>SIMPILS True-Up Adjustments    (neg = CR)</v>
      </c>
      <c r="E32" s="65" t="s">
        <v>14</v>
      </c>
      <c r="F32" s="65"/>
      <c r="G32" s="10"/>
      <c r="H32" s="65" t="s">
        <v>15</v>
      </c>
      <c r="I32" s="65"/>
      <c r="J32" s="65"/>
      <c r="K32" s="10"/>
      <c r="L32" s="63" t="s">
        <v>5</v>
      </c>
    </row>
    <row r="33" spans="2:12" ht="45">
      <c r="B33" s="11" t="s">
        <v>2</v>
      </c>
      <c r="C33" s="11" t="s">
        <v>3</v>
      </c>
      <c r="D33" s="63"/>
      <c r="E33" s="10" t="s">
        <v>4</v>
      </c>
      <c r="F33" s="10" t="s">
        <v>69</v>
      </c>
      <c r="G33" s="10"/>
      <c r="H33" s="16" t="s">
        <v>6</v>
      </c>
      <c r="I33" s="10" t="s">
        <v>4</v>
      </c>
      <c r="J33" s="10" t="s">
        <v>69</v>
      </c>
      <c r="K33" s="10"/>
      <c r="L33" s="63"/>
    </row>
    <row r="34" spans="1:12" ht="15">
      <c r="A34" t="s">
        <v>7</v>
      </c>
      <c r="B34" s="6">
        <f>'PILS Entitlement Summary'!H5</f>
        <v>17682.666666666668</v>
      </c>
      <c r="C34" s="6">
        <f>'App 32 - Mar02 to Feb04 Revenue'!L$47</f>
        <v>19863.002099342193</v>
      </c>
      <c r="D34" s="8"/>
      <c r="E34" s="8">
        <f aca="true" t="shared" si="7" ref="E34:E45">B34-C34+D34</f>
        <v>-2180.335432675525</v>
      </c>
      <c r="F34" s="8">
        <f>F27+E34</f>
        <v>60578.797437698406</v>
      </c>
      <c r="G34" s="8"/>
      <c r="H34" s="15">
        <f>H27</f>
        <v>0.0725</v>
      </c>
      <c r="I34" s="8">
        <f>H34*F27/12</f>
        <v>379.1697610918425</v>
      </c>
      <c r="J34" s="8">
        <f>J27+I34</f>
        <v>5406.573060463342</v>
      </c>
      <c r="K34" s="8"/>
      <c r="L34" s="8">
        <f aca="true" t="shared" si="8" ref="L34:L45">F34+J34</f>
        <v>65985.37049816175</v>
      </c>
    </row>
    <row r="35" spans="1:12" ht="15">
      <c r="A35" t="s">
        <v>8</v>
      </c>
      <c r="B35" s="12">
        <f>B34</f>
        <v>17682.666666666668</v>
      </c>
      <c r="C35" s="6">
        <f>'App 32 - Mar02 to Feb04 Revenue'!M$47</f>
        <v>19039.249682924987</v>
      </c>
      <c r="D35" s="8"/>
      <c r="E35" s="8">
        <f t="shared" si="7"/>
        <v>-1356.5830162583188</v>
      </c>
      <c r="F35" s="8">
        <f>F34+E35</f>
        <v>59222.21442144009</v>
      </c>
      <c r="G35" s="8"/>
      <c r="H35" s="15">
        <f>H34</f>
        <v>0.0725</v>
      </c>
      <c r="I35" s="8">
        <f>H35*F34/12</f>
        <v>365.9969011860945</v>
      </c>
      <c r="J35" s="8">
        <f>I35+J34</f>
        <v>5772.569961649437</v>
      </c>
      <c r="K35" s="8"/>
      <c r="L35" s="8">
        <f t="shared" si="8"/>
        <v>64994.78438308953</v>
      </c>
    </row>
    <row r="36" spans="1:12" ht="15">
      <c r="A36" t="s">
        <v>9</v>
      </c>
      <c r="B36" s="12">
        <f aca="true" t="shared" si="9" ref="B36:B45">B35</f>
        <v>17682.666666666668</v>
      </c>
      <c r="C36" s="6">
        <f>'App 32 - Mar02 to Feb04 Revenue'!N$47</f>
        <v>18935.91204875312</v>
      </c>
      <c r="D36" s="8"/>
      <c r="E36" s="8">
        <f t="shared" si="7"/>
        <v>-1253.245382086454</v>
      </c>
      <c r="F36" s="8">
        <f aca="true" t="shared" si="10" ref="F36:F45">F35+E36</f>
        <v>57968.96903935364</v>
      </c>
      <c r="G36" s="8"/>
      <c r="H36" s="15">
        <f aca="true" t="shared" si="11" ref="H36:H45">H35</f>
        <v>0.0725</v>
      </c>
      <c r="I36" s="8">
        <f>H36*F35/12</f>
        <v>357.80087879620055</v>
      </c>
      <c r="J36" s="8">
        <f>I36+J35</f>
        <v>6130.370840445637</v>
      </c>
      <c r="K36" s="8"/>
      <c r="L36" s="8">
        <f t="shared" si="8"/>
        <v>64099.33987979927</v>
      </c>
    </row>
    <row r="37" spans="1:12" ht="15">
      <c r="A37" t="s">
        <v>16</v>
      </c>
      <c r="B37" s="12">
        <f t="shared" si="9"/>
        <v>17682.666666666668</v>
      </c>
      <c r="C37" s="6">
        <f>'App 32 - Mar02 to Feb04 Revenue'!O$47</f>
        <v>16685.50084843354</v>
      </c>
      <c r="D37" s="8"/>
      <c r="E37" s="8">
        <f t="shared" si="7"/>
        <v>997.1658182331266</v>
      </c>
      <c r="F37" s="8">
        <f t="shared" si="10"/>
        <v>58966.13485758676</v>
      </c>
      <c r="G37" s="8"/>
      <c r="H37" s="15">
        <f t="shared" si="11"/>
        <v>0.0725</v>
      </c>
      <c r="I37" s="8">
        <f>H37*F36/12</f>
        <v>350.2291879460949</v>
      </c>
      <c r="J37" s="8">
        <f>I37+J36</f>
        <v>6480.600028391732</v>
      </c>
      <c r="K37" s="8"/>
      <c r="L37" s="8">
        <f>F37+J37</f>
        <v>65446.73488597849</v>
      </c>
    </row>
    <row r="38" spans="1:12" ht="15">
      <c r="A38" t="s">
        <v>17</v>
      </c>
      <c r="B38" s="12">
        <f t="shared" si="9"/>
        <v>17682.666666666668</v>
      </c>
      <c r="C38" s="6">
        <f>'App 32 - Mar02 to Feb04 Revenue'!P$47</f>
        <v>15174.936856026727</v>
      </c>
      <c r="D38" s="8"/>
      <c r="E38" s="8">
        <f t="shared" si="7"/>
        <v>2507.729810639941</v>
      </c>
      <c r="F38" s="8">
        <f t="shared" si="10"/>
        <v>61473.8646682267</v>
      </c>
      <c r="G38" s="8"/>
      <c r="H38" s="15">
        <f t="shared" si="11"/>
        <v>0.0725</v>
      </c>
      <c r="I38" s="8">
        <f aca="true" t="shared" si="12" ref="I38:I45">H38*F37/12</f>
        <v>356.2537314312533</v>
      </c>
      <c r="J38" s="8">
        <f aca="true" t="shared" si="13" ref="J38:J45">I38+J37</f>
        <v>6836.853759822985</v>
      </c>
      <c r="K38" s="8"/>
      <c r="L38" s="8">
        <f t="shared" si="8"/>
        <v>68310.71842804969</v>
      </c>
    </row>
    <row r="39" spans="1:12" ht="15">
      <c r="A39" t="s">
        <v>18</v>
      </c>
      <c r="B39" s="12">
        <f t="shared" si="9"/>
        <v>17682.666666666668</v>
      </c>
      <c r="C39" s="6">
        <f>'App 32 - Mar02 to Feb04 Revenue'!Q$47</f>
        <v>14604.567863321201</v>
      </c>
      <c r="D39" s="8"/>
      <c r="E39" s="8">
        <f t="shared" si="7"/>
        <v>3078.098803345467</v>
      </c>
      <c r="F39" s="8">
        <f t="shared" si="10"/>
        <v>64551.96347157216</v>
      </c>
      <c r="G39" s="8"/>
      <c r="H39" s="15">
        <f t="shared" si="11"/>
        <v>0.0725</v>
      </c>
      <c r="I39" s="8">
        <f t="shared" si="12"/>
        <v>371.4045990372029</v>
      </c>
      <c r="J39" s="8">
        <f t="shared" si="13"/>
        <v>7208.258358860188</v>
      </c>
      <c r="K39" s="8"/>
      <c r="L39" s="8">
        <f t="shared" si="8"/>
        <v>71760.22183043235</v>
      </c>
    </row>
    <row r="40" spans="1:12" ht="15">
      <c r="A40" t="s">
        <v>19</v>
      </c>
      <c r="B40" s="12">
        <f t="shared" si="9"/>
        <v>17682.666666666668</v>
      </c>
      <c r="C40" s="6">
        <f>'App 32 - Mar02 to Feb04 Revenue'!R$47</f>
        <v>14589.065807722658</v>
      </c>
      <c r="D40" s="6">
        <v>-43567</v>
      </c>
      <c r="E40" s="8">
        <f t="shared" si="7"/>
        <v>-40473.39914105599</v>
      </c>
      <c r="F40" s="8">
        <f t="shared" si="10"/>
        <v>24078.564330516172</v>
      </c>
      <c r="G40" s="8"/>
      <c r="H40" s="15">
        <f t="shared" si="11"/>
        <v>0.0725</v>
      </c>
      <c r="I40" s="8">
        <f t="shared" si="12"/>
        <v>390.00144597408183</v>
      </c>
      <c r="J40" s="8">
        <f t="shared" si="13"/>
        <v>7598.25980483427</v>
      </c>
      <c r="K40" s="8"/>
      <c r="L40" s="8">
        <f t="shared" si="8"/>
        <v>31676.82413535044</v>
      </c>
    </row>
    <row r="41" spans="1:12" ht="15">
      <c r="A41" t="s">
        <v>20</v>
      </c>
      <c r="B41" s="12">
        <f t="shared" si="9"/>
        <v>17682.666666666668</v>
      </c>
      <c r="C41" s="6">
        <f>'App 32 - Mar02 to Feb04 Revenue'!S$47</f>
        <v>14571.95021377746</v>
      </c>
      <c r="D41" s="8"/>
      <c r="E41" s="8">
        <f t="shared" si="7"/>
        <v>3110.716452889208</v>
      </c>
      <c r="F41" s="8">
        <f t="shared" si="10"/>
        <v>27189.280783405382</v>
      </c>
      <c r="G41" s="8"/>
      <c r="H41" s="15">
        <f t="shared" si="11"/>
        <v>0.0725</v>
      </c>
      <c r="I41" s="8">
        <f t="shared" si="12"/>
        <v>145.47465949686853</v>
      </c>
      <c r="J41" s="8">
        <f t="shared" si="13"/>
        <v>7743.734464331138</v>
      </c>
      <c r="K41" s="8"/>
      <c r="L41" s="8">
        <f t="shared" si="8"/>
        <v>34933.01524773652</v>
      </c>
    </row>
    <row r="42" spans="1:12" ht="15">
      <c r="A42" t="s">
        <v>21</v>
      </c>
      <c r="B42" s="12">
        <f t="shared" si="9"/>
        <v>17682.666666666668</v>
      </c>
      <c r="C42" s="6">
        <f>'App 32 - Mar02 to Feb04 Revenue'!T$47</f>
        <v>14545.221247871388</v>
      </c>
      <c r="D42" s="8"/>
      <c r="E42" s="8">
        <f t="shared" si="7"/>
        <v>3137.4454187952797</v>
      </c>
      <c r="F42" s="8">
        <f t="shared" si="10"/>
        <v>30326.72620220066</v>
      </c>
      <c r="G42" s="8"/>
      <c r="H42" s="15">
        <f t="shared" si="11"/>
        <v>0.0725</v>
      </c>
      <c r="I42" s="8">
        <f t="shared" si="12"/>
        <v>164.26857139974084</v>
      </c>
      <c r="J42" s="8">
        <f t="shared" si="13"/>
        <v>7908.003035730879</v>
      </c>
      <c r="K42" s="8"/>
      <c r="L42" s="8">
        <f t="shared" si="8"/>
        <v>38234.72923793154</v>
      </c>
    </row>
    <row r="43" spans="1:12" ht="15">
      <c r="A43" t="s">
        <v>10</v>
      </c>
      <c r="B43" s="12">
        <f t="shared" si="9"/>
        <v>17682.666666666668</v>
      </c>
      <c r="C43" s="6">
        <f>'App 32 - Mar02 to Feb04 Revenue'!U$47</f>
        <v>15991.203554149164</v>
      </c>
      <c r="D43" s="8"/>
      <c r="E43" s="8">
        <f t="shared" si="7"/>
        <v>1691.4631125175038</v>
      </c>
      <c r="F43" s="8">
        <f t="shared" si="10"/>
        <v>32018.189314718165</v>
      </c>
      <c r="G43" s="8"/>
      <c r="H43" s="15">
        <f t="shared" si="11"/>
        <v>0.0725</v>
      </c>
      <c r="I43" s="8">
        <f t="shared" si="12"/>
        <v>183.2239708049623</v>
      </c>
      <c r="J43" s="8">
        <f t="shared" si="13"/>
        <v>8091.227006535841</v>
      </c>
      <c r="K43" s="8"/>
      <c r="L43" s="8">
        <f t="shared" si="8"/>
        <v>40109.41632125401</v>
      </c>
    </row>
    <row r="44" spans="1:12" ht="15">
      <c r="A44" t="s">
        <v>11</v>
      </c>
      <c r="B44" s="12">
        <f t="shared" si="9"/>
        <v>17682.666666666668</v>
      </c>
      <c r="C44" s="6">
        <f>'App 32 - Mar02 to Feb04 Revenue'!V$47</f>
        <v>17299.885356715124</v>
      </c>
      <c r="D44" s="8"/>
      <c r="E44" s="8">
        <f t="shared" si="7"/>
        <v>382.78130995154424</v>
      </c>
      <c r="F44" s="8">
        <f t="shared" si="10"/>
        <v>32400.97062466971</v>
      </c>
      <c r="G44" s="8"/>
      <c r="H44" s="15">
        <f t="shared" si="11"/>
        <v>0.0725</v>
      </c>
      <c r="I44" s="8">
        <f t="shared" si="12"/>
        <v>193.44322710975555</v>
      </c>
      <c r="J44" s="8">
        <f t="shared" si="13"/>
        <v>8284.670233645596</v>
      </c>
      <c r="K44" s="8"/>
      <c r="L44" s="8">
        <f t="shared" si="8"/>
        <v>40685.64085831531</v>
      </c>
    </row>
    <row r="45" spans="1:12" ht="15">
      <c r="A45" t="s">
        <v>12</v>
      </c>
      <c r="B45" s="13">
        <f t="shared" si="9"/>
        <v>17682.666666666668</v>
      </c>
      <c r="C45" s="7">
        <f>'App 32 - Mar02 to Feb04 Revenue'!W$47</f>
        <v>19086.691374134316</v>
      </c>
      <c r="D45" s="14"/>
      <c r="E45" s="14">
        <f t="shared" si="7"/>
        <v>-1404.024707467648</v>
      </c>
      <c r="F45" s="14">
        <f t="shared" si="10"/>
        <v>30996.94591720206</v>
      </c>
      <c r="G45" s="14"/>
      <c r="H45" s="17">
        <f t="shared" si="11"/>
        <v>0.0725</v>
      </c>
      <c r="I45" s="14">
        <f t="shared" si="12"/>
        <v>195.75586419071283</v>
      </c>
      <c r="J45" s="14">
        <f t="shared" si="13"/>
        <v>8480.426097836309</v>
      </c>
      <c r="K45" s="14"/>
      <c r="L45" s="14">
        <f t="shared" si="8"/>
        <v>39477.372015038374</v>
      </c>
    </row>
    <row r="46" spans="1:12" ht="15">
      <c r="A46" s="2" t="s">
        <v>13</v>
      </c>
      <c r="B46" s="8">
        <f>SUM(B34:B45)</f>
        <v>212191.99999999997</v>
      </c>
      <c r="C46" s="8">
        <f>SUM(C34:C45)</f>
        <v>200387.18695317185</v>
      </c>
      <c r="D46" s="8">
        <f>SUM(D34:D45)</f>
        <v>-43567</v>
      </c>
      <c r="E46" s="8">
        <f>SUM(E34:E45)</f>
        <v>-31762.186953171866</v>
      </c>
      <c r="F46" s="8"/>
      <c r="G46" s="8"/>
      <c r="I46" s="8">
        <f>SUM(I34:I45)</f>
        <v>3453.022798464811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63" t="str">
        <f>$D$5</f>
        <v>SIMPILS True-Up Adjustments    (neg = CR)</v>
      </c>
      <c r="E50" s="65" t="s">
        <v>14</v>
      </c>
      <c r="F50" s="65"/>
      <c r="G50" s="10"/>
      <c r="H50" s="65" t="s">
        <v>15</v>
      </c>
      <c r="I50" s="65"/>
      <c r="J50" s="65"/>
      <c r="K50" s="10"/>
      <c r="L50" s="63" t="s">
        <v>5</v>
      </c>
    </row>
    <row r="51" spans="2:12" ht="45">
      <c r="B51" s="11" t="s">
        <v>2</v>
      </c>
      <c r="C51" s="11" t="s">
        <v>3</v>
      </c>
      <c r="D51" s="63"/>
      <c r="E51" s="10" t="s">
        <v>4</v>
      </c>
      <c r="F51" s="10" t="s">
        <v>69</v>
      </c>
      <c r="G51" s="10"/>
      <c r="H51" s="16" t="s">
        <v>6</v>
      </c>
      <c r="I51" s="10" t="s">
        <v>4</v>
      </c>
      <c r="J51" s="10" t="s">
        <v>69</v>
      </c>
      <c r="K51" s="10"/>
      <c r="L51" s="63"/>
    </row>
    <row r="52" spans="1:12" ht="15">
      <c r="A52" t="s">
        <v>7</v>
      </c>
      <c r="B52" s="12">
        <f>'PILS Entitlement Summary'!H6</f>
        <v>17682.666666666668</v>
      </c>
      <c r="C52" s="6">
        <f>'App 32 - Mar02 to Feb04 Revenue'!X$47</f>
        <v>22014.349667465438</v>
      </c>
      <c r="D52" s="8"/>
      <c r="E52" s="8">
        <f aca="true" t="shared" si="14" ref="E52:E63">B52-C52+D52</f>
        <v>-4331.68300079877</v>
      </c>
      <c r="F52" s="8">
        <f>F45+E52</f>
        <v>26665.26291640329</v>
      </c>
      <c r="G52" s="8"/>
      <c r="H52" s="15">
        <f>H45</f>
        <v>0.0725</v>
      </c>
      <c r="I52" s="8">
        <f>H52*F45/12</f>
        <v>187.2732149164291</v>
      </c>
      <c r="J52" s="8">
        <f>J45+I52</f>
        <v>8667.699312752738</v>
      </c>
      <c r="K52" s="8"/>
      <c r="L52" s="8">
        <f aca="true" t="shared" si="15" ref="L52:L63">F52+J52</f>
        <v>35332.96222915603</v>
      </c>
    </row>
    <row r="53" spans="1:12" ht="15">
      <c r="A53" t="s">
        <v>8</v>
      </c>
      <c r="B53" s="12">
        <f>B52</f>
        <v>17682.666666666668</v>
      </c>
      <c r="C53" s="6">
        <f>'App 32 - Mar02 to Feb04 Revenue'!Y$47</f>
        <v>20290.935146145108</v>
      </c>
      <c r="D53" s="8"/>
      <c r="E53" s="8">
        <f t="shared" si="14"/>
        <v>-2608.26847947844</v>
      </c>
      <c r="F53" s="8">
        <f>F52+E53</f>
        <v>24056.99443692485</v>
      </c>
      <c r="G53" s="8"/>
      <c r="H53" s="15">
        <f>H52</f>
        <v>0.0725</v>
      </c>
      <c r="I53" s="8">
        <f>H53*F52/12</f>
        <v>161.10263011993655</v>
      </c>
      <c r="J53" s="8">
        <f>I53+J52</f>
        <v>8828.801942872675</v>
      </c>
      <c r="K53" s="8"/>
      <c r="L53" s="8">
        <f t="shared" si="15"/>
        <v>32885.796379797524</v>
      </c>
    </row>
    <row r="54" spans="1:14" ht="15">
      <c r="A54" t="s">
        <v>9</v>
      </c>
      <c r="B54" s="12">
        <f>B53</f>
        <v>17682.666666666668</v>
      </c>
      <c r="C54" s="6">
        <f>'App 33 - Mar04 to Feb05 Revenue'!B36+'App 32 - Mar02 to Feb04 Revenue'!Z47</f>
        <v>18508.995273196782</v>
      </c>
      <c r="D54" s="8"/>
      <c r="E54" s="8">
        <f t="shared" si="14"/>
        <v>-826.3286065301145</v>
      </c>
      <c r="F54" s="8">
        <f aca="true" t="shared" si="16" ref="F54:F63">F53+E54</f>
        <v>23230.665830394737</v>
      </c>
      <c r="G54" s="8"/>
      <c r="H54" s="15">
        <f aca="true" t="shared" si="17" ref="H54:H63">H53</f>
        <v>0.0725</v>
      </c>
      <c r="I54" s="8">
        <f>H54*F53/12</f>
        <v>145.3443413897543</v>
      </c>
      <c r="J54" s="8">
        <f>I54+J53</f>
        <v>8974.14628426243</v>
      </c>
      <c r="K54" s="8"/>
      <c r="L54" s="8">
        <f t="shared" si="15"/>
        <v>32204.812114657165</v>
      </c>
      <c r="N54" s="21"/>
    </row>
    <row r="55" spans="1:12" ht="15">
      <c r="A55" t="s">
        <v>16</v>
      </c>
      <c r="B55" s="6">
        <f>'PILS Entitlement Summary'!H7</f>
        <v>14542</v>
      </c>
      <c r="C55" s="6">
        <f>'App 33 - Mar04 to Feb05 Revenue'!C$36</f>
        <v>14607.378026992805</v>
      </c>
      <c r="D55" s="8"/>
      <c r="E55" s="8">
        <f t="shared" si="14"/>
        <v>-65.37802699280473</v>
      </c>
      <c r="F55" s="8">
        <f t="shared" si="16"/>
        <v>23165.28780340193</v>
      </c>
      <c r="G55" s="8"/>
      <c r="H55" s="15">
        <f t="shared" si="17"/>
        <v>0.0725</v>
      </c>
      <c r="I55" s="8">
        <f>H55*F54/12</f>
        <v>140.3519393919682</v>
      </c>
      <c r="J55" s="8">
        <f>I55+J54</f>
        <v>9114.498223654398</v>
      </c>
      <c r="K55" s="8"/>
      <c r="L55" s="8">
        <f t="shared" si="15"/>
        <v>32279.78602705633</v>
      </c>
    </row>
    <row r="56" spans="1:12" ht="15">
      <c r="A56" t="s">
        <v>17</v>
      </c>
      <c r="B56" s="20">
        <f>B55</f>
        <v>14542</v>
      </c>
      <c r="C56" s="6">
        <f>'App 33 - Mar04 to Feb05 Revenue'!D$36</f>
        <v>12497.899062599843</v>
      </c>
      <c r="D56" s="8"/>
      <c r="E56" s="8">
        <f t="shared" si="14"/>
        <v>2044.100937400157</v>
      </c>
      <c r="F56" s="8">
        <f t="shared" si="16"/>
        <v>25209.38874080209</v>
      </c>
      <c r="G56" s="8"/>
      <c r="H56" s="15">
        <f t="shared" si="17"/>
        <v>0.0725</v>
      </c>
      <c r="I56" s="8">
        <f aca="true" t="shared" si="18" ref="I56:I63">H56*F55/12</f>
        <v>139.95694714555333</v>
      </c>
      <c r="J56" s="8">
        <f aca="true" t="shared" si="19" ref="J56:J63">I56+J55</f>
        <v>9254.45517079995</v>
      </c>
      <c r="K56" s="8"/>
      <c r="L56" s="8">
        <f t="shared" si="15"/>
        <v>34463.84391160204</v>
      </c>
    </row>
    <row r="57" spans="1:12" ht="15">
      <c r="A57" t="s">
        <v>18</v>
      </c>
      <c r="B57" s="20">
        <f aca="true" t="shared" si="20" ref="B57:B63">B56</f>
        <v>14542</v>
      </c>
      <c r="C57" s="6">
        <f>'App 33 - Mar04 to Feb05 Revenue'!E$36</f>
        <v>10327.485771098376</v>
      </c>
      <c r="D57" s="8"/>
      <c r="E57" s="8">
        <f t="shared" si="14"/>
        <v>4214.514228901624</v>
      </c>
      <c r="F57" s="8">
        <f t="shared" si="16"/>
        <v>29423.90296970371</v>
      </c>
      <c r="G57" s="8"/>
      <c r="H57" s="15">
        <f t="shared" si="17"/>
        <v>0.0725</v>
      </c>
      <c r="I57" s="8">
        <f t="shared" si="18"/>
        <v>152.30672364234593</v>
      </c>
      <c r="J57" s="8">
        <f t="shared" si="19"/>
        <v>9406.761894442297</v>
      </c>
      <c r="K57" s="8"/>
      <c r="L57" s="8">
        <f t="shared" si="15"/>
        <v>38830.664864146005</v>
      </c>
    </row>
    <row r="58" spans="1:12" ht="15">
      <c r="A58" t="s">
        <v>19</v>
      </c>
      <c r="B58" s="20">
        <f t="shared" si="20"/>
        <v>14542</v>
      </c>
      <c r="C58" s="6">
        <f>'App 33 - Mar04 to Feb05 Revenue'!F$36</f>
        <v>10562.373068110988</v>
      </c>
      <c r="D58" s="6">
        <v>-52808</v>
      </c>
      <c r="E58" s="8">
        <f t="shared" si="14"/>
        <v>-48828.37306811099</v>
      </c>
      <c r="F58" s="8">
        <f t="shared" si="16"/>
        <v>-19404.470098407277</v>
      </c>
      <c r="G58" s="8"/>
      <c r="H58" s="15">
        <f t="shared" si="17"/>
        <v>0.0725</v>
      </c>
      <c r="I58" s="8">
        <f t="shared" si="18"/>
        <v>177.76941377529326</v>
      </c>
      <c r="J58" s="8">
        <f t="shared" si="19"/>
        <v>9584.53130821759</v>
      </c>
      <c r="K58" s="8"/>
      <c r="L58" s="8">
        <f t="shared" si="15"/>
        <v>-9819.938790189686</v>
      </c>
    </row>
    <row r="59" spans="1:12" ht="15">
      <c r="A59" t="s">
        <v>20</v>
      </c>
      <c r="B59" s="20">
        <f t="shared" si="20"/>
        <v>14542</v>
      </c>
      <c r="C59" s="6">
        <f>'App 33 - Mar04 to Feb05 Revenue'!G$36</f>
        <v>10396.89777641854</v>
      </c>
      <c r="D59" s="8"/>
      <c r="E59" s="8">
        <f t="shared" si="14"/>
        <v>4145.10222358146</v>
      </c>
      <c r="F59" s="8">
        <f t="shared" si="16"/>
        <v>-15259.367874825817</v>
      </c>
      <c r="G59" s="8"/>
      <c r="H59" s="15">
        <f t="shared" si="17"/>
        <v>0.0725</v>
      </c>
      <c r="I59" s="8">
        <f t="shared" si="18"/>
        <v>-117.23534017787729</v>
      </c>
      <c r="J59" s="8">
        <f t="shared" si="19"/>
        <v>9467.295968039714</v>
      </c>
      <c r="K59" s="8"/>
      <c r="L59" s="8">
        <f t="shared" si="15"/>
        <v>-5792.071906786103</v>
      </c>
    </row>
    <row r="60" spans="1:12" ht="15">
      <c r="A60" t="s">
        <v>21</v>
      </c>
      <c r="B60" s="20">
        <f t="shared" si="20"/>
        <v>14542</v>
      </c>
      <c r="C60" s="6">
        <f>'App 33 - Mar04 to Feb05 Revenue'!H$36</f>
        <v>10237.010962901513</v>
      </c>
      <c r="D60" s="8"/>
      <c r="E60" s="8">
        <f t="shared" si="14"/>
        <v>4304.989037098487</v>
      </c>
      <c r="F60" s="8">
        <f t="shared" si="16"/>
        <v>-10954.37883772733</v>
      </c>
      <c r="G60" s="8"/>
      <c r="H60" s="15">
        <f t="shared" si="17"/>
        <v>0.0725</v>
      </c>
      <c r="I60" s="8">
        <f t="shared" si="18"/>
        <v>-92.19201424373931</v>
      </c>
      <c r="J60" s="8">
        <f t="shared" si="19"/>
        <v>9375.103953795975</v>
      </c>
      <c r="K60" s="8"/>
      <c r="L60" s="8">
        <f t="shared" si="15"/>
        <v>-1579.2748839313554</v>
      </c>
    </row>
    <row r="61" spans="1:12" ht="15">
      <c r="A61" t="s">
        <v>10</v>
      </c>
      <c r="B61" s="20">
        <f t="shared" si="20"/>
        <v>14542</v>
      </c>
      <c r="C61" s="6">
        <f>'App 33 - Mar04 to Feb05 Revenue'!I$36</f>
        <v>12850.001537982836</v>
      </c>
      <c r="D61" s="8"/>
      <c r="E61" s="8">
        <f t="shared" si="14"/>
        <v>1691.9984620171635</v>
      </c>
      <c r="F61" s="8">
        <f t="shared" si="16"/>
        <v>-9262.380375710167</v>
      </c>
      <c r="G61" s="8"/>
      <c r="H61" s="15">
        <f t="shared" si="17"/>
        <v>0.0725</v>
      </c>
      <c r="I61" s="8">
        <f t="shared" si="18"/>
        <v>-66.18270547793595</v>
      </c>
      <c r="J61" s="8">
        <f t="shared" si="19"/>
        <v>9308.92124831804</v>
      </c>
      <c r="K61" s="8"/>
      <c r="L61" s="8">
        <f t="shared" si="15"/>
        <v>46.5408726078731</v>
      </c>
    </row>
    <row r="62" spans="1:12" ht="15">
      <c r="A62" t="s">
        <v>11</v>
      </c>
      <c r="B62" s="20">
        <f t="shared" si="20"/>
        <v>14542</v>
      </c>
      <c r="C62" s="6">
        <f>'App 33 - Mar04 to Feb05 Revenue'!J$36</f>
        <v>15436.49461382661</v>
      </c>
      <c r="D62" s="8"/>
      <c r="E62" s="8">
        <f t="shared" si="14"/>
        <v>-894.4946138266096</v>
      </c>
      <c r="F62" s="8">
        <f t="shared" si="16"/>
        <v>-10156.874989536776</v>
      </c>
      <c r="G62" s="8"/>
      <c r="H62" s="15">
        <f t="shared" si="17"/>
        <v>0.0725</v>
      </c>
      <c r="I62" s="8">
        <f t="shared" si="18"/>
        <v>-55.96021476991559</v>
      </c>
      <c r="J62" s="8">
        <f t="shared" si="19"/>
        <v>9252.961033548125</v>
      </c>
      <c r="K62" s="8"/>
      <c r="L62" s="8">
        <f t="shared" si="15"/>
        <v>-903.9139559886517</v>
      </c>
    </row>
    <row r="63" spans="1:12" ht="15">
      <c r="A63" t="s">
        <v>12</v>
      </c>
      <c r="B63" s="13">
        <f t="shared" si="20"/>
        <v>14542</v>
      </c>
      <c r="C63" s="7">
        <f>'App 33 - Mar04 to Feb05 Revenue'!K$36</f>
        <v>20993.2311796617</v>
      </c>
      <c r="D63" s="14"/>
      <c r="E63" s="14">
        <f t="shared" si="14"/>
        <v>-6451.2311796617</v>
      </c>
      <c r="F63" s="14">
        <f t="shared" si="16"/>
        <v>-16608.106169198476</v>
      </c>
      <c r="G63" s="14"/>
      <c r="H63" s="17">
        <f t="shared" si="17"/>
        <v>0.0725</v>
      </c>
      <c r="I63" s="14">
        <f t="shared" si="18"/>
        <v>-61.36445306178468</v>
      </c>
      <c r="J63" s="14">
        <f t="shared" si="19"/>
        <v>9191.59658048634</v>
      </c>
      <c r="K63" s="14"/>
      <c r="L63" s="14">
        <f t="shared" si="15"/>
        <v>-7416.509588712135</v>
      </c>
    </row>
    <row r="64" spans="1:12" ht="15">
      <c r="A64" s="2" t="s">
        <v>13</v>
      </c>
      <c r="B64" s="8">
        <f>SUM(B52:B63)</f>
        <v>183926</v>
      </c>
      <c r="C64" s="8">
        <f>SUM(C52:C63)</f>
        <v>178723.05208640057</v>
      </c>
      <c r="D64" s="8">
        <f>SUM(D52:D63)</f>
        <v>-52808</v>
      </c>
      <c r="E64" s="8">
        <f>SUM(E52:E63)</f>
        <v>-47605.05208640054</v>
      </c>
      <c r="F64" s="8"/>
      <c r="G64" s="8"/>
      <c r="I64" s="8">
        <f>SUM(I52:I63)</f>
        <v>711.1704826500276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63" t="str">
        <f>$D$5</f>
        <v>SIMPILS True-Up Adjustments    (neg = CR)</v>
      </c>
      <c r="E68" s="65" t="s">
        <v>14</v>
      </c>
      <c r="F68" s="65"/>
      <c r="G68" s="10"/>
      <c r="H68" s="65" t="s">
        <v>15</v>
      </c>
      <c r="I68" s="65"/>
      <c r="J68" s="65"/>
      <c r="K68" s="10"/>
      <c r="L68" s="63" t="s">
        <v>5</v>
      </c>
    </row>
    <row r="69" spans="2:12" ht="45">
      <c r="B69" s="11" t="s">
        <v>2</v>
      </c>
      <c r="C69" s="11" t="s">
        <v>3</v>
      </c>
      <c r="D69" s="63"/>
      <c r="E69" s="10" t="s">
        <v>4</v>
      </c>
      <c r="F69" s="10" t="s">
        <v>69</v>
      </c>
      <c r="G69" s="10"/>
      <c r="H69" s="16" t="s">
        <v>6</v>
      </c>
      <c r="I69" s="10" t="s">
        <v>4</v>
      </c>
      <c r="J69" s="10" t="s">
        <v>69</v>
      </c>
      <c r="K69" s="10"/>
      <c r="L69" s="63"/>
    </row>
    <row r="70" spans="1:12" ht="15">
      <c r="A70" t="s">
        <v>7</v>
      </c>
      <c r="B70" s="12">
        <f>B63</f>
        <v>14542</v>
      </c>
      <c r="C70" s="6">
        <f>'App 33 - Mar04 to Feb05 Revenue'!L$36</f>
        <v>22818.12508276827</v>
      </c>
      <c r="D70" s="8"/>
      <c r="E70" s="8">
        <f aca="true" t="shared" si="21" ref="E70:E81">B70-C70+D70</f>
        <v>-8276.12508276827</v>
      </c>
      <c r="F70" s="8">
        <f>F63+E70</f>
        <v>-24884.231251966747</v>
      </c>
      <c r="G70" s="8"/>
      <c r="H70" s="15">
        <f>H63</f>
        <v>0.0725</v>
      </c>
      <c r="I70" s="8">
        <f>H70*F63/12</f>
        <v>-100.34064143890744</v>
      </c>
      <c r="J70" s="8">
        <f>J63+I70</f>
        <v>9091.255939047433</v>
      </c>
      <c r="K70" s="8"/>
      <c r="L70" s="8">
        <f aca="true" t="shared" si="22" ref="L70:L81">F70+J70</f>
        <v>-15792.975312919314</v>
      </c>
    </row>
    <row r="71" spans="1:14" ht="15">
      <c r="A71" t="s">
        <v>8</v>
      </c>
      <c r="B71" s="12">
        <f>B63</f>
        <v>14542</v>
      </c>
      <c r="C71" s="6">
        <f>'App 33 - Mar04 to Feb05 Revenue'!M$36</f>
        <v>19596.405515106402</v>
      </c>
      <c r="D71" s="8"/>
      <c r="E71" s="8">
        <f t="shared" si="21"/>
        <v>-5054.405515106402</v>
      </c>
      <c r="F71" s="8">
        <f>F70+E71</f>
        <v>-29938.63676707315</v>
      </c>
      <c r="G71" s="8"/>
      <c r="H71" s="15">
        <f>H70</f>
        <v>0.0725</v>
      </c>
      <c r="I71" s="8">
        <f>H71*F70/12</f>
        <v>-150.34223048063242</v>
      </c>
      <c r="J71" s="8">
        <f>I71+J70</f>
        <v>8940.9137085668</v>
      </c>
      <c r="K71" s="8"/>
      <c r="L71" s="8">
        <f t="shared" si="22"/>
        <v>-20997.723058506348</v>
      </c>
      <c r="N71" s="21"/>
    </row>
    <row r="72" spans="1:12" ht="15">
      <c r="A72" t="s">
        <v>9</v>
      </c>
      <c r="B72" s="12">
        <f>B71</f>
        <v>14542</v>
      </c>
      <c r="C72" s="6">
        <f>'App 34 - Mar05 to Apr06 Revenue'!B36+'App 33 - Mar04 to Feb05 Revenue'!N36</f>
        <v>17354.38539706909</v>
      </c>
      <c r="D72" s="8"/>
      <c r="E72" s="8">
        <f t="shared" si="21"/>
        <v>-2812.3853970690907</v>
      </c>
      <c r="F72" s="8">
        <f aca="true" t="shared" si="23" ref="F72:F81">F71+E72</f>
        <v>-32751.02216414224</v>
      </c>
      <c r="G72" s="8"/>
      <c r="H72" s="15">
        <f aca="true" t="shared" si="24" ref="H72:H81">H71</f>
        <v>0.0725</v>
      </c>
      <c r="I72" s="8">
        <f>H72*F71/12</f>
        <v>-180.87926380106694</v>
      </c>
      <c r="J72" s="8">
        <f>I72+J71</f>
        <v>8760.034444765733</v>
      </c>
      <c r="K72" s="8"/>
      <c r="L72" s="8">
        <f t="shared" si="22"/>
        <v>-23990.987719376506</v>
      </c>
    </row>
    <row r="73" spans="1:12" ht="15">
      <c r="A73" t="s">
        <v>16</v>
      </c>
      <c r="B73" s="6">
        <f>'PILS Entitlement Summary'!H8</f>
        <v>13139</v>
      </c>
      <c r="C73" s="6">
        <f>'App 34 - Mar05 to Apr06 Revenue'!C$36</f>
        <v>11862.71763748702</v>
      </c>
      <c r="D73" s="8"/>
      <c r="E73" s="8">
        <f t="shared" si="21"/>
        <v>1276.2823625129804</v>
      </c>
      <c r="F73" s="8">
        <f t="shared" si="23"/>
        <v>-31474.739801629257</v>
      </c>
      <c r="G73" s="8"/>
      <c r="H73" s="15">
        <f t="shared" si="24"/>
        <v>0.0725</v>
      </c>
      <c r="I73" s="8">
        <f>H73*F72/12</f>
        <v>-197.87075890835933</v>
      </c>
      <c r="J73" s="8">
        <f>I73+J72</f>
        <v>8562.163685857375</v>
      </c>
      <c r="K73" s="8"/>
      <c r="L73" s="8">
        <f t="shared" si="22"/>
        <v>-22912.57611577188</v>
      </c>
    </row>
    <row r="74" spans="1:12" ht="15">
      <c r="A74" t="s">
        <v>17</v>
      </c>
      <c r="B74" s="12">
        <f>B73</f>
        <v>13139</v>
      </c>
      <c r="C74" s="6">
        <f>'App 34 - Mar05 to Apr06 Revenue'!D$36</f>
        <v>10668.96985258356</v>
      </c>
      <c r="D74" s="8"/>
      <c r="E74" s="8">
        <f t="shared" si="21"/>
        <v>2470.0301474164407</v>
      </c>
      <c r="F74" s="8">
        <f t="shared" si="23"/>
        <v>-29004.709654212817</v>
      </c>
      <c r="G74" s="8"/>
      <c r="H74" s="15">
        <f t="shared" si="24"/>
        <v>0.0725</v>
      </c>
      <c r="I74" s="8">
        <f aca="true" t="shared" si="25" ref="I74:I81">H74*F73/12</f>
        <v>-190.15988630151006</v>
      </c>
      <c r="J74" s="8">
        <f aca="true" t="shared" si="26" ref="J74:J81">I74+J73</f>
        <v>8372.003799555865</v>
      </c>
      <c r="K74" s="8"/>
      <c r="L74" s="8">
        <f t="shared" si="22"/>
        <v>-20632.705854656953</v>
      </c>
    </row>
    <row r="75" spans="1:12" ht="15">
      <c r="A75" t="s">
        <v>18</v>
      </c>
      <c r="B75" s="12">
        <f aca="true" t="shared" si="27" ref="B75:B81">B74</f>
        <v>13139</v>
      </c>
      <c r="C75" s="6">
        <f>'App 34 - Mar05 to Apr06 Revenue'!E$36</f>
        <v>9708.9152324829</v>
      </c>
      <c r="D75" s="8"/>
      <c r="E75" s="8">
        <f t="shared" si="21"/>
        <v>3430.0847675171008</v>
      </c>
      <c r="F75" s="8">
        <f t="shared" si="23"/>
        <v>-25574.624886695718</v>
      </c>
      <c r="G75" s="8"/>
      <c r="H75" s="15">
        <f t="shared" si="24"/>
        <v>0.0725</v>
      </c>
      <c r="I75" s="8">
        <f t="shared" si="25"/>
        <v>-175.23678749420242</v>
      </c>
      <c r="J75" s="8">
        <f t="shared" si="26"/>
        <v>8196.767012061662</v>
      </c>
      <c r="K75" s="8"/>
      <c r="L75" s="8">
        <f t="shared" si="22"/>
        <v>-17377.857874634057</v>
      </c>
    </row>
    <row r="76" spans="1:12" ht="15">
      <c r="A76" t="s">
        <v>19</v>
      </c>
      <c r="B76" s="12">
        <f t="shared" si="27"/>
        <v>13139</v>
      </c>
      <c r="C76" s="6">
        <f>'App 34 - Mar05 to Apr06 Revenue'!F$36</f>
        <v>10035.961160835033</v>
      </c>
      <c r="D76" s="6">
        <v>-56596</v>
      </c>
      <c r="E76" s="8">
        <f t="shared" si="21"/>
        <v>-53492.96116083503</v>
      </c>
      <c r="F76" s="8">
        <f t="shared" si="23"/>
        <v>-79067.58604753076</v>
      </c>
      <c r="G76" s="8"/>
      <c r="H76" s="15">
        <f t="shared" si="24"/>
        <v>0.0725</v>
      </c>
      <c r="I76" s="8">
        <f t="shared" si="25"/>
        <v>-154.5133586904533</v>
      </c>
      <c r="J76" s="8">
        <f t="shared" si="26"/>
        <v>8042.253653371209</v>
      </c>
      <c r="K76" s="8"/>
      <c r="L76" s="8">
        <f t="shared" si="22"/>
        <v>-71025.33239415954</v>
      </c>
    </row>
    <row r="77" spans="1:12" ht="14.25">
      <c r="A77" t="s">
        <v>20</v>
      </c>
      <c r="B77" s="12">
        <f t="shared" si="27"/>
        <v>13139</v>
      </c>
      <c r="C77" s="6">
        <f>'App 34 - Mar05 to Apr06 Revenue'!G$36</f>
        <v>9541.478450627288</v>
      </c>
      <c r="D77" s="8"/>
      <c r="E77" s="8">
        <f t="shared" si="21"/>
        <v>3597.521549372712</v>
      </c>
      <c r="F77" s="8">
        <f t="shared" si="23"/>
        <v>-75470.06449815804</v>
      </c>
      <c r="G77" s="8"/>
      <c r="H77" s="15">
        <f t="shared" si="24"/>
        <v>0.0725</v>
      </c>
      <c r="I77" s="8">
        <f t="shared" si="25"/>
        <v>-477.6999990371649</v>
      </c>
      <c r="J77" s="8">
        <f t="shared" si="26"/>
        <v>7564.553654334044</v>
      </c>
      <c r="K77" s="8"/>
      <c r="L77" s="8">
        <f t="shared" si="22"/>
        <v>-67905.510843824</v>
      </c>
    </row>
    <row r="78" spans="1:12" ht="14.25">
      <c r="A78" t="s">
        <v>21</v>
      </c>
      <c r="B78" s="12">
        <f t="shared" si="27"/>
        <v>13139</v>
      </c>
      <c r="C78" s="6">
        <f>'App 34 - Mar05 to Apr06 Revenue'!H$36</f>
        <v>9211.5503615567</v>
      </c>
      <c r="D78" s="8"/>
      <c r="E78" s="8">
        <f t="shared" si="21"/>
        <v>3927.4496384433005</v>
      </c>
      <c r="F78" s="8">
        <f t="shared" si="23"/>
        <v>-71542.61485971474</v>
      </c>
      <c r="G78" s="8"/>
      <c r="H78" s="15">
        <f t="shared" si="24"/>
        <v>0.0725</v>
      </c>
      <c r="I78" s="8">
        <f t="shared" si="25"/>
        <v>-455.9649730097048</v>
      </c>
      <c r="J78" s="8">
        <f t="shared" si="26"/>
        <v>7108.58868132434</v>
      </c>
      <c r="K78" s="8"/>
      <c r="L78" s="8">
        <f t="shared" si="22"/>
        <v>-64434.0261783904</v>
      </c>
    </row>
    <row r="79" spans="1:12" ht="14.25">
      <c r="A79" t="s">
        <v>10</v>
      </c>
      <c r="B79" s="12">
        <f t="shared" si="27"/>
        <v>13139</v>
      </c>
      <c r="C79" s="6">
        <f>'App 34 - Mar05 to Apr06 Revenue'!I$36</f>
        <v>10707.64041503315</v>
      </c>
      <c r="D79" s="8"/>
      <c r="E79" s="8">
        <f t="shared" si="21"/>
        <v>2431.359584966851</v>
      </c>
      <c r="F79" s="8">
        <f t="shared" si="23"/>
        <v>-69111.25527474789</v>
      </c>
      <c r="G79" s="8"/>
      <c r="H79" s="15">
        <f t="shared" si="24"/>
        <v>0.0725</v>
      </c>
      <c r="I79" s="8">
        <f t="shared" si="25"/>
        <v>-432.2366314441099</v>
      </c>
      <c r="J79" s="8">
        <f t="shared" si="26"/>
        <v>6676.35204988023</v>
      </c>
      <c r="K79" s="8"/>
      <c r="L79" s="8">
        <f t="shared" si="22"/>
        <v>-62434.90322486766</v>
      </c>
    </row>
    <row r="80" spans="1:12" ht="14.25">
      <c r="A80" t="s">
        <v>11</v>
      </c>
      <c r="B80" s="12">
        <f t="shared" si="27"/>
        <v>13139</v>
      </c>
      <c r="C80" s="6">
        <f>'App 34 - Mar05 to Apr06 Revenue'!J$36</f>
        <v>13346.113186590173</v>
      </c>
      <c r="D80" s="8"/>
      <c r="E80" s="8">
        <f t="shared" si="21"/>
        <v>-207.11318659017343</v>
      </c>
      <c r="F80" s="8">
        <f t="shared" si="23"/>
        <v>-69318.36846133806</v>
      </c>
      <c r="G80" s="8"/>
      <c r="H80" s="15">
        <f t="shared" si="24"/>
        <v>0.0725</v>
      </c>
      <c r="I80" s="8">
        <f t="shared" si="25"/>
        <v>-417.54716728493514</v>
      </c>
      <c r="J80" s="8">
        <f t="shared" si="26"/>
        <v>6258.804882595295</v>
      </c>
      <c r="K80" s="8"/>
      <c r="L80" s="8">
        <f t="shared" si="22"/>
        <v>-63059.56357874277</v>
      </c>
    </row>
    <row r="81" spans="1:12" ht="14.25">
      <c r="A81" t="s">
        <v>12</v>
      </c>
      <c r="B81" s="13">
        <f t="shared" si="27"/>
        <v>13139</v>
      </c>
      <c r="C81" s="7">
        <f>'App 34 - Mar05 to Apr06 Revenue'!K$36</f>
        <v>16625.532089770153</v>
      </c>
      <c r="D81" s="14"/>
      <c r="E81" s="14">
        <f t="shared" si="21"/>
        <v>-3486.532089770153</v>
      </c>
      <c r="F81" s="14">
        <f t="shared" si="23"/>
        <v>-72804.9005511082</v>
      </c>
      <c r="G81" s="14"/>
      <c r="H81" s="17">
        <f t="shared" si="24"/>
        <v>0.0725</v>
      </c>
      <c r="I81" s="14">
        <f t="shared" si="25"/>
        <v>-418.7984761205841</v>
      </c>
      <c r="J81" s="14">
        <f t="shared" si="26"/>
        <v>5840.00640647471</v>
      </c>
      <c r="K81" s="14"/>
      <c r="L81" s="14">
        <f t="shared" si="22"/>
        <v>-66964.8941446335</v>
      </c>
    </row>
    <row r="82" spans="1:12" ht="14.25">
      <c r="A82" s="2" t="s">
        <v>13</v>
      </c>
      <c r="B82" s="8">
        <f>SUM(B70:B81)</f>
        <v>161877</v>
      </c>
      <c r="C82" s="8">
        <f>SUM(C70:C81)</f>
        <v>161477.79438190974</v>
      </c>
      <c r="D82" s="8">
        <f>SUM(D70:D81)</f>
        <v>-56596</v>
      </c>
      <c r="E82" s="8">
        <f>SUM(E70:E81)</f>
        <v>-56196.794381909735</v>
      </c>
      <c r="F82" s="8"/>
      <c r="G82" s="8"/>
      <c r="I82" s="8">
        <f>SUM(I70:I81)</f>
        <v>-3351.59017401163</v>
      </c>
      <c r="J82" s="8"/>
      <c r="K82" s="8"/>
      <c r="L82" s="8"/>
    </row>
    <row r="83" spans="2:12" ht="14.2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4.2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4.25">
      <c r="B86" s="10"/>
      <c r="C86" s="10"/>
      <c r="D86" s="63" t="str">
        <f>$D$5</f>
        <v>SIMPILS True-Up Adjustments    (neg = CR)</v>
      </c>
      <c r="E86" s="65" t="s">
        <v>14</v>
      </c>
      <c r="F86" s="65"/>
      <c r="G86" s="10"/>
      <c r="H86" s="65" t="s">
        <v>15</v>
      </c>
      <c r="I86" s="65"/>
      <c r="J86" s="65"/>
      <c r="K86" s="10"/>
      <c r="L86" s="63" t="s">
        <v>5</v>
      </c>
    </row>
    <row r="87" spans="2:12" ht="28.5">
      <c r="B87" s="11" t="s">
        <v>2</v>
      </c>
      <c r="C87" s="11" t="s">
        <v>3</v>
      </c>
      <c r="D87" s="63"/>
      <c r="E87" s="10" t="s">
        <v>4</v>
      </c>
      <c r="F87" s="10" t="s">
        <v>69</v>
      </c>
      <c r="G87" s="10"/>
      <c r="H87" s="16" t="s">
        <v>6</v>
      </c>
      <c r="I87" s="10" t="s">
        <v>4</v>
      </c>
      <c r="J87" s="10" t="s">
        <v>69</v>
      </c>
      <c r="K87" s="10"/>
      <c r="L87" s="63"/>
    </row>
    <row r="88" spans="1:12" ht="14.25">
      <c r="A88" t="s">
        <v>7</v>
      </c>
      <c r="B88" s="12">
        <f>B81</f>
        <v>13139</v>
      </c>
      <c r="C88" s="6">
        <f>'App 34 - Mar05 to Apr06 Revenue'!L$36</f>
        <v>16825.89660371534</v>
      </c>
      <c r="D88" s="8"/>
      <c r="E88" s="8">
        <f aca="true" t="shared" si="28" ref="E88:E99">B88-C88+D88</f>
        <v>-3686.8966037153405</v>
      </c>
      <c r="F88" s="8">
        <f>F81+E88</f>
        <v>-76491.79715482355</v>
      </c>
      <c r="G88" s="8"/>
      <c r="H88" s="15">
        <f>H81</f>
        <v>0.0725</v>
      </c>
      <c r="I88" s="8">
        <f>H88*F81/12</f>
        <v>-439.862940829612</v>
      </c>
      <c r="J88" s="8">
        <f>J81+I88</f>
        <v>5400.143465645098</v>
      </c>
      <c r="K88" s="8"/>
      <c r="L88" s="8">
        <f aca="true" t="shared" si="29" ref="L88:L99">F88+J88</f>
        <v>-71091.65368917845</v>
      </c>
    </row>
    <row r="89" spans="1:12" ht="14.25">
      <c r="A89" t="s">
        <v>8</v>
      </c>
      <c r="B89" s="12">
        <f>B88</f>
        <v>13139</v>
      </c>
      <c r="C89" s="6">
        <f>'App 34 - Mar05 to Apr06 Revenue'!M$36</f>
        <v>15698.368638136593</v>
      </c>
      <c r="D89" s="8"/>
      <c r="E89" s="8">
        <f t="shared" si="28"/>
        <v>-2559.3686381365933</v>
      </c>
      <c r="F89" s="8">
        <f>F88+E89</f>
        <v>-79051.16579296015</v>
      </c>
      <c r="G89" s="8"/>
      <c r="H89" s="15">
        <f>H88</f>
        <v>0.0725</v>
      </c>
      <c r="I89" s="8">
        <f>H89*F88/12</f>
        <v>-462.1379411437256</v>
      </c>
      <c r="J89" s="8">
        <f>I89+J88</f>
        <v>4938.005524501373</v>
      </c>
      <c r="K89" s="8"/>
      <c r="L89" s="8">
        <f t="shared" si="29"/>
        <v>-74113.16026845877</v>
      </c>
    </row>
    <row r="90" spans="1:12" ht="14.25">
      <c r="A90" t="s">
        <v>9</v>
      </c>
      <c r="B90" s="12">
        <f>B89</f>
        <v>13139</v>
      </c>
      <c r="C90" s="6">
        <f>'App 34 - Mar05 to Apr06 Revenue'!N$36</f>
        <v>15540.414784331</v>
      </c>
      <c r="D90" s="8"/>
      <c r="E90" s="8">
        <f t="shared" si="28"/>
        <v>-2401.414784331</v>
      </c>
      <c r="F90" s="8">
        <f aca="true" t="shared" si="30" ref="F90:F99">F89+E90</f>
        <v>-81452.58057729116</v>
      </c>
      <c r="G90" s="8"/>
      <c r="H90" s="15">
        <f aca="true" t="shared" si="31" ref="H90:H99">H89</f>
        <v>0.0725</v>
      </c>
      <c r="I90" s="8">
        <f>H90*F89/12</f>
        <v>-477.6007933324675</v>
      </c>
      <c r="J90" s="8">
        <f>I90+J89</f>
        <v>4460.4047311689055</v>
      </c>
      <c r="K90" s="8"/>
      <c r="L90" s="8">
        <f t="shared" si="29"/>
        <v>-76992.17584612225</v>
      </c>
    </row>
    <row r="91" spans="1:12" ht="14.25">
      <c r="A91" t="s">
        <v>16</v>
      </c>
      <c r="B91" s="12">
        <f>B90</f>
        <v>13139</v>
      </c>
      <c r="C91" s="6">
        <f>'App 34 - Mar05 to Apr06 Revenue'!O$36</f>
        <v>11689.59965114523</v>
      </c>
      <c r="D91" s="8"/>
      <c r="E91" s="8">
        <f t="shared" si="28"/>
        <v>1449.4003488547696</v>
      </c>
      <c r="F91" s="8">
        <f t="shared" si="30"/>
        <v>-80003.18022843638</v>
      </c>
      <c r="G91" s="8"/>
      <c r="H91" s="18">
        <f>H90</f>
        <v>0.0725</v>
      </c>
      <c r="I91" s="8">
        <f>H91*F90/12</f>
        <v>-492.10934098780075</v>
      </c>
      <c r="J91" s="8">
        <f>I91+J90</f>
        <v>3968.2953901811047</v>
      </c>
      <c r="K91" s="8"/>
      <c r="L91" s="8">
        <f t="shared" si="29"/>
        <v>-76034.88483825528</v>
      </c>
    </row>
    <row r="92" spans="1:12" ht="14.25">
      <c r="A92" t="s">
        <v>17</v>
      </c>
      <c r="B92" s="12"/>
      <c r="C92" s="6">
        <f>'App 34 - Mar05 to Apr06 Revenue'!P$36</f>
        <v>5128.361233206911</v>
      </c>
      <c r="D92" s="8"/>
      <c r="E92" s="8">
        <f t="shared" si="28"/>
        <v>-5128.361233206911</v>
      </c>
      <c r="F92" s="8">
        <f t="shared" si="30"/>
        <v>-85131.5414616433</v>
      </c>
      <c r="G92" s="8"/>
      <c r="H92" s="4">
        <v>0.0414</v>
      </c>
      <c r="I92" s="8">
        <f aca="true" t="shared" si="32" ref="I92:I99">H92*F91/12</f>
        <v>-276.0109717881055</v>
      </c>
      <c r="J92" s="8">
        <f aca="true" t="shared" si="33" ref="J92:J99">I92+J91</f>
        <v>3692.284418392999</v>
      </c>
      <c r="K92" s="8"/>
      <c r="L92" s="8">
        <f t="shared" si="29"/>
        <v>-81439.2570432503</v>
      </c>
    </row>
    <row r="93" spans="1:12" ht="14.2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-85131.5414616433</v>
      </c>
      <c r="G93" s="8"/>
      <c r="H93" s="15">
        <f t="shared" si="31"/>
        <v>0.0414</v>
      </c>
      <c r="I93" s="8">
        <f t="shared" si="32"/>
        <v>-293.70381804266935</v>
      </c>
      <c r="J93" s="8">
        <f t="shared" si="33"/>
        <v>3398.58060035033</v>
      </c>
      <c r="K93" s="8"/>
      <c r="L93" s="8">
        <f t="shared" si="29"/>
        <v>-81732.96086129297</v>
      </c>
    </row>
    <row r="94" spans="1:12" ht="14.25">
      <c r="A94" t="s">
        <v>19</v>
      </c>
      <c r="B94" s="12"/>
      <c r="C94" s="12"/>
      <c r="D94" s="6">
        <v>-30744</v>
      </c>
      <c r="E94" s="8">
        <f t="shared" si="28"/>
        <v>-30744</v>
      </c>
      <c r="F94" s="8">
        <f t="shared" si="30"/>
        <v>-115875.5414616433</v>
      </c>
      <c r="G94" s="8"/>
      <c r="H94" s="4">
        <v>0.0459</v>
      </c>
      <c r="I94" s="8">
        <f t="shared" si="32"/>
        <v>-325.6281460907856</v>
      </c>
      <c r="J94" s="8">
        <f t="shared" si="33"/>
        <v>3072.952454259544</v>
      </c>
      <c r="K94" s="8"/>
      <c r="L94" s="8">
        <f t="shared" si="29"/>
        <v>-112802.58900738375</v>
      </c>
    </row>
    <row r="95" spans="1:12" ht="14.2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-115875.5414616433</v>
      </c>
      <c r="G95" s="8"/>
      <c r="H95" s="15">
        <f t="shared" si="31"/>
        <v>0.0459</v>
      </c>
      <c r="I95" s="8">
        <f t="shared" si="32"/>
        <v>-443.22394609078566</v>
      </c>
      <c r="J95" s="8">
        <f t="shared" si="33"/>
        <v>2629.7285081687583</v>
      </c>
      <c r="K95" s="8"/>
      <c r="L95" s="8">
        <f t="shared" si="29"/>
        <v>-113245.81295347454</v>
      </c>
    </row>
    <row r="96" spans="1:12" ht="14.2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-115875.5414616433</v>
      </c>
      <c r="G96" s="8"/>
      <c r="H96" s="15">
        <f t="shared" si="31"/>
        <v>0.0459</v>
      </c>
      <c r="I96" s="8">
        <f t="shared" si="32"/>
        <v>-443.22394609078566</v>
      </c>
      <c r="J96" s="8">
        <f t="shared" si="33"/>
        <v>2186.5045620779724</v>
      </c>
      <c r="K96" s="8"/>
      <c r="L96" s="8">
        <f t="shared" si="29"/>
        <v>-113689.03689956533</v>
      </c>
    </row>
    <row r="97" spans="1:12" ht="14.2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-115875.5414616433</v>
      </c>
      <c r="G97" s="8"/>
      <c r="H97" s="18">
        <f t="shared" si="31"/>
        <v>0.0459</v>
      </c>
      <c r="I97" s="8">
        <f t="shared" si="32"/>
        <v>-443.22394609078566</v>
      </c>
      <c r="J97" s="8">
        <f t="shared" si="33"/>
        <v>1743.2806159871868</v>
      </c>
      <c r="K97" s="8"/>
      <c r="L97" s="8">
        <f t="shared" si="29"/>
        <v>-114132.26084565611</v>
      </c>
    </row>
    <row r="98" spans="1:12" ht="14.2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-115875.5414616433</v>
      </c>
      <c r="G98" s="8"/>
      <c r="H98" s="15">
        <f t="shared" si="31"/>
        <v>0.0459</v>
      </c>
      <c r="I98" s="8">
        <f t="shared" si="32"/>
        <v>-443.22394609078566</v>
      </c>
      <c r="J98" s="8">
        <f t="shared" si="33"/>
        <v>1300.0566698964012</v>
      </c>
      <c r="K98" s="8"/>
      <c r="L98" s="8">
        <f t="shared" si="29"/>
        <v>-114575.4847917469</v>
      </c>
    </row>
    <row r="99" spans="1:12" ht="14.2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-115875.5414616433</v>
      </c>
      <c r="G99" s="14"/>
      <c r="H99" s="17">
        <f t="shared" si="31"/>
        <v>0.0459</v>
      </c>
      <c r="I99" s="14">
        <f t="shared" si="32"/>
        <v>-443.22394609078566</v>
      </c>
      <c r="J99" s="14">
        <f t="shared" si="33"/>
        <v>856.8327238056156</v>
      </c>
      <c r="K99" s="14"/>
      <c r="L99" s="14">
        <f t="shared" si="29"/>
        <v>-115018.70873783767</v>
      </c>
    </row>
    <row r="100" spans="1:14" ht="14.25">
      <c r="A100" s="2" t="s">
        <v>13</v>
      </c>
      <c r="B100" s="8">
        <f>SUM(B88:B99)</f>
        <v>52556</v>
      </c>
      <c r="C100" s="8">
        <f>SUM(C88:C99)</f>
        <v>64882.640910535076</v>
      </c>
      <c r="D100" s="8">
        <f>SUM(D88:D99)</f>
        <v>-30744</v>
      </c>
      <c r="E100" s="8">
        <f>SUM(E88:E99)</f>
        <v>-43070.640910535076</v>
      </c>
      <c r="F100" s="8"/>
      <c r="G100" s="8"/>
      <c r="I100" s="8">
        <f>SUM(I88:I99)</f>
        <v>-4983.173682669095</v>
      </c>
      <c r="J100" s="8"/>
      <c r="K100" s="8"/>
      <c r="L100" s="8"/>
      <c r="N100" s="21"/>
    </row>
    <row r="101" spans="1:12" ht="30" customHeight="1">
      <c r="A101" s="37" t="s">
        <v>111</v>
      </c>
      <c r="B101" s="8"/>
      <c r="C101" s="8"/>
      <c r="D101" s="8"/>
      <c r="E101" s="8"/>
      <c r="F101" s="8"/>
      <c r="G101" s="8"/>
      <c r="I101" s="8"/>
      <c r="J101" s="8"/>
      <c r="K101" s="8"/>
      <c r="L101" s="8"/>
    </row>
    <row r="102" spans="2:12" ht="14.2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4.25">
      <c r="B104" s="10"/>
      <c r="C104" s="10"/>
      <c r="D104" s="63" t="str">
        <f>$D$5</f>
        <v>SIMPILS True-Up Adjustments    (neg = CR)</v>
      </c>
      <c r="E104" s="65" t="s">
        <v>14</v>
      </c>
      <c r="F104" s="65"/>
      <c r="G104" s="10"/>
      <c r="H104" s="65" t="s">
        <v>15</v>
      </c>
      <c r="I104" s="65"/>
      <c r="J104" s="65"/>
      <c r="K104" s="10"/>
      <c r="L104" s="63" t="s">
        <v>5</v>
      </c>
    </row>
    <row r="105" spans="2:12" ht="28.5">
      <c r="B105" s="11" t="s">
        <v>2</v>
      </c>
      <c r="C105" s="11" t="s">
        <v>3</v>
      </c>
      <c r="D105" s="63"/>
      <c r="E105" s="10" t="s">
        <v>4</v>
      </c>
      <c r="F105" s="10" t="s">
        <v>69</v>
      </c>
      <c r="G105" s="10"/>
      <c r="H105" s="16" t="s">
        <v>6</v>
      </c>
      <c r="I105" s="10" t="s">
        <v>4</v>
      </c>
      <c r="J105" s="10" t="s">
        <v>69</v>
      </c>
      <c r="K105" s="10"/>
      <c r="L105" s="63"/>
    </row>
    <row r="106" spans="1:12" ht="14.2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-115875.5414616433</v>
      </c>
      <c r="G106" s="8"/>
      <c r="H106" s="15">
        <f>H99</f>
        <v>0.0459</v>
      </c>
      <c r="I106" s="8">
        <f>H106*F99/12</f>
        <v>-443.22394609078566</v>
      </c>
      <c r="J106" s="8">
        <f>J99+I106</f>
        <v>413.60877771482996</v>
      </c>
      <c r="K106" s="8"/>
      <c r="L106" s="8">
        <f aca="true" t="shared" si="35" ref="L106:L117">F106+J106</f>
        <v>-115461.93268392846</v>
      </c>
    </row>
    <row r="107" spans="1:12" ht="14.2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-115875.5414616433</v>
      </c>
      <c r="G107" s="8"/>
      <c r="H107" s="15">
        <f>H106</f>
        <v>0.0459</v>
      </c>
      <c r="I107" s="8">
        <f>H107*F106/12</f>
        <v>-443.22394609078566</v>
      </c>
      <c r="J107" s="8">
        <f>I107+J106</f>
        <v>-29.615168375955705</v>
      </c>
      <c r="K107" s="8"/>
      <c r="L107" s="8">
        <f t="shared" si="35"/>
        <v>-115905.15663001925</v>
      </c>
    </row>
    <row r="108" spans="1:12" ht="14.2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-115875.5414616433</v>
      </c>
      <c r="G108" s="8"/>
      <c r="H108" s="15">
        <f aca="true" t="shared" si="37" ref="H108:H117">H107</f>
        <v>0.0459</v>
      </c>
      <c r="I108" s="8">
        <f>H108*F107/12</f>
        <v>-443.22394609078566</v>
      </c>
      <c r="J108" s="8">
        <f>I108+J107</f>
        <v>-472.83911446674136</v>
      </c>
      <c r="K108" s="8"/>
      <c r="L108" s="8">
        <f t="shared" si="35"/>
        <v>-116348.38057611004</v>
      </c>
    </row>
    <row r="109" spans="1:12" ht="14.2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-115875.5414616433</v>
      </c>
      <c r="G109" s="8"/>
      <c r="H109" s="15">
        <f t="shared" si="37"/>
        <v>0.0459</v>
      </c>
      <c r="I109" s="8">
        <f>H109*F108/12</f>
        <v>-443.22394609078566</v>
      </c>
      <c r="J109" s="8">
        <f>I109+J108</f>
        <v>-916.063060557527</v>
      </c>
      <c r="K109" s="8"/>
      <c r="L109" s="8">
        <f t="shared" si="35"/>
        <v>-116791.60452220083</v>
      </c>
    </row>
    <row r="110" spans="1:12" ht="14.2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-115875.5414616433</v>
      </c>
      <c r="G110" s="8"/>
      <c r="H110" s="15">
        <f t="shared" si="37"/>
        <v>0.0459</v>
      </c>
      <c r="I110" s="8">
        <f aca="true" t="shared" si="38" ref="I110:I117">H110*F109/12</f>
        <v>-443.22394609078566</v>
      </c>
      <c r="J110" s="8">
        <f aca="true" t="shared" si="39" ref="J110:J117">I110+J109</f>
        <v>-1359.2870066483126</v>
      </c>
      <c r="K110" s="8"/>
      <c r="L110" s="8">
        <f t="shared" si="35"/>
        <v>-117234.82846829161</v>
      </c>
    </row>
    <row r="111" spans="1:12" ht="14.2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-115875.5414616433</v>
      </c>
      <c r="G111" s="8"/>
      <c r="H111" s="15">
        <f t="shared" si="37"/>
        <v>0.0459</v>
      </c>
      <c r="I111" s="8">
        <f t="shared" si="38"/>
        <v>-443.22394609078566</v>
      </c>
      <c r="J111" s="8">
        <f t="shared" si="39"/>
        <v>-1802.5109527390982</v>
      </c>
      <c r="K111" s="8"/>
      <c r="L111" s="8">
        <f t="shared" si="35"/>
        <v>-117678.0524143824</v>
      </c>
    </row>
    <row r="112" spans="1:12" ht="14.2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-115875.5414616433</v>
      </c>
      <c r="G112" s="8"/>
      <c r="H112" s="15">
        <f t="shared" si="37"/>
        <v>0.0459</v>
      </c>
      <c r="I112" s="8">
        <f t="shared" si="38"/>
        <v>-443.22394609078566</v>
      </c>
      <c r="J112" s="8">
        <f t="shared" si="39"/>
        <v>-2245.734898829884</v>
      </c>
      <c r="K112" s="8"/>
      <c r="L112" s="8">
        <f t="shared" si="35"/>
        <v>-118121.27636047319</v>
      </c>
    </row>
    <row r="113" spans="1:12" ht="14.2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-115875.5414616433</v>
      </c>
      <c r="G113" s="8"/>
      <c r="H113" s="15">
        <f t="shared" si="37"/>
        <v>0.0459</v>
      </c>
      <c r="I113" s="8">
        <f t="shared" si="38"/>
        <v>-443.22394609078566</v>
      </c>
      <c r="J113" s="8">
        <f t="shared" si="39"/>
        <v>-2688.95884492067</v>
      </c>
      <c r="K113" s="8"/>
      <c r="L113" s="8">
        <f t="shared" si="35"/>
        <v>-118564.50030656396</v>
      </c>
    </row>
    <row r="114" spans="1:12" ht="14.2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-115875.5414616433</v>
      </c>
      <c r="G114" s="8"/>
      <c r="H114" s="15">
        <f t="shared" si="37"/>
        <v>0.0459</v>
      </c>
      <c r="I114" s="8">
        <f t="shared" si="38"/>
        <v>-443.22394609078566</v>
      </c>
      <c r="J114" s="8">
        <f t="shared" si="39"/>
        <v>-3132.1827910114557</v>
      </c>
      <c r="K114" s="8"/>
      <c r="L114" s="8">
        <f t="shared" si="35"/>
        <v>-119007.72425265475</v>
      </c>
    </row>
    <row r="115" spans="1:12" ht="14.2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-115875.5414616433</v>
      </c>
      <c r="G115" s="8"/>
      <c r="H115" s="4">
        <v>0.0514</v>
      </c>
      <c r="I115" s="8">
        <f t="shared" si="38"/>
        <v>-496.3335692607055</v>
      </c>
      <c r="J115" s="8">
        <f t="shared" si="39"/>
        <v>-3628.5163602721614</v>
      </c>
      <c r="K115" s="8"/>
      <c r="L115" s="8">
        <f t="shared" si="35"/>
        <v>-119504.05782191546</v>
      </c>
    </row>
    <row r="116" spans="1:12" ht="14.2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-115875.5414616433</v>
      </c>
      <c r="G116" s="8"/>
      <c r="H116" s="15">
        <f t="shared" si="37"/>
        <v>0.0514</v>
      </c>
      <c r="I116" s="8">
        <f t="shared" si="38"/>
        <v>-496.3335692607055</v>
      </c>
      <c r="J116" s="8">
        <f t="shared" si="39"/>
        <v>-4124.849929532867</v>
      </c>
      <c r="K116" s="8"/>
      <c r="L116" s="8">
        <f t="shared" si="35"/>
        <v>-120000.39139117616</v>
      </c>
    </row>
    <row r="117" spans="1:12" ht="14.2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-115875.5414616433</v>
      </c>
      <c r="G117" s="14"/>
      <c r="H117" s="17">
        <f t="shared" si="37"/>
        <v>0.0514</v>
      </c>
      <c r="I117" s="14">
        <f t="shared" si="38"/>
        <v>-496.3335692607055</v>
      </c>
      <c r="J117" s="14">
        <f t="shared" si="39"/>
        <v>-4621.183498793572</v>
      </c>
      <c r="K117" s="14"/>
      <c r="L117" s="14">
        <f t="shared" si="35"/>
        <v>-120496.72496043687</v>
      </c>
    </row>
    <row r="118" spans="1:12" ht="14.2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-5478.016222599187</v>
      </c>
      <c r="J118" s="8"/>
      <c r="K118" s="8"/>
      <c r="L118" s="8"/>
    </row>
    <row r="119" spans="2:12" ht="14.2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4.2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4.25">
      <c r="B122" s="10"/>
      <c r="C122" s="10"/>
      <c r="D122" s="63" t="str">
        <f>$D$5</f>
        <v>SIMPILS True-Up Adjustments    (neg = CR)</v>
      </c>
      <c r="E122" s="65" t="s">
        <v>14</v>
      </c>
      <c r="F122" s="65"/>
      <c r="G122" s="10"/>
      <c r="H122" s="65" t="s">
        <v>15</v>
      </c>
      <c r="I122" s="65"/>
      <c r="J122" s="65"/>
      <c r="K122" s="10"/>
      <c r="L122" s="63" t="s">
        <v>5</v>
      </c>
    </row>
    <row r="123" spans="2:12" ht="28.5">
      <c r="B123" s="11" t="s">
        <v>2</v>
      </c>
      <c r="C123" s="11" t="s">
        <v>3</v>
      </c>
      <c r="D123" s="63"/>
      <c r="E123" s="10" t="s">
        <v>4</v>
      </c>
      <c r="F123" s="10" t="s">
        <v>69</v>
      </c>
      <c r="G123" s="10"/>
      <c r="H123" s="16" t="s">
        <v>6</v>
      </c>
      <c r="I123" s="10" t="s">
        <v>4</v>
      </c>
      <c r="J123" s="10" t="s">
        <v>69</v>
      </c>
      <c r="K123" s="10"/>
      <c r="L123" s="63"/>
    </row>
    <row r="124" spans="1:12" ht="14.2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-115875.5414616433</v>
      </c>
      <c r="G124" s="8"/>
      <c r="H124" s="15">
        <f>H117</f>
        <v>0.0514</v>
      </c>
      <c r="I124" s="8">
        <f>H124*F117/12</f>
        <v>-496.3335692607055</v>
      </c>
      <c r="J124" s="8">
        <f>J117+I124</f>
        <v>-5117.517068054277</v>
      </c>
      <c r="K124" s="8"/>
      <c r="L124" s="8">
        <f aca="true" t="shared" si="41" ref="L124:L135">F124+J124</f>
        <v>-120993.05852969758</v>
      </c>
    </row>
    <row r="125" spans="1:12" ht="14.2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-115875.5414616433</v>
      </c>
      <c r="G125" s="8"/>
      <c r="H125" s="15">
        <f>H124</f>
        <v>0.0514</v>
      </c>
      <c r="I125" s="8">
        <f>H125*F124/12</f>
        <v>-496.3335692607055</v>
      </c>
      <c r="J125" s="8">
        <f>I125+J124</f>
        <v>-5613.850637314982</v>
      </c>
      <c r="K125" s="8"/>
      <c r="L125" s="8">
        <f t="shared" si="41"/>
        <v>-121489.39209895828</v>
      </c>
    </row>
    <row r="126" spans="1:12" ht="14.2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-115875.5414616433</v>
      </c>
      <c r="G126" s="8"/>
      <c r="H126" s="15">
        <f aca="true" t="shared" si="43" ref="H126:H135">H125</f>
        <v>0.0514</v>
      </c>
      <c r="I126" s="8">
        <f>H126*F125/12</f>
        <v>-496.3335692607055</v>
      </c>
      <c r="J126" s="8">
        <f>I126+J125</f>
        <v>-6110.184206575687</v>
      </c>
      <c r="K126" s="8"/>
      <c r="L126" s="8">
        <f t="shared" si="41"/>
        <v>-121985.72566821899</v>
      </c>
    </row>
    <row r="127" spans="1:12" ht="14.2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-115875.5414616433</v>
      </c>
      <c r="G127" s="8"/>
      <c r="H127" s="4">
        <v>0.0408</v>
      </c>
      <c r="I127" s="8">
        <f>H127*F126/12</f>
        <v>-393.9768409695873</v>
      </c>
      <c r="J127" s="8">
        <f>I127+J126</f>
        <v>-6504.161047545274</v>
      </c>
      <c r="K127" s="8"/>
      <c r="L127" s="8">
        <f t="shared" si="41"/>
        <v>-122379.70250918857</v>
      </c>
    </row>
    <row r="128" spans="1:12" ht="14.2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-115875.5414616433</v>
      </c>
      <c r="G128" s="8"/>
      <c r="H128" s="15">
        <f t="shared" si="43"/>
        <v>0.0408</v>
      </c>
      <c r="I128" s="8">
        <f aca="true" t="shared" si="44" ref="I128:I135">H128*F127/12</f>
        <v>-393.9768409695873</v>
      </c>
      <c r="J128" s="8">
        <f aca="true" t="shared" si="45" ref="J128:J135">I128+J127</f>
        <v>-6898.1378885148615</v>
      </c>
      <c r="K128" s="8"/>
      <c r="L128" s="8">
        <f t="shared" si="41"/>
        <v>-122773.67935015816</v>
      </c>
    </row>
    <row r="129" spans="1:12" ht="14.2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-115875.5414616433</v>
      </c>
      <c r="G129" s="8"/>
      <c r="H129" s="15">
        <f t="shared" si="43"/>
        <v>0.0408</v>
      </c>
      <c r="I129" s="8">
        <f t="shared" si="44"/>
        <v>-393.9768409695873</v>
      </c>
      <c r="J129" s="8">
        <f t="shared" si="45"/>
        <v>-7292.114729484449</v>
      </c>
      <c r="K129" s="8"/>
      <c r="L129" s="8">
        <f t="shared" si="41"/>
        <v>-123167.65619112775</v>
      </c>
    </row>
    <row r="130" spans="1:12" ht="14.2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-115875.5414616433</v>
      </c>
      <c r="G130" s="8"/>
      <c r="H130" s="4">
        <v>0.0335</v>
      </c>
      <c r="I130" s="8">
        <f t="shared" si="44"/>
        <v>-323.48588658042087</v>
      </c>
      <c r="J130" s="8">
        <f t="shared" si="45"/>
        <v>-7615.600616064869</v>
      </c>
      <c r="K130" s="8"/>
      <c r="L130" s="8">
        <f t="shared" si="41"/>
        <v>-123491.14207770817</v>
      </c>
    </row>
    <row r="131" spans="1:12" ht="14.2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-115875.5414616433</v>
      </c>
      <c r="G131" s="8"/>
      <c r="H131" s="15">
        <f t="shared" si="43"/>
        <v>0.0335</v>
      </c>
      <c r="I131" s="8">
        <f t="shared" si="44"/>
        <v>-323.48588658042087</v>
      </c>
      <c r="J131" s="8">
        <f t="shared" si="45"/>
        <v>-7939.08650264529</v>
      </c>
      <c r="K131" s="8"/>
      <c r="L131" s="8">
        <f t="shared" si="41"/>
        <v>-123814.6279642886</v>
      </c>
    </row>
    <row r="132" spans="1:12" ht="14.2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-115875.5414616433</v>
      </c>
      <c r="G132" s="8"/>
      <c r="H132" s="15">
        <f t="shared" si="43"/>
        <v>0.0335</v>
      </c>
      <c r="I132" s="8">
        <f t="shared" si="44"/>
        <v>-323.48588658042087</v>
      </c>
      <c r="J132" s="8">
        <f t="shared" si="45"/>
        <v>-8262.572389225712</v>
      </c>
      <c r="K132" s="8"/>
      <c r="L132" s="8">
        <f t="shared" si="41"/>
        <v>-124138.113850869</v>
      </c>
    </row>
    <row r="133" spans="1:12" ht="14.2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-115875.5414616433</v>
      </c>
      <c r="G133" s="8"/>
      <c r="H133" s="18">
        <f>H132</f>
        <v>0.0335</v>
      </c>
      <c r="I133" s="8">
        <f t="shared" si="44"/>
        <v>-323.48588658042087</v>
      </c>
      <c r="J133" s="8">
        <f t="shared" si="45"/>
        <v>-8586.058275806134</v>
      </c>
      <c r="K133" s="8"/>
      <c r="L133" s="8">
        <f t="shared" si="41"/>
        <v>-124461.59973744943</v>
      </c>
    </row>
    <row r="134" spans="1:12" ht="14.2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-115875.5414616433</v>
      </c>
      <c r="G134" s="8"/>
      <c r="H134" s="15">
        <f t="shared" si="43"/>
        <v>0.0335</v>
      </c>
      <c r="I134" s="8">
        <f t="shared" si="44"/>
        <v>-323.48588658042087</v>
      </c>
      <c r="J134" s="8">
        <f t="shared" si="45"/>
        <v>-8909.544162386555</v>
      </c>
      <c r="K134" s="8"/>
      <c r="L134" s="8">
        <f t="shared" si="41"/>
        <v>-124785.08562402986</v>
      </c>
    </row>
    <row r="135" spans="1:12" ht="14.2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-115875.5414616433</v>
      </c>
      <c r="G135" s="14"/>
      <c r="H135" s="17">
        <f t="shared" si="43"/>
        <v>0.0335</v>
      </c>
      <c r="I135" s="14">
        <f t="shared" si="44"/>
        <v>-323.48588658042087</v>
      </c>
      <c r="J135" s="14">
        <f t="shared" si="45"/>
        <v>-9233.030048966977</v>
      </c>
      <c r="K135" s="14"/>
      <c r="L135" s="14">
        <f t="shared" si="41"/>
        <v>-125108.57151061027</v>
      </c>
    </row>
    <row r="136" spans="1:12" ht="14.2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-4611.846550173404</v>
      </c>
      <c r="J136" s="8"/>
      <c r="K136" s="8"/>
      <c r="L136" s="8"/>
    </row>
    <row r="137" spans="2:12" ht="14.2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4.2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4.25">
      <c r="B140" s="10"/>
      <c r="C140" s="10"/>
      <c r="D140" s="63" t="str">
        <f>$D$5</f>
        <v>SIMPILS True-Up Adjustments    (neg = CR)</v>
      </c>
      <c r="E140" s="65" t="s">
        <v>14</v>
      </c>
      <c r="F140" s="65"/>
      <c r="G140" s="10"/>
      <c r="H140" s="65" t="s">
        <v>15</v>
      </c>
      <c r="I140" s="65"/>
      <c r="J140" s="65"/>
      <c r="K140" s="10"/>
      <c r="L140" s="63" t="s">
        <v>5</v>
      </c>
    </row>
    <row r="141" spans="2:12" ht="28.5">
      <c r="B141" s="11" t="s">
        <v>2</v>
      </c>
      <c r="C141" s="11" t="s">
        <v>3</v>
      </c>
      <c r="D141" s="63"/>
      <c r="E141" s="10" t="s">
        <v>4</v>
      </c>
      <c r="F141" s="10" t="s">
        <v>69</v>
      </c>
      <c r="G141" s="10"/>
      <c r="H141" s="16" t="s">
        <v>6</v>
      </c>
      <c r="I141" s="10" t="s">
        <v>4</v>
      </c>
      <c r="J141" s="10" t="s">
        <v>69</v>
      </c>
      <c r="K141" s="10"/>
      <c r="L141" s="63"/>
    </row>
    <row r="142" spans="1:12" ht="14.2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-115875.5414616433</v>
      </c>
      <c r="G142" s="8"/>
      <c r="H142" s="4">
        <v>0.0245</v>
      </c>
      <c r="I142" s="8">
        <f>H142*F135/12</f>
        <v>-236.5792304841884</v>
      </c>
      <c r="J142" s="8">
        <f>J135+I142</f>
        <v>-9469.609279451166</v>
      </c>
      <c r="K142" s="8"/>
      <c r="L142" s="8">
        <f aca="true" t="shared" si="47" ref="L142:L153">F142+J142</f>
        <v>-125345.15074109446</v>
      </c>
    </row>
    <row r="143" spans="1:12" ht="14.2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-115875.5414616433</v>
      </c>
      <c r="G143" s="8"/>
      <c r="H143" s="15">
        <f>H142</f>
        <v>0.0245</v>
      </c>
      <c r="I143" s="8">
        <f>H143*F142/12</f>
        <v>-236.5792304841884</v>
      </c>
      <c r="J143" s="8">
        <f>I143+J142</f>
        <v>-9706.188509935355</v>
      </c>
      <c r="K143" s="8"/>
      <c r="L143" s="8">
        <f t="shared" si="47"/>
        <v>-125581.72997157865</v>
      </c>
    </row>
    <row r="144" spans="1:12" ht="14.2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-115875.5414616433</v>
      </c>
      <c r="G144" s="8"/>
      <c r="H144" s="15">
        <f aca="true" t="shared" si="49" ref="H144:H153">H143</f>
        <v>0.0245</v>
      </c>
      <c r="I144" s="8">
        <f>H144*F143/12</f>
        <v>-236.5792304841884</v>
      </c>
      <c r="J144" s="8">
        <f>I144+J143</f>
        <v>-9942.767740419544</v>
      </c>
      <c r="K144" s="8"/>
      <c r="L144" s="8">
        <f t="shared" si="47"/>
        <v>-125818.30920206284</v>
      </c>
    </row>
    <row r="145" spans="1:12" ht="14.2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-115875.5414616433</v>
      </c>
      <c r="G145" s="8"/>
      <c r="H145" s="4">
        <v>0.01</v>
      </c>
      <c r="I145" s="8">
        <f>H145*F144/12</f>
        <v>-96.56295121803608</v>
      </c>
      <c r="J145" s="8">
        <f>I145+J144</f>
        <v>-10039.33069163758</v>
      </c>
      <c r="K145" s="8"/>
      <c r="L145" s="8">
        <f t="shared" si="47"/>
        <v>-125914.87215328088</v>
      </c>
    </row>
    <row r="146" spans="1:12" ht="14.2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-115875.5414616433</v>
      </c>
      <c r="G146" s="8"/>
      <c r="H146" s="15">
        <f t="shared" si="49"/>
        <v>0.01</v>
      </c>
      <c r="I146" s="8">
        <f aca="true" t="shared" si="50" ref="I146:I153">H146*F145/12</f>
        <v>-96.56295121803608</v>
      </c>
      <c r="J146" s="8">
        <f aca="true" t="shared" si="51" ref="J146:J153">I146+J145</f>
        <v>-10135.893642855617</v>
      </c>
      <c r="K146" s="8"/>
      <c r="L146" s="8">
        <f t="shared" si="47"/>
        <v>-126011.43510449892</v>
      </c>
    </row>
    <row r="147" spans="1:12" ht="14.2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-115875.5414616433</v>
      </c>
      <c r="G147" s="8"/>
      <c r="H147" s="15">
        <f t="shared" si="49"/>
        <v>0.01</v>
      </c>
      <c r="I147" s="8">
        <f t="shared" si="50"/>
        <v>-96.56295121803608</v>
      </c>
      <c r="J147" s="8">
        <f t="shared" si="51"/>
        <v>-10232.456594073654</v>
      </c>
      <c r="K147" s="8"/>
      <c r="L147" s="8">
        <f t="shared" si="47"/>
        <v>-126107.99805571695</v>
      </c>
    </row>
    <row r="148" spans="1:12" ht="14.2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-115875.5414616433</v>
      </c>
      <c r="G148" s="8"/>
      <c r="H148" s="4">
        <v>0.0055</v>
      </c>
      <c r="I148" s="8">
        <f t="shared" si="50"/>
        <v>-53.10962316991984</v>
      </c>
      <c r="J148" s="8">
        <f t="shared" si="51"/>
        <v>-10285.566217243573</v>
      </c>
      <c r="K148" s="8"/>
      <c r="L148" s="8">
        <f t="shared" si="47"/>
        <v>-126161.10767888687</v>
      </c>
    </row>
    <row r="149" spans="1:12" ht="14.2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-115875.5414616433</v>
      </c>
      <c r="G149" s="8"/>
      <c r="H149" s="15">
        <f t="shared" si="49"/>
        <v>0.0055</v>
      </c>
      <c r="I149" s="8">
        <f t="shared" si="50"/>
        <v>-53.10962316991984</v>
      </c>
      <c r="J149" s="8">
        <f t="shared" si="51"/>
        <v>-10338.675840413493</v>
      </c>
      <c r="K149" s="8"/>
      <c r="L149" s="8">
        <f t="shared" si="47"/>
        <v>-126214.21730205679</v>
      </c>
    </row>
    <row r="150" spans="1:12" ht="14.2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-115875.5414616433</v>
      </c>
      <c r="G150" s="8"/>
      <c r="H150" s="15">
        <f t="shared" si="49"/>
        <v>0.0055</v>
      </c>
      <c r="I150" s="8">
        <f t="shared" si="50"/>
        <v>-53.10962316991984</v>
      </c>
      <c r="J150" s="8">
        <f t="shared" si="51"/>
        <v>-10391.785463583412</v>
      </c>
      <c r="K150" s="8"/>
      <c r="L150" s="8">
        <f t="shared" si="47"/>
        <v>-126267.3269252267</v>
      </c>
    </row>
    <row r="151" spans="1:12" ht="14.2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-115875.5414616433</v>
      </c>
      <c r="G151" s="8"/>
      <c r="H151" s="15">
        <f t="shared" si="49"/>
        <v>0.0055</v>
      </c>
      <c r="I151" s="8">
        <f t="shared" si="50"/>
        <v>-53.10962316991984</v>
      </c>
      <c r="J151" s="8">
        <f t="shared" si="51"/>
        <v>-10444.895086753331</v>
      </c>
      <c r="K151" s="8"/>
      <c r="L151" s="8">
        <f t="shared" si="47"/>
        <v>-126320.43654839662</v>
      </c>
    </row>
    <row r="152" spans="1:12" ht="14.2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-115875.5414616433</v>
      </c>
      <c r="G152" s="8"/>
      <c r="H152" s="15">
        <f t="shared" si="49"/>
        <v>0.0055</v>
      </c>
      <c r="I152" s="8">
        <f t="shared" si="50"/>
        <v>-53.10962316991984</v>
      </c>
      <c r="J152" s="8">
        <f t="shared" si="51"/>
        <v>-10498.00470992325</v>
      </c>
      <c r="K152" s="8"/>
      <c r="L152" s="8">
        <f t="shared" si="47"/>
        <v>-126373.54617156654</v>
      </c>
    </row>
    <row r="153" spans="1:12" ht="14.2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-115875.5414616433</v>
      </c>
      <c r="G153" s="14"/>
      <c r="H153" s="17">
        <f t="shared" si="49"/>
        <v>0.0055</v>
      </c>
      <c r="I153" s="14">
        <f t="shared" si="50"/>
        <v>-53.10962316991984</v>
      </c>
      <c r="J153" s="14">
        <f t="shared" si="51"/>
        <v>-10551.11433309317</v>
      </c>
      <c r="K153" s="14"/>
      <c r="L153" s="14">
        <f t="shared" si="47"/>
        <v>-126426.65579473646</v>
      </c>
    </row>
    <row r="154" spans="1:12" ht="14.2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-1318.0842841261924</v>
      </c>
      <c r="J154" s="8"/>
      <c r="K154" s="8"/>
      <c r="L154" s="8"/>
    </row>
    <row r="155" spans="2:12" ht="14.2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4.2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4.25">
      <c r="B158" s="10"/>
      <c r="C158" s="10"/>
      <c r="D158" s="63" t="str">
        <f>$D$5</f>
        <v>SIMPILS True-Up Adjustments    (neg = CR)</v>
      </c>
      <c r="E158" s="65" t="s">
        <v>14</v>
      </c>
      <c r="F158" s="65"/>
      <c r="G158" s="10"/>
      <c r="H158" s="65" t="s">
        <v>15</v>
      </c>
      <c r="I158" s="65"/>
      <c r="J158" s="65"/>
      <c r="K158" s="10"/>
      <c r="L158" s="63" t="s">
        <v>5</v>
      </c>
    </row>
    <row r="159" spans="2:12" ht="28.5">
      <c r="B159" s="11" t="s">
        <v>2</v>
      </c>
      <c r="C159" s="11" t="s">
        <v>3</v>
      </c>
      <c r="D159" s="63"/>
      <c r="E159" s="10" t="s">
        <v>4</v>
      </c>
      <c r="F159" s="10" t="s">
        <v>69</v>
      </c>
      <c r="G159" s="10"/>
      <c r="H159" s="16" t="s">
        <v>6</v>
      </c>
      <c r="I159" s="10" t="s">
        <v>4</v>
      </c>
      <c r="J159" s="10" t="s">
        <v>69</v>
      </c>
      <c r="K159" s="10"/>
      <c r="L159" s="63"/>
    </row>
    <row r="160" spans="1:12" ht="14.2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-115875.5414616433</v>
      </c>
      <c r="G160" s="8"/>
      <c r="H160" s="15">
        <f>H153</f>
        <v>0.0055</v>
      </c>
      <c r="I160" s="8">
        <f>H160*F153/12</f>
        <v>-53.10962316991984</v>
      </c>
      <c r="J160" s="8">
        <f>J153+I160</f>
        <v>-10604.22395626309</v>
      </c>
      <c r="K160" s="8"/>
      <c r="L160" s="8">
        <f aca="true" t="shared" si="53" ref="L160:L171">F160+J160</f>
        <v>-126479.76541790638</v>
      </c>
    </row>
    <row r="161" spans="1:12" ht="14.2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-115875.5414616433</v>
      </c>
      <c r="G161" s="8"/>
      <c r="H161" s="15">
        <f>H160</f>
        <v>0.0055</v>
      </c>
      <c r="I161" s="8">
        <f>H161*F160/12</f>
        <v>-53.10962316991984</v>
      </c>
      <c r="J161" s="8">
        <f>I161+J160</f>
        <v>-10657.333579433009</v>
      </c>
      <c r="K161" s="8"/>
      <c r="L161" s="8">
        <f t="shared" si="53"/>
        <v>-126532.8750410763</v>
      </c>
    </row>
    <row r="162" spans="1:12" ht="14.2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-115875.5414616433</v>
      </c>
      <c r="G162" s="8"/>
      <c r="H162" s="15">
        <f aca="true" t="shared" si="55" ref="H162:H171">H161</f>
        <v>0.0055</v>
      </c>
      <c r="I162" s="8">
        <f>H162*F161/12</f>
        <v>-53.10962316991984</v>
      </c>
      <c r="J162" s="8">
        <f>I162+J161</f>
        <v>-10710.443202602928</v>
      </c>
      <c r="K162" s="8"/>
      <c r="L162" s="8">
        <f t="shared" si="53"/>
        <v>-126585.98466424622</v>
      </c>
    </row>
    <row r="163" spans="1:12" ht="14.2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-115875.5414616433</v>
      </c>
      <c r="G163" s="8"/>
      <c r="H163" s="15">
        <f t="shared" si="55"/>
        <v>0.0055</v>
      </c>
      <c r="I163" s="8">
        <f>H163*F162/12</f>
        <v>-53.10962316991984</v>
      </c>
      <c r="J163" s="8">
        <f>I163+J162</f>
        <v>-10763.552825772847</v>
      </c>
      <c r="K163" s="8"/>
      <c r="L163" s="8">
        <f t="shared" si="53"/>
        <v>-126639.09428741614</v>
      </c>
    </row>
    <row r="164" spans="1:12" ht="14.2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-115875.5414616433</v>
      </c>
      <c r="G164" s="8"/>
      <c r="H164" s="15">
        <f t="shared" si="55"/>
        <v>0.0055</v>
      </c>
      <c r="I164" s="8">
        <f aca="true" t="shared" si="56" ref="I164:I171">H164*F163/12</f>
        <v>-53.10962316991984</v>
      </c>
      <c r="J164" s="8">
        <f aca="true" t="shared" si="57" ref="J164:J171">I164+J163</f>
        <v>-10816.662448942767</v>
      </c>
      <c r="K164" s="8"/>
      <c r="L164" s="8">
        <f t="shared" si="53"/>
        <v>-126692.20391058606</v>
      </c>
    </row>
    <row r="165" spans="1:12" ht="14.2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-115875.5414616433</v>
      </c>
      <c r="G165" s="8"/>
      <c r="H165" s="15">
        <f t="shared" si="55"/>
        <v>0.0055</v>
      </c>
      <c r="I165" s="8">
        <f t="shared" si="56"/>
        <v>-53.10962316991984</v>
      </c>
      <c r="J165" s="8">
        <f t="shared" si="57"/>
        <v>-10869.772072112686</v>
      </c>
      <c r="K165" s="8"/>
      <c r="L165" s="8">
        <f t="shared" si="53"/>
        <v>-126745.31353375598</v>
      </c>
    </row>
    <row r="166" spans="1:12" ht="14.2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-115875.5414616433</v>
      </c>
      <c r="G166" s="8"/>
      <c r="H166" s="4">
        <v>0.0089</v>
      </c>
      <c r="I166" s="8">
        <f t="shared" si="56"/>
        <v>-85.94102658405211</v>
      </c>
      <c r="J166" s="8">
        <f t="shared" si="57"/>
        <v>-10955.713098696739</v>
      </c>
      <c r="K166" s="8"/>
      <c r="L166" s="8">
        <f t="shared" si="53"/>
        <v>-126831.25456034004</v>
      </c>
    </row>
    <row r="167" spans="1:12" ht="14.2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-115875.5414616433</v>
      </c>
      <c r="G167" s="8"/>
      <c r="H167" s="15">
        <f t="shared" si="55"/>
        <v>0.0089</v>
      </c>
      <c r="I167" s="8">
        <f t="shared" si="56"/>
        <v>-85.94102658405211</v>
      </c>
      <c r="J167" s="8">
        <f t="shared" si="57"/>
        <v>-11041.654125280791</v>
      </c>
      <c r="K167" s="8"/>
      <c r="L167" s="8">
        <f t="shared" si="53"/>
        <v>-126917.19558692409</v>
      </c>
    </row>
    <row r="168" spans="1:12" ht="14.2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-115875.5414616433</v>
      </c>
      <c r="G168" s="8"/>
      <c r="H168" s="15">
        <f t="shared" si="55"/>
        <v>0.0089</v>
      </c>
      <c r="I168" s="8">
        <f t="shared" si="56"/>
        <v>-85.94102658405211</v>
      </c>
      <c r="J168" s="8">
        <f t="shared" si="57"/>
        <v>-11127.595151864844</v>
      </c>
      <c r="K168" s="8"/>
      <c r="L168" s="8">
        <f t="shared" si="53"/>
        <v>-127003.13661350813</v>
      </c>
    </row>
    <row r="169" spans="1:12" ht="14.2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-115875.5414616433</v>
      </c>
      <c r="G169" s="8"/>
      <c r="H169" s="4">
        <v>0.012</v>
      </c>
      <c r="I169" s="8">
        <f t="shared" si="56"/>
        <v>-115.87554146164331</v>
      </c>
      <c r="J169" s="8">
        <f t="shared" si="57"/>
        <v>-11243.470693326486</v>
      </c>
      <c r="K169" s="8"/>
      <c r="L169" s="8">
        <f t="shared" si="53"/>
        <v>-127119.01215496978</v>
      </c>
    </row>
    <row r="170" spans="1:12" ht="14.2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-115875.5414616433</v>
      </c>
      <c r="G170" s="8"/>
      <c r="H170" s="15">
        <f t="shared" si="55"/>
        <v>0.012</v>
      </c>
      <c r="I170" s="8">
        <f t="shared" si="56"/>
        <v>-115.87554146164331</v>
      </c>
      <c r="J170" s="8">
        <f t="shared" si="57"/>
        <v>-11359.346234788129</v>
      </c>
      <c r="K170" s="8"/>
      <c r="L170" s="8">
        <f t="shared" si="53"/>
        <v>-127234.88769643143</v>
      </c>
    </row>
    <row r="171" spans="1:12" ht="14.2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-115875.5414616433</v>
      </c>
      <c r="G171" s="14"/>
      <c r="H171" s="17">
        <f t="shared" si="55"/>
        <v>0.012</v>
      </c>
      <c r="I171" s="14">
        <f t="shared" si="56"/>
        <v>-115.87554146164331</v>
      </c>
      <c r="J171" s="14">
        <f t="shared" si="57"/>
        <v>-11475.221776249771</v>
      </c>
      <c r="K171" s="14"/>
      <c r="L171" s="14">
        <f t="shared" si="53"/>
        <v>-127350.76323789307</v>
      </c>
    </row>
    <row r="172" spans="1:14" ht="14.2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-924.1074431566051</v>
      </c>
      <c r="J172" s="8"/>
      <c r="K172" s="8"/>
      <c r="L172" s="8"/>
      <c r="N172" s="21"/>
    </row>
    <row r="173" spans="2:14" ht="14.25">
      <c r="B173" s="8"/>
      <c r="C173" s="8"/>
      <c r="D173" s="8"/>
      <c r="E173" s="8"/>
      <c r="F173" s="8"/>
      <c r="G173" s="8"/>
      <c r="I173" s="8"/>
      <c r="J173" s="8"/>
      <c r="K173" s="8"/>
      <c r="L173" s="8"/>
      <c r="N173" s="21"/>
    </row>
    <row r="174" spans="2:12" ht="14.2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4.25">
      <c r="B176" s="10"/>
      <c r="C176" s="10"/>
      <c r="D176" s="63" t="str">
        <f>$D$5</f>
        <v>SIMPILS True-Up Adjustments    (neg = CR)</v>
      </c>
      <c r="E176" s="65" t="s">
        <v>14</v>
      </c>
      <c r="F176" s="65"/>
      <c r="G176" s="10"/>
      <c r="H176" s="65" t="s">
        <v>15</v>
      </c>
      <c r="I176" s="65"/>
      <c r="J176" s="65"/>
      <c r="K176" s="10"/>
      <c r="L176" s="63" t="s">
        <v>5</v>
      </c>
    </row>
    <row r="177" spans="2:12" ht="28.5">
      <c r="B177" s="11" t="s">
        <v>2</v>
      </c>
      <c r="C177" s="11" t="s">
        <v>3</v>
      </c>
      <c r="D177" s="63"/>
      <c r="E177" s="10" t="s">
        <v>4</v>
      </c>
      <c r="F177" s="10" t="s">
        <v>69</v>
      </c>
      <c r="G177" s="10"/>
      <c r="H177" s="16" t="s">
        <v>6</v>
      </c>
      <c r="I177" s="10" t="s">
        <v>4</v>
      </c>
      <c r="J177" s="10" t="s">
        <v>69</v>
      </c>
      <c r="K177" s="10"/>
      <c r="L177" s="63"/>
    </row>
    <row r="178" spans="1:12" ht="14.2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-115875.5414616433</v>
      </c>
      <c r="G178" s="8"/>
      <c r="H178" s="4">
        <v>0.0147</v>
      </c>
      <c r="I178" s="8">
        <f>H178*F171/12</f>
        <v>-141.94753829051305</v>
      </c>
      <c r="J178" s="8">
        <f>J171+I178</f>
        <v>-11617.169314540284</v>
      </c>
      <c r="K178" s="8"/>
      <c r="L178" s="8">
        <f aca="true" t="shared" si="59" ref="L178:L189">F178+J178</f>
        <v>-127492.71077618358</v>
      </c>
    </row>
    <row r="179" spans="1:12" ht="14.2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-115875.5414616433</v>
      </c>
      <c r="G179" s="8"/>
      <c r="H179" s="15">
        <f>H178</f>
        <v>0.0147</v>
      </c>
      <c r="I179" s="8">
        <f>H179*F178/12</f>
        <v>-141.94753829051305</v>
      </c>
      <c r="J179" s="8">
        <f>I179+J178</f>
        <v>-11759.116852830797</v>
      </c>
      <c r="K179" s="8"/>
      <c r="L179" s="8">
        <f t="shared" si="59"/>
        <v>-127634.6583144741</v>
      </c>
    </row>
    <row r="180" spans="1:12" ht="14.2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-115875.5414616433</v>
      </c>
      <c r="G180" s="8"/>
      <c r="H180" s="15">
        <f aca="true" t="shared" si="61" ref="H180:H189">H179</f>
        <v>0.0147</v>
      </c>
      <c r="I180" s="8">
        <f>H180*F179/12</f>
        <v>-141.94753829051305</v>
      </c>
      <c r="J180" s="8">
        <f>I180+J179</f>
        <v>-11901.06439112131</v>
      </c>
      <c r="K180" s="8"/>
      <c r="L180" s="8">
        <f t="shared" si="59"/>
        <v>-127776.60585276461</v>
      </c>
    </row>
    <row r="181" spans="1:12" ht="14.2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-115875.5414616433</v>
      </c>
      <c r="G181" s="8"/>
      <c r="H181" s="15">
        <f t="shared" si="61"/>
        <v>0.0147</v>
      </c>
      <c r="I181" s="8">
        <f>H181*F180/12</f>
        <v>-141.94753829051305</v>
      </c>
      <c r="J181" s="8">
        <f>I181+J180</f>
        <v>-12043.011929411823</v>
      </c>
      <c r="K181" s="8"/>
      <c r="L181" s="8">
        <f t="shared" si="59"/>
        <v>-127918.55339105512</v>
      </c>
    </row>
    <row r="182" spans="1:12" ht="14.2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-115875.5414616433</v>
      </c>
      <c r="G182" s="8"/>
      <c r="H182" s="15">
        <f t="shared" si="61"/>
        <v>0.0147</v>
      </c>
      <c r="I182" s="8">
        <f aca="true" t="shared" si="62" ref="I182:I189">H182*F181/12</f>
        <v>-141.94753829051305</v>
      </c>
      <c r="J182" s="8">
        <f aca="true" t="shared" si="63" ref="J182:J189">I182+J181</f>
        <v>-12184.959467702336</v>
      </c>
      <c r="K182" s="8"/>
      <c r="L182" s="8">
        <f t="shared" si="59"/>
        <v>-128060.50092934564</v>
      </c>
    </row>
    <row r="183" spans="1:12" ht="14.2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-115875.5414616433</v>
      </c>
      <c r="G183" s="8"/>
      <c r="H183" s="15">
        <f t="shared" si="61"/>
        <v>0.0147</v>
      </c>
      <c r="I183" s="8">
        <f t="shared" si="62"/>
        <v>-141.94753829051305</v>
      </c>
      <c r="J183" s="8">
        <f t="shared" si="63"/>
        <v>-12326.907005992849</v>
      </c>
      <c r="K183" s="8"/>
      <c r="L183" s="8">
        <f t="shared" si="59"/>
        <v>-128202.44846763615</v>
      </c>
    </row>
    <row r="184" spans="1:12" ht="14.2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-115875.5414616433</v>
      </c>
      <c r="G184" s="8"/>
      <c r="H184" s="15">
        <f t="shared" si="61"/>
        <v>0.0147</v>
      </c>
      <c r="I184" s="8">
        <f t="shared" si="62"/>
        <v>-141.94753829051305</v>
      </c>
      <c r="J184" s="8">
        <f t="shared" si="63"/>
        <v>-12468.854544283362</v>
      </c>
      <c r="K184" s="8"/>
      <c r="L184" s="8">
        <f t="shared" si="59"/>
        <v>-128344.39600592665</v>
      </c>
    </row>
    <row r="185" spans="1:12" ht="14.2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-115875.5414616433</v>
      </c>
      <c r="G185" s="8"/>
      <c r="H185" s="15">
        <f t="shared" si="61"/>
        <v>0.0147</v>
      </c>
      <c r="I185" s="8">
        <f t="shared" si="62"/>
        <v>-141.94753829051305</v>
      </c>
      <c r="J185" s="8">
        <f t="shared" si="63"/>
        <v>-12610.802082573875</v>
      </c>
      <c r="K185" s="8"/>
      <c r="L185" s="8">
        <f t="shared" si="59"/>
        <v>-128486.34354421718</v>
      </c>
    </row>
    <row r="186" spans="1:12" ht="14.2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-115875.5414616433</v>
      </c>
      <c r="G186" s="8"/>
      <c r="H186" s="15">
        <f t="shared" si="61"/>
        <v>0.0147</v>
      </c>
      <c r="I186" s="8">
        <f t="shared" si="62"/>
        <v>-141.94753829051305</v>
      </c>
      <c r="J186" s="8">
        <f t="shared" si="63"/>
        <v>-12752.749620864388</v>
      </c>
      <c r="K186" s="8"/>
      <c r="L186" s="8">
        <f t="shared" si="59"/>
        <v>-128628.29108250768</v>
      </c>
    </row>
    <row r="187" spans="1:12" ht="14.2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-115875.5414616433</v>
      </c>
      <c r="G187" s="8"/>
      <c r="H187" s="15">
        <f t="shared" si="61"/>
        <v>0.0147</v>
      </c>
      <c r="I187" s="8">
        <f t="shared" si="62"/>
        <v>-141.94753829051305</v>
      </c>
      <c r="J187" s="8">
        <f t="shared" si="63"/>
        <v>-12894.6971591549</v>
      </c>
      <c r="K187" s="8"/>
      <c r="L187" s="8">
        <f t="shared" si="59"/>
        <v>-128770.23862079819</v>
      </c>
    </row>
    <row r="188" spans="1:12" ht="14.2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-115875.5414616433</v>
      </c>
      <c r="G188" s="8"/>
      <c r="H188" s="15">
        <f t="shared" si="61"/>
        <v>0.0147</v>
      </c>
      <c r="I188" s="8">
        <f t="shared" si="62"/>
        <v>-141.94753829051305</v>
      </c>
      <c r="J188" s="8">
        <f t="shared" si="63"/>
        <v>-13036.644697445414</v>
      </c>
      <c r="K188" s="8"/>
      <c r="L188" s="8">
        <f t="shared" si="59"/>
        <v>-128912.18615908871</v>
      </c>
    </row>
    <row r="189" spans="1:12" ht="14.2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-115875.5414616433</v>
      </c>
      <c r="G189" s="14"/>
      <c r="H189" s="17">
        <f t="shared" si="61"/>
        <v>0.0147</v>
      </c>
      <c r="I189" s="14">
        <f t="shared" si="62"/>
        <v>-141.94753829051305</v>
      </c>
      <c r="J189" s="14">
        <f t="shared" si="63"/>
        <v>-13178.592235735927</v>
      </c>
      <c r="K189" s="14"/>
      <c r="L189" s="14">
        <f t="shared" si="59"/>
        <v>-129054.13369737922</v>
      </c>
    </row>
    <row r="190" spans="1:12" ht="14.2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-1703.3704594861563</v>
      </c>
      <c r="J190" s="8"/>
      <c r="K190" s="8"/>
      <c r="L190" s="8"/>
    </row>
    <row r="191" spans="2:13" ht="14.25">
      <c r="B191" s="8"/>
      <c r="C191" s="8"/>
      <c r="D191" s="8"/>
      <c r="E191" s="8"/>
      <c r="F191" s="8"/>
      <c r="G191" s="8"/>
      <c r="I191" s="8"/>
      <c r="J191" s="8"/>
      <c r="K191" s="8"/>
      <c r="L191" s="8"/>
      <c r="M191" s="21"/>
    </row>
    <row r="192" spans="2:12" ht="14.2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">
      <c r="A193" s="5" t="s">
        <v>0</v>
      </c>
      <c r="B193" s="19">
        <v>2012</v>
      </c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4.25">
      <c r="B194" s="10"/>
      <c r="C194" s="10"/>
      <c r="D194" s="63" t="str">
        <f>$D$5</f>
        <v>SIMPILS True-Up Adjustments    (neg = CR)</v>
      </c>
      <c r="E194" s="65" t="s">
        <v>14</v>
      </c>
      <c r="F194" s="65"/>
      <c r="G194" s="10"/>
      <c r="H194" s="65" t="s">
        <v>15</v>
      </c>
      <c r="I194" s="65"/>
      <c r="J194" s="65"/>
      <c r="K194" s="10"/>
      <c r="L194" s="63" t="s">
        <v>5</v>
      </c>
    </row>
    <row r="195" spans="2:12" ht="28.5">
      <c r="B195" s="11" t="s">
        <v>2</v>
      </c>
      <c r="C195" s="11" t="s">
        <v>3</v>
      </c>
      <c r="D195" s="63"/>
      <c r="E195" s="10" t="s">
        <v>4</v>
      </c>
      <c r="F195" s="10" t="s">
        <v>69</v>
      </c>
      <c r="G195" s="10"/>
      <c r="H195" s="16" t="s">
        <v>6</v>
      </c>
      <c r="I195" s="10" t="s">
        <v>4</v>
      </c>
      <c r="J195" s="10" t="s">
        <v>69</v>
      </c>
      <c r="K195" s="10"/>
      <c r="L195" s="63"/>
    </row>
    <row r="196" spans="1:12" ht="14.25">
      <c r="A196" t="s">
        <v>7</v>
      </c>
      <c r="B196" s="12"/>
      <c r="C196" s="12"/>
      <c r="D196" s="8"/>
      <c r="E196" s="8">
        <f aca="true" t="shared" si="64" ref="E196:E207">B196-C196+D196</f>
        <v>0</v>
      </c>
      <c r="F196" s="8">
        <f>F189+E196</f>
        <v>-115875.5414616433</v>
      </c>
      <c r="G196" s="8"/>
      <c r="H196" s="15">
        <f>H189</f>
        <v>0.0147</v>
      </c>
      <c r="I196" s="8">
        <f>H196*F189/12</f>
        <v>-141.94753829051305</v>
      </c>
      <c r="J196" s="8">
        <f>J189+I196</f>
        <v>-13320.53977402644</v>
      </c>
      <c r="K196" s="8"/>
      <c r="L196" s="8">
        <f aca="true" t="shared" si="65" ref="L196:L207">F196+J196</f>
        <v>-129196.08123566974</v>
      </c>
    </row>
    <row r="197" spans="1:12" ht="14.25">
      <c r="A197" t="s">
        <v>8</v>
      </c>
      <c r="B197" s="12"/>
      <c r="C197" s="12"/>
      <c r="D197" s="8"/>
      <c r="E197" s="8">
        <f t="shared" si="64"/>
        <v>0</v>
      </c>
      <c r="F197" s="8">
        <f>F196+E197</f>
        <v>-115875.5414616433</v>
      </c>
      <c r="G197" s="8"/>
      <c r="H197" s="15">
        <f>H196</f>
        <v>0.0147</v>
      </c>
      <c r="I197" s="8">
        <f>H197*F196/12</f>
        <v>-141.94753829051305</v>
      </c>
      <c r="J197" s="8">
        <f>I197+J196</f>
        <v>-13462.487312316953</v>
      </c>
      <c r="K197" s="8"/>
      <c r="L197" s="8">
        <f t="shared" si="65"/>
        <v>-129338.02877396025</v>
      </c>
    </row>
    <row r="198" spans="1:12" ht="14.25">
      <c r="A198" t="s">
        <v>9</v>
      </c>
      <c r="B198" s="12"/>
      <c r="C198" s="12"/>
      <c r="D198" s="8"/>
      <c r="E198" s="8">
        <f t="shared" si="64"/>
        <v>0</v>
      </c>
      <c r="F198" s="8">
        <f aca="true" t="shared" si="66" ref="F198:F207">F197+E198</f>
        <v>-115875.5414616433</v>
      </c>
      <c r="G198" s="8"/>
      <c r="H198" s="15">
        <f aca="true" t="shared" si="67" ref="H198:H207">H197</f>
        <v>0.0147</v>
      </c>
      <c r="I198" s="8">
        <f>H198*F197/12</f>
        <v>-141.94753829051305</v>
      </c>
      <c r="J198" s="8">
        <f>I198+J197</f>
        <v>-13604.434850607466</v>
      </c>
      <c r="K198" s="8"/>
      <c r="L198" s="8">
        <f t="shared" si="65"/>
        <v>-129479.97631225076</v>
      </c>
    </row>
    <row r="199" spans="1:12" ht="14.25">
      <c r="A199" s="42" t="s">
        <v>16</v>
      </c>
      <c r="B199" s="13"/>
      <c r="C199" s="13"/>
      <c r="D199" s="14"/>
      <c r="E199" s="14">
        <f t="shared" si="64"/>
        <v>0</v>
      </c>
      <c r="F199" s="14">
        <f t="shared" si="66"/>
        <v>-115875.5414616433</v>
      </c>
      <c r="G199" s="14"/>
      <c r="H199" s="17">
        <f t="shared" si="67"/>
        <v>0.0147</v>
      </c>
      <c r="I199" s="14">
        <f>H199*F198/12</f>
        <v>-141.94753829051305</v>
      </c>
      <c r="J199" s="14">
        <f>I199+J198</f>
        <v>-13746.382388897979</v>
      </c>
      <c r="K199" s="14"/>
      <c r="L199" s="14">
        <f t="shared" si="65"/>
        <v>-129621.92385054128</v>
      </c>
    </row>
    <row r="200" spans="1:12" ht="14.25" hidden="1">
      <c r="A200" t="s">
        <v>17</v>
      </c>
      <c r="B200" s="12"/>
      <c r="C200" s="12"/>
      <c r="D200" s="8"/>
      <c r="E200" s="8">
        <f t="shared" si="64"/>
        <v>0</v>
      </c>
      <c r="F200" s="8">
        <f t="shared" si="66"/>
        <v>-115875.5414616433</v>
      </c>
      <c r="G200" s="8"/>
      <c r="H200" s="15">
        <v>0</v>
      </c>
      <c r="I200" s="8">
        <f aca="true" t="shared" si="68" ref="I200:I207">H200*F199/12</f>
        <v>0</v>
      </c>
      <c r="J200" s="8">
        <f aca="true" t="shared" si="69" ref="J200:J207">I200+J199</f>
        <v>-13746.382388897979</v>
      </c>
      <c r="K200" s="8"/>
      <c r="L200" s="8">
        <f t="shared" si="65"/>
        <v>-129621.92385054128</v>
      </c>
    </row>
    <row r="201" spans="1:12" ht="14.25" hidden="1">
      <c r="A201" t="s">
        <v>18</v>
      </c>
      <c r="B201" s="12"/>
      <c r="C201" s="12"/>
      <c r="D201" s="8"/>
      <c r="E201" s="8">
        <f t="shared" si="64"/>
        <v>0</v>
      </c>
      <c r="F201" s="8">
        <f t="shared" si="66"/>
        <v>-115875.5414616433</v>
      </c>
      <c r="G201" s="8"/>
      <c r="H201" s="15">
        <f t="shared" si="67"/>
        <v>0</v>
      </c>
      <c r="I201" s="8">
        <f t="shared" si="68"/>
        <v>0</v>
      </c>
      <c r="J201" s="8">
        <f t="shared" si="69"/>
        <v>-13746.382388897979</v>
      </c>
      <c r="K201" s="8"/>
      <c r="L201" s="8">
        <f t="shared" si="65"/>
        <v>-129621.92385054128</v>
      </c>
    </row>
    <row r="202" spans="1:12" ht="14.25" hidden="1">
      <c r="A202" t="s">
        <v>19</v>
      </c>
      <c r="B202" s="12"/>
      <c r="C202" s="12"/>
      <c r="D202" s="8"/>
      <c r="E202" s="8">
        <f t="shared" si="64"/>
        <v>0</v>
      </c>
      <c r="F202" s="8">
        <f t="shared" si="66"/>
        <v>-115875.5414616433</v>
      </c>
      <c r="G202" s="8"/>
      <c r="H202" s="15">
        <f t="shared" si="67"/>
        <v>0</v>
      </c>
      <c r="I202" s="8">
        <f t="shared" si="68"/>
        <v>0</v>
      </c>
      <c r="J202" s="8">
        <f t="shared" si="69"/>
        <v>-13746.382388897979</v>
      </c>
      <c r="K202" s="8"/>
      <c r="L202" s="8">
        <f t="shared" si="65"/>
        <v>-129621.92385054128</v>
      </c>
    </row>
    <row r="203" spans="1:12" ht="14.25" hidden="1">
      <c r="A203" t="s">
        <v>20</v>
      </c>
      <c r="B203" s="12"/>
      <c r="C203" s="12"/>
      <c r="D203" s="8"/>
      <c r="E203" s="8">
        <f t="shared" si="64"/>
        <v>0</v>
      </c>
      <c r="F203" s="8">
        <f t="shared" si="66"/>
        <v>-115875.5414616433</v>
      </c>
      <c r="G203" s="8"/>
      <c r="H203" s="15">
        <f t="shared" si="67"/>
        <v>0</v>
      </c>
      <c r="I203" s="8">
        <f t="shared" si="68"/>
        <v>0</v>
      </c>
      <c r="J203" s="8">
        <f t="shared" si="69"/>
        <v>-13746.382388897979</v>
      </c>
      <c r="K203" s="8"/>
      <c r="L203" s="8">
        <f t="shared" si="65"/>
        <v>-129621.92385054128</v>
      </c>
    </row>
    <row r="204" spans="1:12" ht="14.25" hidden="1">
      <c r="A204" t="s">
        <v>21</v>
      </c>
      <c r="B204" s="12"/>
      <c r="C204" s="12"/>
      <c r="D204" s="8"/>
      <c r="E204" s="8">
        <f t="shared" si="64"/>
        <v>0</v>
      </c>
      <c r="F204" s="8">
        <f t="shared" si="66"/>
        <v>-115875.5414616433</v>
      </c>
      <c r="G204" s="8"/>
      <c r="H204" s="15">
        <f t="shared" si="67"/>
        <v>0</v>
      </c>
      <c r="I204" s="8">
        <f t="shared" si="68"/>
        <v>0</v>
      </c>
      <c r="J204" s="8">
        <f t="shared" si="69"/>
        <v>-13746.382388897979</v>
      </c>
      <c r="K204" s="8"/>
      <c r="L204" s="8">
        <f t="shared" si="65"/>
        <v>-129621.92385054128</v>
      </c>
    </row>
    <row r="205" spans="1:12" ht="14.25" hidden="1">
      <c r="A205" t="s">
        <v>10</v>
      </c>
      <c r="B205" s="12"/>
      <c r="C205" s="12"/>
      <c r="D205" s="8"/>
      <c r="E205" s="8">
        <f t="shared" si="64"/>
        <v>0</v>
      </c>
      <c r="F205" s="8">
        <f t="shared" si="66"/>
        <v>-115875.5414616433</v>
      </c>
      <c r="G205" s="8"/>
      <c r="H205" s="15">
        <f t="shared" si="67"/>
        <v>0</v>
      </c>
      <c r="I205" s="8">
        <f t="shared" si="68"/>
        <v>0</v>
      </c>
      <c r="J205" s="8">
        <f t="shared" si="69"/>
        <v>-13746.382388897979</v>
      </c>
      <c r="K205" s="8"/>
      <c r="L205" s="8">
        <f t="shared" si="65"/>
        <v>-129621.92385054128</v>
      </c>
    </row>
    <row r="206" spans="1:12" ht="14.25" hidden="1">
      <c r="A206" t="s">
        <v>11</v>
      </c>
      <c r="B206" s="12"/>
      <c r="C206" s="12"/>
      <c r="D206" s="8"/>
      <c r="E206" s="8">
        <f t="shared" si="64"/>
        <v>0</v>
      </c>
      <c r="F206" s="8">
        <f t="shared" si="66"/>
        <v>-115875.5414616433</v>
      </c>
      <c r="G206" s="8"/>
      <c r="H206" s="15">
        <f t="shared" si="67"/>
        <v>0</v>
      </c>
      <c r="I206" s="8">
        <f t="shared" si="68"/>
        <v>0</v>
      </c>
      <c r="J206" s="8">
        <f t="shared" si="69"/>
        <v>-13746.382388897979</v>
      </c>
      <c r="K206" s="8"/>
      <c r="L206" s="8">
        <f t="shared" si="65"/>
        <v>-129621.92385054128</v>
      </c>
    </row>
    <row r="207" spans="1:12" ht="14.25" hidden="1">
      <c r="A207" t="s">
        <v>12</v>
      </c>
      <c r="B207" s="13"/>
      <c r="C207" s="13"/>
      <c r="D207" s="14"/>
      <c r="E207" s="14">
        <f t="shared" si="64"/>
        <v>0</v>
      </c>
      <c r="F207" s="14">
        <f t="shared" si="66"/>
        <v>-115875.5414616433</v>
      </c>
      <c r="G207" s="14"/>
      <c r="H207" s="17">
        <f t="shared" si="67"/>
        <v>0</v>
      </c>
      <c r="I207" s="14">
        <f t="shared" si="68"/>
        <v>0</v>
      </c>
      <c r="J207" s="14">
        <f t="shared" si="69"/>
        <v>-13746.382388897979</v>
      </c>
      <c r="K207" s="14"/>
      <c r="L207" s="14">
        <f t="shared" si="65"/>
        <v>-129621.92385054128</v>
      </c>
    </row>
    <row r="208" spans="1:12" ht="14.25">
      <c r="A208" s="2" t="s">
        <v>13</v>
      </c>
      <c r="B208" s="8">
        <f>SUM(B196:B207)</f>
        <v>0</v>
      </c>
      <c r="C208" s="8">
        <f>SUM(C196:C207)</f>
        <v>0</v>
      </c>
      <c r="D208" s="8">
        <f>SUM(D196:D207)</f>
        <v>0</v>
      </c>
      <c r="E208" s="8">
        <f>SUM(E196:E207)</f>
        <v>0</v>
      </c>
      <c r="F208" s="8"/>
      <c r="G208" s="8"/>
      <c r="I208" s="8">
        <f>SUM(I196:I207)</f>
        <v>-567.7901531620522</v>
      </c>
      <c r="J208" s="8"/>
      <c r="K208" s="8"/>
      <c r="L208" s="8"/>
    </row>
    <row r="209" spans="2:12" ht="14.2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4.2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4.2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4.2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4.2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4.2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4.2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4.2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4.2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4.2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4.2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4.2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4.2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4.2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4.2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4.2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4.2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4.2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4.2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4.2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4.2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4.2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4.2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4.2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4.2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4.2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4.2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4.2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4.2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4.2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4.2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4.2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4.2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4.2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4.2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4.2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4.2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4.2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4.2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4.2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4.2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4.2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4.2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4.2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4.2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4.2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4.2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4.2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4.2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4.2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4.2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4.2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4.2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4.2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E194:F194"/>
    <mergeCell ref="H194:J194"/>
    <mergeCell ref="L194:L195"/>
    <mergeCell ref="E158:F158"/>
    <mergeCell ref="H158:J158"/>
    <mergeCell ref="L158:L159"/>
    <mergeCell ref="E176:F176"/>
    <mergeCell ref="H176:J176"/>
    <mergeCell ref="L176:L177"/>
    <mergeCell ref="E122:F122"/>
    <mergeCell ref="H122:J122"/>
    <mergeCell ref="L122:L123"/>
    <mergeCell ref="E140:F140"/>
    <mergeCell ref="H140:J140"/>
    <mergeCell ref="L140:L141"/>
    <mergeCell ref="E86:F86"/>
    <mergeCell ref="H86:J86"/>
    <mergeCell ref="L86:L87"/>
    <mergeCell ref="E104:F104"/>
    <mergeCell ref="H104:J104"/>
    <mergeCell ref="L104:L105"/>
    <mergeCell ref="H32:J32"/>
    <mergeCell ref="L32:L33"/>
    <mergeCell ref="E50:F50"/>
    <mergeCell ref="H50:J50"/>
    <mergeCell ref="L50:L51"/>
    <mergeCell ref="H68:J68"/>
    <mergeCell ref="L68:L69"/>
    <mergeCell ref="D32:D33"/>
    <mergeCell ref="D50:D51"/>
    <mergeCell ref="D68:D69"/>
    <mergeCell ref="E5:F5"/>
    <mergeCell ref="E32:F32"/>
    <mergeCell ref="E68:F68"/>
    <mergeCell ref="L5:L6"/>
    <mergeCell ref="H5:J5"/>
    <mergeCell ref="E14:F14"/>
    <mergeCell ref="H14:J14"/>
    <mergeCell ref="L14:L15"/>
    <mergeCell ref="D14:D15"/>
    <mergeCell ref="D176:D177"/>
    <mergeCell ref="D194:D195"/>
    <mergeCell ref="A1:L1"/>
    <mergeCell ref="A2:L2"/>
    <mergeCell ref="D86:D87"/>
    <mergeCell ref="D104:D105"/>
    <mergeCell ref="D122:D123"/>
    <mergeCell ref="D140:D141"/>
    <mergeCell ref="D158:D159"/>
    <mergeCell ref="D5:D6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3"/>
  <rowBreaks count="1" manualBreakCount="1"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6"/>
  <sheetViews>
    <sheetView zoomScale="90" zoomScaleNormal="90" zoomScalePageLayoutView="0" workbookViewId="0" topLeftCell="B9">
      <selection activeCell="B35" sqref="B35"/>
    </sheetView>
  </sheetViews>
  <sheetFormatPr defaultColWidth="13.57421875" defaultRowHeight="15"/>
  <cols>
    <col min="1" max="1" width="34.421875" style="30" customWidth="1"/>
    <col min="2" max="2" width="12.7109375" style="30" bestFit="1" customWidth="1"/>
    <col min="3" max="4" width="11.140625" style="30" bestFit="1" customWidth="1"/>
    <col min="5" max="5" width="11.7109375" style="30" bestFit="1" customWidth="1"/>
    <col min="6" max="6" width="11.140625" style="30" bestFit="1" customWidth="1"/>
    <col min="7" max="7" width="11.7109375" style="30" bestFit="1" customWidth="1"/>
    <col min="8" max="25" width="11.140625" style="30" bestFit="1" customWidth="1"/>
    <col min="26" max="26" width="9.8515625" style="30" bestFit="1" customWidth="1"/>
    <col min="27" max="27" width="11.140625" style="30" bestFit="1" customWidth="1"/>
    <col min="28" max="253" width="9.140625" style="30" customWidth="1"/>
    <col min="254" max="254" width="21.28125" style="30" customWidth="1"/>
    <col min="255" max="16384" width="13.57421875" style="30" customWidth="1"/>
  </cols>
  <sheetData>
    <row r="1" spans="1:14" ht="21">
      <c r="A1" s="25" t="s">
        <v>63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4.2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4.25">
      <c r="A3" s="2" t="s">
        <v>39</v>
      </c>
      <c r="B3" s="34" t="s">
        <v>64</v>
      </c>
      <c r="C3"/>
      <c r="D3"/>
      <c r="E3"/>
      <c r="F3"/>
      <c r="G3"/>
      <c r="H3"/>
      <c r="I3"/>
      <c r="J3"/>
      <c r="K3"/>
      <c r="L3"/>
      <c r="M3"/>
      <c r="N3"/>
    </row>
    <row r="4" spans="1:14" ht="14.25">
      <c r="A4" s="2" t="s">
        <v>67</v>
      </c>
      <c r="B4" s="34" t="s">
        <v>92</v>
      </c>
      <c r="C4"/>
      <c r="D4"/>
      <c r="E4"/>
      <c r="F4"/>
      <c r="G4"/>
      <c r="H4"/>
      <c r="I4"/>
      <c r="J4"/>
      <c r="K4"/>
      <c r="L4"/>
      <c r="M4"/>
      <c r="N4"/>
    </row>
    <row r="5" spans="1:14" ht="14.2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4.25">
      <c r="A6" s="2"/>
      <c r="B6" s="67" t="s">
        <v>41</v>
      </c>
      <c r="C6" s="67"/>
      <c r="D6" s="67" t="s">
        <v>65</v>
      </c>
      <c r="E6" s="67"/>
      <c r="F6" s="67" t="s">
        <v>66</v>
      </c>
      <c r="G6" s="67"/>
      <c r="H6"/>
      <c r="I6"/>
      <c r="J6"/>
      <c r="K6"/>
      <c r="L6"/>
      <c r="M6"/>
      <c r="N6"/>
    </row>
    <row r="7" spans="1:14" ht="14.25">
      <c r="A7" s="2" t="s">
        <v>40</v>
      </c>
      <c r="B7" s="23" t="s">
        <v>42</v>
      </c>
      <c r="C7" s="23" t="s">
        <v>43</v>
      </c>
      <c r="D7" s="23" t="s">
        <v>42</v>
      </c>
      <c r="E7" s="23" t="s">
        <v>43</v>
      </c>
      <c r="F7" s="23" t="s">
        <v>42</v>
      </c>
      <c r="G7" s="23" t="s">
        <v>43</v>
      </c>
      <c r="H7"/>
      <c r="I7"/>
      <c r="J7"/>
      <c r="K7"/>
      <c r="L7"/>
      <c r="M7"/>
      <c r="N7"/>
    </row>
    <row r="8" spans="1:14" ht="14.25">
      <c r="A8" t="s">
        <v>45</v>
      </c>
      <c r="B8" s="8">
        <f>'[1]16. Final 2002 Rate Schedule '!$F$19</f>
        <v>15.988883309645427</v>
      </c>
      <c r="C8" s="24">
        <f>'[1]16. Final 2002 Rate Schedule '!$F$20</f>
        <v>0.01028268530402781</v>
      </c>
      <c r="D8" s="24">
        <f>'[1]6. 2001PILs DefAcct Adder Calc'!$C$58</f>
        <v>0.3981363086479219</v>
      </c>
      <c r="E8" s="54">
        <f>'[1]6. 2001PILs DefAcct Adder Calc'!$B$54</f>
        <v>0.0002567910896456893</v>
      </c>
      <c r="F8" s="24">
        <f>'[1]8. 2002PILs Proxy Adder Calc'!$C$58</f>
        <v>1.8434613362584427</v>
      </c>
      <c r="G8" s="54">
        <f>'[1]8. 2002PILs Proxy Adder Calc'!$B$54</f>
        <v>0.0011890009400678029</v>
      </c>
      <c r="H8"/>
      <c r="I8"/>
      <c r="J8"/>
      <c r="K8"/>
      <c r="L8"/>
      <c r="M8"/>
      <c r="N8"/>
    </row>
    <row r="9" spans="1:14" ht="14.25">
      <c r="A9" t="s">
        <v>46</v>
      </c>
      <c r="B9" s="8">
        <f>'[1]16. Final 2002 Rate Schedule '!$F$37</f>
        <v>24.369620351215325</v>
      </c>
      <c r="C9" s="24">
        <f>'[1]16. Final 2002 Rate Schedule '!$F$38</f>
        <v>0.008052112947449275</v>
      </c>
      <c r="D9" s="24">
        <f>'[1]6. 2001PILs DefAcct Adder Calc'!$C$82</f>
        <v>0.6066801095415214</v>
      </c>
      <c r="E9" s="54">
        <f>'[1]6. 2001PILs DefAcct Adder Calc'!$B$78</f>
        <v>0.0002006372112475747</v>
      </c>
      <c r="F9" s="24">
        <f>'[1]8. 2002PILs Proxy Adder Calc'!$C$82</f>
        <v>2.809066395413442</v>
      </c>
      <c r="G9" s="54">
        <f>'[1]8. 2002PILs Proxy Adder Calc'!$B$78</f>
        <v>0.0009289957572714138</v>
      </c>
      <c r="H9"/>
      <c r="I9"/>
      <c r="J9"/>
      <c r="K9"/>
      <c r="L9"/>
      <c r="M9"/>
      <c r="N9"/>
    </row>
    <row r="10" spans="1:14" ht="14.25">
      <c r="A10" t="s">
        <v>47</v>
      </c>
      <c r="B10" s="8">
        <f>'[1]16. Final 2002 Rate Schedule '!$F$57</f>
        <v>163.45810362985117</v>
      </c>
      <c r="C10" s="24">
        <f>'[1]16. Final 2002 Rate Schedule '!$F$58</f>
        <v>2.8726121729370715</v>
      </c>
      <c r="D10" s="24">
        <f>'[1]6. 2001PILs DefAcct Adder Calc'!$C$106</f>
        <v>4.066099154466812</v>
      </c>
      <c r="E10" s="55">
        <f>'[1]6. 2001PILs DefAcct Adder Calc'!$B$102</f>
        <v>0.07156628176177782</v>
      </c>
      <c r="F10" s="24">
        <f>'[1]8. 2002PILs Proxy Adder Calc'!$C$106</f>
        <v>18.8269605605885</v>
      </c>
      <c r="G10" s="54">
        <f>'[1]8. 2002PILs Proxy Adder Calc'!$B$102</f>
        <v>0.3313681031897109</v>
      </c>
      <c r="H10"/>
      <c r="I10"/>
      <c r="J10"/>
      <c r="K10"/>
      <c r="L10"/>
      <c r="M10"/>
      <c r="N10"/>
    </row>
    <row r="11" spans="1:14" ht="14.25">
      <c r="A11" t="s">
        <v>48</v>
      </c>
      <c r="B11" s="8">
        <f>'[1]16. Final 2002 Rate Schedule '!$F$113</f>
        <v>1.6303831369578434</v>
      </c>
      <c r="C11" s="24">
        <f>'[1]16. Final 2002 Rate Schedule '!$F$114</f>
        <v>5.179593341047184</v>
      </c>
      <c r="D11" s="24">
        <f>'[1]6. 2001PILs DefAcct Adder Calc'!$C$205</f>
        <v>0.040805277371045334</v>
      </c>
      <c r="E11" s="54">
        <f>'[1]6. 2001PILs DefAcct Adder Calc'!$B$201</f>
        <v>0.12901040395081928</v>
      </c>
      <c r="F11" s="24">
        <f>'[1]8. 2002PILs Proxy Adder Calc'!$C$205</f>
        <v>0.18893768168063382</v>
      </c>
      <c r="G11" s="55">
        <f>'[1]8. 2002PILs Proxy Adder Calc'!$B$201</f>
        <v>0.5973474071382217</v>
      </c>
      <c r="H11"/>
      <c r="I11"/>
      <c r="J11"/>
      <c r="K11"/>
      <c r="L11"/>
      <c r="M11"/>
      <c r="N11"/>
    </row>
    <row r="12" spans="1:14" ht="14.25">
      <c r="A12" t="s">
        <v>49</v>
      </c>
      <c r="B12" s="8">
        <f>'[1]16. Final 2002 Rate Schedule '!$F$128</f>
        <v>0.39244550319983224</v>
      </c>
      <c r="C12" s="24">
        <f>'[1]16. Final 2002 Rate Schedule '!$F$129</f>
        <v>3.3674586967886166</v>
      </c>
      <c r="D12" s="24">
        <f>'[1]6. 2001PILs DefAcct Adder Calc'!$C$230</f>
        <v>0.009768549482620757</v>
      </c>
      <c r="E12" s="54">
        <f>'[1]6. 2001PILs DefAcct Adder Calc'!$B$226</f>
        <v>0.08387441862257275</v>
      </c>
      <c r="F12" s="24">
        <f>'[1]8. 2002PILs Proxy Adder Calc'!$C$230</f>
        <v>0.045230597891697165</v>
      </c>
      <c r="G12" s="54">
        <f>'[1]8. 2002PILs Proxy Adder Calc'!$B$226</f>
        <v>0.38835756617364986</v>
      </c>
      <c r="H12"/>
      <c r="I12"/>
      <c r="J12"/>
      <c r="K12"/>
      <c r="L12"/>
      <c r="M12"/>
      <c r="N12"/>
    </row>
    <row r="13" spans="1:14" ht="14.25">
      <c r="A13" t="s">
        <v>50</v>
      </c>
      <c r="B13" s="8">
        <f>'[2]16. Final 2002 Rate Schedule '!$F$37</f>
        <v>8.595475785714285</v>
      </c>
      <c r="C13" s="24">
        <f>'[2]16. Final 2002 Rate Schedule '!$F$38</f>
        <v>0.0440316318093182</v>
      </c>
      <c r="D13" s="24">
        <f>'[2]6. 2001PILs DefAcct Adder Calc'!$C$82</f>
        <v>0.22800000000000006</v>
      </c>
      <c r="E13" s="54">
        <f>'[2]6. 2001PILs DefAcct Adder Calc'!$B$78</f>
        <v>0.0011670729159412214</v>
      </c>
      <c r="F13" s="24">
        <f>'[2]8. 2002PILs Proxy Adder Calc'!$C$82</f>
        <v>1.0557142857142858</v>
      </c>
      <c r="G13" s="54">
        <f>'[2]8. 2002PILs Proxy Adder Calc'!$B$78</f>
        <v>0.005403927850128838</v>
      </c>
      <c r="H13"/>
      <c r="I13"/>
      <c r="J13"/>
      <c r="K13"/>
      <c r="L13"/>
      <c r="M13"/>
      <c r="N13"/>
    </row>
    <row r="14" spans="1:14" ht="14.2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21">
      <c r="A15" s="25" t="s">
        <v>62</v>
      </c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26" ht="18">
      <c r="A16"/>
      <c r="B16" s="66">
        <v>2002</v>
      </c>
      <c r="C16" s="66"/>
      <c r="D16" s="66"/>
      <c r="E16" s="66"/>
      <c r="F16" s="66"/>
      <c r="G16" s="66"/>
      <c r="H16" s="66"/>
      <c r="I16" s="66"/>
      <c r="J16" s="66"/>
      <c r="K16" s="66"/>
      <c r="L16" s="68">
        <v>2003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>
        <v>2004</v>
      </c>
      <c r="Y16" s="69"/>
      <c r="Z16" s="69"/>
    </row>
    <row r="17" spans="1:27" s="32" customFormat="1" ht="14.25">
      <c r="A17" s="23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1" t="s">
        <v>58</v>
      </c>
      <c r="O17" s="1" t="s">
        <v>16</v>
      </c>
      <c r="P17" s="1" t="s">
        <v>17</v>
      </c>
      <c r="Q17" s="1" t="s">
        <v>18</v>
      </c>
      <c r="R17" s="1" t="s">
        <v>19</v>
      </c>
      <c r="S17" s="1" t="s">
        <v>51</v>
      </c>
      <c r="T17" s="1" t="s">
        <v>52</v>
      </c>
      <c r="U17" s="1" t="s">
        <v>53</v>
      </c>
      <c r="V17" s="1" t="s">
        <v>54</v>
      </c>
      <c r="W17" s="1" t="s">
        <v>55</v>
      </c>
      <c r="X17" s="1" t="s">
        <v>56</v>
      </c>
      <c r="Y17" s="1" t="s">
        <v>57</v>
      </c>
      <c r="Z17" s="32" t="s">
        <v>106</v>
      </c>
      <c r="AA17" s="57"/>
    </row>
    <row r="18" spans="1:27" ht="14.25">
      <c r="A18" t="str">
        <f t="shared" si="0"/>
        <v>Residential</v>
      </c>
      <c r="B18" s="26">
        <v>2516</v>
      </c>
      <c r="C18" s="26">
        <v>2520</v>
      </c>
      <c r="D18" s="26">
        <v>2558</v>
      </c>
      <c r="E18" s="26">
        <v>2557</v>
      </c>
      <c r="F18" s="26">
        <v>2554</v>
      </c>
      <c r="G18" s="26">
        <v>2560</v>
      </c>
      <c r="H18" s="26">
        <v>2557</v>
      </c>
      <c r="I18" s="26">
        <v>2547</v>
      </c>
      <c r="J18" s="26">
        <v>2572</v>
      </c>
      <c r="K18" s="26">
        <v>2576</v>
      </c>
      <c r="L18" s="26">
        <v>2566</v>
      </c>
      <c r="M18" s="26">
        <v>2571</v>
      </c>
      <c r="N18" s="26">
        <v>2553</v>
      </c>
      <c r="O18" s="26">
        <v>2576</v>
      </c>
      <c r="P18" s="26">
        <v>2565</v>
      </c>
      <c r="Q18" s="26">
        <v>2587</v>
      </c>
      <c r="R18" s="26">
        <v>2560</v>
      </c>
      <c r="S18" s="26">
        <v>2568</v>
      </c>
      <c r="T18" s="26">
        <v>2574</v>
      </c>
      <c r="U18" s="26">
        <v>2587</v>
      </c>
      <c r="V18" s="26">
        <v>2563</v>
      </c>
      <c r="W18" s="26">
        <v>2581</v>
      </c>
      <c r="X18" s="26">
        <v>2566</v>
      </c>
      <c r="Y18" s="26">
        <v>2558</v>
      </c>
      <c r="Z18" s="59">
        <v>2563</v>
      </c>
      <c r="AA18" s="57"/>
    </row>
    <row r="19" spans="1:27" ht="14.25">
      <c r="A19" t="str">
        <f t="shared" si="0"/>
        <v>General Service &lt; 50 kW</v>
      </c>
      <c r="B19" s="26">
        <v>555</v>
      </c>
      <c r="C19" s="26">
        <v>572</v>
      </c>
      <c r="D19" s="26">
        <v>505</v>
      </c>
      <c r="E19" s="26">
        <v>508</v>
      </c>
      <c r="F19" s="26">
        <v>516</v>
      </c>
      <c r="G19" s="26">
        <v>504</v>
      </c>
      <c r="H19" s="26">
        <v>509</v>
      </c>
      <c r="I19" s="26">
        <v>502</v>
      </c>
      <c r="J19" s="26">
        <v>495</v>
      </c>
      <c r="K19" s="26">
        <v>486</v>
      </c>
      <c r="L19" s="26">
        <v>488</v>
      </c>
      <c r="M19" s="26">
        <v>490</v>
      </c>
      <c r="N19" s="26">
        <v>492</v>
      </c>
      <c r="O19" s="26">
        <v>493</v>
      </c>
      <c r="P19" s="26">
        <v>495</v>
      </c>
      <c r="Q19" s="26">
        <v>502</v>
      </c>
      <c r="R19" s="26">
        <v>499</v>
      </c>
      <c r="S19" s="26">
        <v>498</v>
      </c>
      <c r="T19" s="26">
        <v>502</v>
      </c>
      <c r="U19" s="26">
        <v>503</v>
      </c>
      <c r="V19" s="26">
        <v>493</v>
      </c>
      <c r="W19" s="26">
        <v>499</v>
      </c>
      <c r="X19" s="26">
        <v>493</v>
      </c>
      <c r="Y19" s="26">
        <v>491</v>
      </c>
      <c r="Z19" s="59">
        <v>493</v>
      </c>
      <c r="AA19" s="57"/>
    </row>
    <row r="20" spans="1:27" ht="14.25">
      <c r="A20" t="str">
        <f t="shared" si="0"/>
        <v>General Service &gt; 50 kW</v>
      </c>
      <c r="B20" s="26">
        <v>3</v>
      </c>
      <c r="C20" s="26">
        <v>55</v>
      </c>
      <c r="D20" s="26">
        <v>58</v>
      </c>
      <c r="E20" s="26">
        <v>58</v>
      </c>
      <c r="F20" s="26">
        <v>6</v>
      </c>
      <c r="G20" s="26">
        <v>3</v>
      </c>
      <c r="H20" s="26">
        <v>3</v>
      </c>
      <c r="I20" s="26">
        <v>58</v>
      </c>
      <c r="J20" s="26">
        <v>98</v>
      </c>
      <c r="K20" s="26">
        <v>58</v>
      </c>
      <c r="L20" s="26">
        <v>58</v>
      </c>
      <c r="M20" s="26">
        <v>59</v>
      </c>
      <c r="N20" s="26">
        <v>75</v>
      </c>
      <c r="O20" s="26">
        <v>60</v>
      </c>
      <c r="P20" s="26">
        <v>59</v>
      </c>
      <c r="Q20" s="26">
        <v>60</v>
      </c>
      <c r="R20" s="26">
        <v>59</v>
      </c>
      <c r="S20" s="26">
        <v>59</v>
      </c>
      <c r="T20" s="26">
        <v>59</v>
      </c>
      <c r="U20" s="26">
        <v>58</v>
      </c>
      <c r="V20" s="26">
        <v>59</v>
      </c>
      <c r="W20" s="26">
        <v>59</v>
      </c>
      <c r="X20" s="26">
        <v>58</v>
      </c>
      <c r="Y20" s="26">
        <v>58</v>
      </c>
      <c r="Z20" s="59">
        <v>59</v>
      </c>
      <c r="AA20" s="57"/>
    </row>
    <row r="21" spans="1:27" ht="14.25">
      <c r="A21" t="str">
        <f t="shared" si="0"/>
        <v>Sentinel Lights</v>
      </c>
      <c r="B21" s="26">
        <v>12</v>
      </c>
      <c r="C21" s="26">
        <v>12</v>
      </c>
      <c r="D21" s="26">
        <v>12</v>
      </c>
      <c r="E21" s="26">
        <v>13</v>
      </c>
      <c r="F21" s="26">
        <v>13</v>
      </c>
      <c r="G21" s="26">
        <v>13</v>
      </c>
      <c r="H21" s="26">
        <v>13</v>
      </c>
      <c r="I21" s="26">
        <v>13</v>
      </c>
      <c r="J21" s="26">
        <v>13</v>
      </c>
      <c r="K21" s="26">
        <v>13</v>
      </c>
      <c r="L21" s="26">
        <v>13</v>
      </c>
      <c r="M21" s="26">
        <v>13</v>
      </c>
      <c r="N21" s="26">
        <v>13</v>
      </c>
      <c r="O21" s="26">
        <v>13</v>
      </c>
      <c r="P21" s="26">
        <v>13</v>
      </c>
      <c r="Q21" s="26">
        <v>13</v>
      </c>
      <c r="R21" s="26">
        <v>13</v>
      </c>
      <c r="S21" s="26">
        <v>13</v>
      </c>
      <c r="T21" s="26">
        <v>13</v>
      </c>
      <c r="U21" s="26">
        <v>13</v>
      </c>
      <c r="V21" s="26">
        <v>13</v>
      </c>
      <c r="W21" s="26">
        <v>13</v>
      </c>
      <c r="X21" s="26">
        <v>11</v>
      </c>
      <c r="Y21" s="26">
        <v>10</v>
      </c>
      <c r="Z21" s="59">
        <v>10</v>
      </c>
      <c r="AA21" s="57"/>
    </row>
    <row r="22" spans="1:27" ht="14.25">
      <c r="A22" t="str">
        <f t="shared" si="0"/>
        <v>Street Lights</v>
      </c>
      <c r="B22" s="26">
        <v>1004</v>
      </c>
      <c r="C22" s="26">
        <v>1004</v>
      </c>
      <c r="D22" s="26">
        <v>1004</v>
      </c>
      <c r="E22" s="26">
        <v>1004</v>
      </c>
      <c r="F22" s="26">
        <v>1004</v>
      </c>
      <c r="G22" s="26">
        <v>1004</v>
      </c>
      <c r="H22" s="26">
        <v>1004</v>
      </c>
      <c r="I22" s="26">
        <v>1004</v>
      </c>
      <c r="J22" s="26">
        <v>1004</v>
      </c>
      <c r="K22" s="26">
        <v>1004</v>
      </c>
      <c r="L22" s="26">
        <v>1004</v>
      </c>
      <c r="M22" s="26">
        <v>1004</v>
      </c>
      <c r="N22" s="26">
        <v>1004</v>
      </c>
      <c r="O22" s="26">
        <v>1004</v>
      </c>
      <c r="P22" s="26">
        <v>1004</v>
      </c>
      <c r="Q22" s="26">
        <v>1004</v>
      </c>
      <c r="R22" s="26">
        <v>1004</v>
      </c>
      <c r="S22" s="26">
        <v>1004</v>
      </c>
      <c r="T22" s="26">
        <v>1004</v>
      </c>
      <c r="U22" s="26">
        <v>1004</v>
      </c>
      <c r="V22" s="26">
        <v>1004</v>
      </c>
      <c r="W22" s="26">
        <v>1004</v>
      </c>
      <c r="X22" s="26">
        <v>1004</v>
      </c>
      <c r="Y22" s="26">
        <v>1004</v>
      </c>
      <c r="Z22" s="59">
        <v>1004</v>
      </c>
      <c r="AA22" s="57"/>
    </row>
    <row r="23" spans="1:27" ht="14.25">
      <c r="A23" t="str">
        <f t="shared" si="0"/>
        <v>Unmetered Loads</v>
      </c>
      <c r="B23" s="26">
        <v>18</v>
      </c>
      <c r="C23" s="26">
        <v>18</v>
      </c>
      <c r="D23" s="26">
        <v>18</v>
      </c>
      <c r="E23" s="26">
        <v>18</v>
      </c>
      <c r="F23" s="26">
        <v>18</v>
      </c>
      <c r="G23" s="26">
        <v>18</v>
      </c>
      <c r="H23" s="26">
        <v>18</v>
      </c>
      <c r="I23" s="26">
        <v>18</v>
      </c>
      <c r="J23" s="26">
        <v>18</v>
      </c>
      <c r="K23" s="26">
        <v>18</v>
      </c>
      <c r="L23" s="35">
        <v>17</v>
      </c>
      <c r="M23" s="35">
        <v>17</v>
      </c>
      <c r="N23" s="35">
        <v>17</v>
      </c>
      <c r="O23" s="30">
        <v>17</v>
      </c>
      <c r="P23" s="30">
        <v>17</v>
      </c>
      <c r="Q23" s="30">
        <v>17</v>
      </c>
      <c r="R23" s="30">
        <v>17</v>
      </c>
      <c r="S23" s="30">
        <v>17</v>
      </c>
      <c r="T23" s="30">
        <v>17</v>
      </c>
      <c r="U23" s="30">
        <v>17</v>
      </c>
      <c r="V23" s="30">
        <v>17</v>
      </c>
      <c r="W23" s="30">
        <v>17</v>
      </c>
      <c r="X23" s="59">
        <v>17</v>
      </c>
      <c r="Y23" s="59">
        <v>18</v>
      </c>
      <c r="Z23" s="59">
        <v>18</v>
      </c>
      <c r="AA23" s="56"/>
    </row>
    <row r="24" spans="1:14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21">
      <c r="A26" s="25" t="s">
        <v>68</v>
      </c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26" s="32" customFormat="1" ht="18">
      <c r="A27" s="1"/>
      <c r="B27" s="66">
        <f>B16</f>
        <v>2002</v>
      </c>
      <c r="C27" s="66"/>
      <c r="D27" s="66"/>
      <c r="E27" s="66"/>
      <c r="F27" s="66"/>
      <c r="G27" s="66"/>
      <c r="H27" s="66"/>
      <c r="I27" s="66"/>
      <c r="J27" s="66"/>
      <c r="K27" s="66"/>
      <c r="L27" s="68">
        <f>L16</f>
        <v>2003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>
        <v>2004</v>
      </c>
      <c r="Y27" s="69"/>
      <c r="Z27" s="69"/>
    </row>
    <row r="28" spans="1:26" s="32" customFormat="1" ht="14.25">
      <c r="A28" s="23" t="str">
        <f>A7</f>
        <v>Rate Class</v>
      </c>
      <c r="B28" s="1" t="s">
        <v>9</v>
      </c>
      <c r="C28" s="1" t="s">
        <v>16</v>
      </c>
      <c r="D28" s="1" t="s">
        <v>17</v>
      </c>
      <c r="E28" s="1" t="s">
        <v>18</v>
      </c>
      <c r="F28" s="1" t="s">
        <v>19</v>
      </c>
      <c r="G28" s="1" t="s">
        <v>51</v>
      </c>
      <c r="H28" s="1" t="s">
        <v>52</v>
      </c>
      <c r="I28" s="1" t="s">
        <v>53</v>
      </c>
      <c r="J28" s="1" t="s">
        <v>54</v>
      </c>
      <c r="K28" s="1" t="s">
        <v>55</v>
      </c>
      <c r="L28" s="1" t="s">
        <v>56</v>
      </c>
      <c r="M28" s="1" t="s">
        <v>57</v>
      </c>
      <c r="N28" s="1" t="s">
        <v>58</v>
      </c>
      <c r="O28" s="1" t="s">
        <v>16</v>
      </c>
      <c r="P28" s="1" t="s">
        <v>17</v>
      </c>
      <c r="Q28" s="1" t="s">
        <v>18</v>
      </c>
      <c r="R28" s="1" t="s">
        <v>19</v>
      </c>
      <c r="S28" s="1" t="s">
        <v>51</v>
      </c>
      <c r="T28" s="1" t="s">
        <v>52</v>
      </c>
      <c r="U28" s="1" t="s">
        <v>53</v>
      </c>
      <c r="V28" s="1" t="s">
        <v>54</v>
      </c>
      <c r="W28" s="1" t="s">
        <v>55</v>
      </c>
      <c r="X28" s="1" t="s">
        <v>56</v>
      </c>
      <c r="Y28" s="1" t="s">
        <v>57</v>
      </c>
      <c r="Z28" s="32" t="s">
        <v>106</v>
      </c>
    </row>
    <row r="29" spans="1:26" ht="14.25">
      <c r="A29" t="str">
        <f aca="true" t="shared" si="1" ref="A29:A34">A18</f>
        <v>Residential</v>
      </c>
      <c r="B29" s="26">
        <v>3207584.26223314</v>
      </c>
      <c r="C29" s="26">
        <v>2875889.7317211456</v>
      </c>
      <c r="D29" s="26">
        <v>2451788.673720007</v>
      </c>
      <c r="E29" s="26">
        <v>1898201.501983757</v>
      </c>
      <c r="F29" s="26">
        <v>1854512.0914415237</v>
      </c>
      <c r="G29" s="26">
        <v>1818263.1305497813</v>
      </c>
      <c r="H29" s="26">
        <v>1795896.353674665</v>
      </c>
      <c r="I29" s="26">
        <v>2619447.4872473045</v>
      </c>
      <c r="J29" s="26">
        <v>3383246.740978651</v>
      </c>
      <c r="K29" s="26">
        <v>4282531.513319478</v>
      </c>
      <c r="L29" s="26">
        <v>5069963.24390705</v>
      </c>
      <c r="M29" s="26">
        <v>4595294.33213679</v>
      </c>
      <c r="N29" s="26">
        <v>4143153.3912714957</v>
      </c>
      <c r="O29" s="26">
        <v>3086329.661817488</v>
      </c>
      <c r="P29" s="26">
        <v>2238905.667863218</v>
      </c>
      <c r="Q29" s="26">
        <v>1818254.8932552424</v>
      </c>
      <c r="R29" s="26">
        <v>1817798.0445871917</v>
      </c>
      <c r="S29" s="26">
        <v>1777645.2956735322</v>
      </c>
      <c r="T29" s="26">
        <v>1841337.8424334058</v>
      </c>
      <c r="U29" s="26">
        <v>2637782.0989986747</v>
      </c>
      <c r="V29" s="26">
        <v>3297857.2265255963</v>
      </c>
      <c r="W29" s="26">
        <v>4250348.8475344675</v>
      </c>
      <c r="X29" s="26">
        <v>5240549.112034761</v>
      </c>
      <c r="Y29" s="26">
        <v>4355748.252408838</v>
      </c>
      <c r="Z29" s="59">
        <v>3749686.689967884</v>
      </c>
    </row>
    <row r="30" spans="1:26" ht="14.25">
      <c r="A30" t="str">
        <f t="shared" si="1"/>
        <v>General Service &lt; 50 kW</v>
      </c>
      <c r="B30" s="26">
        <v>3618541.970527109</v>
      </c>
      <c r="C30" s="26">
        <v>2269492.3672775375</v>
      </c>
      <c r="D30" s="26">
        <v>1207759.701492537</v>
      </c>
      <c r="E30" s="26">
        <v>1182105.0538447006</v>
      </c>
      <c r="F30" s="26">
        <v>1294071.1127904784</v>
      </c>
      <c r="G30" s="26">
        <v>1282572.5580955981</v>
      </c>
      <c r="H30" s="26">
        <v>1154030.0585679205</v>
      </c>
      <c r="I30" s="26">
        <v>1256878.6982807477</v>
      </c>
      <c r="J30" s="26">
        <v>1421251.9270734948</v>
      </c>
      <c r="K30" s="26">
        <v>1675544.2754581517</v>
      </c>
      <c r="L30" s="26">
        <v>1948419.884753448</v>
      </c>
      <c r="M30" s="26">
        <v>1801388.380880409</v>
      </c>
      <c r="N30" s="26">
        <v>1686115.2843378044</v>
      </c>
      <c r="O30" s="26">
        <v>1318611.741923295</v>
      </c>
      <c r="P30" s="26">
        <v>1150528.4526733404</v>
      </c>
      <c r="Q30" s="26">
        <v>1145778.934441715</v>
      </c>
      <c r="R30" s="26">
        <v>1239591.7910447763</v>
      </c>
      <c r="S30" s="26">
        <v>1190723.9372756477</v>
      </c>
      <c r="T30" s="26">
        <v>1077675.0991876067</v>
      </c>
      <c r="U30" s="26">
        <v>1252195.4373701117</v>
      </c>
      <c r="V30" s="26">
        <v>1398586.1515208764</v>
      </c>
      <c r="W30" s="26">
        <v>1683426.5539391637</v>
      </c>
      <c r="X30" s="26">
        <v>1997912.4976383885</v>
      </c>
      <c r="Y30" s="26">
        <v>1739100.0472321927</v>
      </c>
      <c r="Z30" s="59">
        <v>1562421.68902324</v>
      </c>
    </row>
    <row r="31" spans="1:26" ht="14.25">
      <c r="A31" t="str">
        <f t="shared" si="1"/>
        <v>General Service &gt; 50 kW</v>
      </c>
      <c r="B31" s="26">
        <v>849.01</v>
      </c>
      <c r="C31" s="26">
        <v>3650.36</v>
      </c>
      <c r="D31" s="26">
        <v>5694.35</v>
      </c>
      <c r="E31" s="26">
        <v>5206.55</v>
      </c>
      <c r="F31" s="26">
        <v>1274.46</v>
      </c>
      <c r="G31" s="26">
        <v>455.07</v>
      </c>
      <c r="H31" s="26">
        <v>448.1</v>
      </c>
      <c r="I31" s="26">
        <v>5805.45</v>
      </c>
      <c r="J31" s="26">
        <v>6607</v>
      </c>
      <c r="K31" s="26">
        <v>7672.64</v>
      </c>
      <c r="L31" s="26">
        <v>3373.03</v>
      </c>
      <c r="M31" s="26">
        <v>3317.28</v>
      </c>
      <c r="N31" s="26">
        <v>4121.22</v>
      </c>
      <c r="O31" s="26">
        <v>4127.15</v>
      </c>
      <c r="P31" s="26">
        <v>3968.85</v>
      </c>
      <c r="Q31" s="26">
        <v>3854.82</v>
      </c>
      <c r="R31" s="26">
        <v>3770.41</v>
      </c>
      <c r="S31" s="26">
        <v>3969.35</v>
      </c>
      <c r="T31" s="26">
        <v>3953.68</v>
      </c>
      <c r="U31" s="26">
        <v>4145.03</v>
      </c>
      <c r="V31" s="26">
        <v>4747.01</v>
      </c>
      <c r="W31" s="26">
        <v>4861.85</v>
      </c>
      <c r="X31" s="26">
        <v>7869.34</v>
      </c>
      <c r="Y31" s="26">
        <v>7556.58</v>
      </c>
      <c r="Z31" s="59">
        <v>7185.65</v>
      </c>
    </row>
    <row r="32" spans="1:26" ht="14.25">
      <c r="A32" t="str">
        <f t="shared" si="1"/>
        <v>Sentinel Lights</v>
      </c>
      <c r="B32" s="26">
        <v>3.4</v>
      </c>
      <c r="C32" s="26">
        <v>3.4</v>
      </c>
      <c r="D32" s="26">
        <v>3.4</v>
      </c>
      <c r="E32" s="26">
        <v>3.4</v>
      </c>
      <c r="F32" s="26">
        <v>3.4</v>
      </c>
      <c r="G32" s="26">
        <v>3.4</v>
      </c>
      <c r="H32" s="26">
        <v>3.4</v>
      </c>
      <c r="I32" s="26">
        <v>3.4</v>
      </c>
      <c r="J32" s="26">
        <v>3.4</v>
      </c>
      <c r="K32" s="26">
        <v>3.4</v>
      </c>
      <c r="L32" s="26">
        <v>3.4</v>
      </c>
      <c r="M32" s="26">
        <v>3.4</v>
      </c>
      <c r="N32" s="26">
        <v>3.4</v>
      </c>
      <c r="O32" s="26">
        <v>3.4</v>
      </c>
      <c r="P32" s="26">
        <v>3.4</v>
      </c>
      <c r="Q32" s="26">
        <v>3.4</v>
      </c>
      <c r="R32" s="26">
        <v>3.4</v>
      </c>
      <c r="S32" s="26">
        <v>3.4</v>
      </c>
      <c r="T32" s="26">
        <v>3.4</v>
      </c>
      <c r="U32" s="26">
        <v>3.4</v>
      </c>
      <c r="V32" s="26">
        <v>3.4</v>
      </c>
      <c r="W32" s="26">
        <v>3.4</v>
      </c>
      <c r="X32" s="26">
        <v>3.4</v>
      </c>
      <c r="Y32" s="26">
        <v>3.4</v>
      </c>
      <c r="Z32" s="59">
        <v>3.4</v>
      </c>
    </row>
    <row r="33" spans="1:26" ht="14.25">
      <c r="A33" t="str">
        <f t="shared" si="1"/>
        <v>Street Lights</v>
      </c>
      <c r="B33" s="26">
        <v>174</v>
      </c>
      <c r="C33" s="26">
        <v>174</v>
      </c>
      <c r="D33" s="26">
        <v>173.94</v>
      </c>
      <c r="E33" s="26">
        <v>208.41</v>
      </c>
      <c r="F33" s="26">
        <v>239.18</v>
      </c>
      <c r="G33" s="26">
        <v>160.56</v>
      </c>
      <c r="H33" s="26">
        <v>188.8</v>
      </c>
      <c r="I33" s="26">
        <v>202</v>
      </c>
      <c r="J33" s="26">
        <v>212.24</v>
      </c>
      <c r="K33" s="26">
        <v>223.64</v>
      </c>
      <c r="L33" s="26">
        <v>175.55</v>
      </c>
      <c r="M33" s="26">
        <v>192.38</v>
      </c>
      <c r="N33" s="26">
        <v>223.64</v>
      </c>
      <c r="O33" s="26">
        <v>192.08</v>
      </c>
      <c r="P33" s="26">
        <v>200.98</v>
      </c>
      <c r="Q33" s="26">
        <v>195.48</v>
      </c>
      <c r="R33" s="26">
        <v>207.43</v>
      </c>
      <c r="S33" s="26">
        <v>208.73</v>
      </c>
      <c r="T33" s="26">
        <v>196.35</v>
      </c>
      <c r="U33" s="26">
        <v>207.65</v>
      </c>
      <c r="V33" s="26">
        <v>235.45</v>
      </c>
      <c r="W33" s="26">
        <v>202</v>
      </c>
      <c r="X33" s="26">
        <v>202.45</v>
      </c>
      <c r="Y33" s="26">
        <v>201.55</v>
      </c>
      <c r="Z33" s="59">
        <v>202.22</v>
      </c>
    </row>
    <row r="34" spans="1:26" ht="14.25">
      <c r="A34" t="str">
        <f t="shared" si="1"/>
        <v>Unmetered Loads</v>
      </c>
      <c r="B34" s="26">
        <v>7268</v>
      </c>
      <c r="C34" s="26">
        <v>7267.995465709429</v>
      </c>
      <c r="D34" s="26">
        <v>9759.522010202152</v>
      </c>
      <c r="E34" s="26">
        <v>10494.946155299453</v>
      </c>
      <c r="F34" s="26">
        <v>11350.491214812013</v>
      </c>
      <c r="G34" s="26">
        <v>9323.096542603436</v>
      </c>
      <c r="H34" s="26">
        <v>10494.256565274893</v>
      </c>
      <c r="I34" s="26">
        <v>10000.217268089928</v>
      </c>
      <c r="J34" s="26">
        <v>10259.484224447384</v>
      </c>
      <c r="K34" s="26">
        <v>11126.18552805592</v>
      </c>
      <c r="L34" s="35">
        <v>9246.740978651047</v>
      </c>
      <c r="M34" s="35">
        <v>9580.80483657661</v>
      </c>
      <c r="N34" s="35">
        <v>10967.457018703946</v>
      </c>
      <c r="O34" s="59">
        <v>9996.202531645571</v>
      </c>
      <c r="P34" s="59">
        <v>10727.91422633667</v>
      </c>
      <c r="Q34" s="59">
        <v>10057.576043831476</v>
      </c>
      <c r="R34" s="59">
        <v>10242.679010013226</v>
      </c>
      <c r="S34" s="59">
        <v>10371.87795201209</v>
      </c>
      <c r="T34" s="59">
        <v>9449.06480256943</v>
      </c>
      <c r="U34" s="59">
        <v>10247.184961269604</v>
      </c>
      <c r="V34" s="59">
        <v>9997.440015114302</v>
      </c>
      <c r="W34" s="59">
        <v>9482.457963347817</v>
      </c>
      <c r="X34" s="59">
        <v>10428.78329869639</v>
      </c>
      <c r="Y34" s="59">
        <v>10176.71452862271</v>
      </c>
      <c r="Z34" s="59">
        <v>9729.17060268279</v>
      </c>
    </row>
    <row r="35" spans="1:14" ht="14.2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4.2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21">
      <c r="A37" s="25" t="s">
        <v>60</v>
      </c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26" ht="18">
      <c r="A39"/>
      <c r="B39" s="66">
        <f>B27</f>
        <v>2002</v>
      </c>
      <c r="C39" s="66"/>
      <c r="D39" s="66"/>
      <c r="E39" s="66"/>
      <c r="F39" s="66"/>
      <c r="G39" s="66"/>
      <c r="H39" s="66"/>
      <c r="I39" s="66"/>
      <c r="J39" s="66"/>
      <c r="K39" s="66"/>
      <c r="L39" s="68">
        <f>L27</f>
        <v>2003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9">
        <v>2004</v>
      </c>
      <c r="Y39" s="69"/>
      <c r="Z39" s="69"/>
    </row>
    <row r="40" spans="1:26" s="32" customFormat="1" ht="14.25">
      <c r="A40" s="23" t="str">
        <f aca="true" t="shared" si="2" ref="A40:A46">A28</f>
        <v>Rate Class</v>
      </c>
      <c r="B40" s="1" t="s">
        <v>9</v>
      </c>
      <c r="C40" s="1" t="s">
        <v>16</v>
      </c>
      <c r="D40" s="1" t="s">
        <v>17</v>
      </c>
      <c r="E40" s="1" t="s">
        <v>18</v>
      </c>
      <c r="F40" s="1" t="s">
        <v>19</v>
      </c>
      <c r="G40" s="1" t="s">
        <v>51</v>
      </c>
      <c r="H40" s="1" t="s">
        <v>52</v>
      </c>
      <c r="I40" s="1" t="s">
        <v>53</v>
      </c>
      <c r="J40" s="1" t="s">
        <v>54</v>
      </c>
      <c r="K40" s="1" t="s">
        <v>55</v>
      </c>
      <c r="L40" s="1" t="s">
        <v>56</v>
      </c>
      <c r="M40" s="1" t="s">
        <v>57</v>
      </c>
      <c r="N40" s="1" t="s">
        <v>58</v>
      </c>
      <c r="O40" s="1" t="s">
        <v>16</v>
      </c>
      <c r="P40" s="1" t="s">
        <v>17</v>
      </c>
      <c r="Q40" s="1" t="s">
        <v>18</v>
      </c>
      <c r="R40" s="1" t="s">
        <v>19</v>
      </c>
      <c r="S40" s="1" t="s">
        <v>51</v>
      </c>
      <c r="T40" s="1" t="s">
        <v>52</v>
      </c>
      <c r="U40" s="1" t="s">
        <v>53</v>
      </c>
      <c r="V40" s="1" t="s">
        <v>54</v>
      </c>
      <c r="W40" s="1" t="s">
        <v>55</v>
      </c>
      <c r="X40" s="1" t="s">
        <v>56</v>
      </c>
      <c r="Y40" s="1" t="s">
        <v>57</v>
      </c>
      <c r="Z40" s="32" t="s">
        <v>106</v>
      </c>
    </row>
    <row r="41" spans="1:26" ht="14.25">
      <c r="A41" s="27" t="str">
        <f t="shared" si="2"/>
        <v>Residential</v>
      </c>
      <c r="B41" s="26">
        <f aca="true" t="shared" si="3" ref="B41:B46">(B18*($D8+$F8)+B29*($E8+$G8))*0.5</f>
        <v>5138.679717777759</v>
      </c>
      <c r="C41" s="26">
        <f aca="true" t="shared" si="4" ref="C41:Y41">(C18*($D8+$F8)+C29*($E8+$G8))</f>
        <v>9806.764517621345</v>
      </c>
      <c r="D41" s="26">
        <f t="shared" si="4"/>
        <v>9278.78329867668</v>
      </c>
      <c r="E41" s="26">
        <f t="shared" si="4"/>
        <v>8476.169780383869</v>
      </c>
      <c r="F41" s="26">
        <f t="shared" si="4"/>
        <v>8406.279185904308</v>
      </c>
      <c r="G41" s="26">
        <f t="shared" si="4"/>
        <v>8367.320313031069</v>
      </c>
      <c r="H41" s="26">
        <f t="shared" si="4"/>
        <v>8328.257812359927</v>
      </c>
      <c r="I41" s="26">
        <f t="shared" si="4"/>
        <v>9496.525500891697</v>
      </c>
      <c r="J41" s="26">
        <f t="shared" si="4"/>
        <v>10656.86031536025</v>
      </c>
      <c r="K41" s="26">
        <f t="shared" si="4"/>
        <v>11966.005462232955</v>
      </c>
      <c r="L41" s="26">
        <f t="shared" si="4"/>
        <v>13082.052005810907</v>
      </c>
      <c r="M41" s="26">
        <f t="shared" si="4"/>
        <v>12406.987464645219</v>
      </c>
      <c r="N41" s="26">
        <f t="shared" si="4"/>
        <v>11712.936938426701</v>
      </c>
      <c r="O41" s="26">
        <f t="shared" si="4"/>
        <v>10236.546359402855</v>
      </c>
      <c r="P41" s="26">
        <f t="shared" si="4"/>
        <v>8986.689929061828</v>
      </c>
      <c r="Q41" s="26">
        <f t="shared" si="4"/>
        <v>8427.83154002875</v>
      </c>
      <c r="R41" s="26">
        <f t="shared" si="4"/>
        <v>8366.647895453225</v>
      </c>
      <c r="S41" s="26">
        <f t="shared" si="4"/>
        <v>8326.52815226202</v>
      </c>
      <c r="T41" s="26">
        <f t="shared" si="4"/>
        <v>8432.063914589038</v>
      </c>
      <c r="U41" s="26">
        <f t="shared" si="4"/>
        <v>9612.697442225974</v>
      </c>
      <c r="V41" s="26">
        <f t="shared" si="4"/>
        <v>10513.230457138761</v>
      </c>
      <c r="W41" s="26">
        <f t="shared" si="4"/>
        <v>11930.684008770586</v>
      </c>
      <c r="X41" s="26">
        <f t="shared" si="4"/>
        <v>13328.683694331707</v>
      </c>
      <c r="Y41" s="26">
        <f t="shared" si="4"/>
        <v>12031.51288244165</v>
      </c>
      <c r="Z41" s="26">
        <f aca="true" t="shared" si="5" ref="Z41:Z46">(Z18*($D8+$F8)+Z29*($E8+$G8))*0.5</f>
        <v>5583.240947086672</v>
      </c>
    </row>
    <row r="42" spans="1:26" ht="14.25">
      <c r="A42" s="27" t="str">
        <f t="shared" si="2"/>
        <v>General Service &lt; 50 kW</v>
      </c>
      <c r="B42" s="26">
        <f t="shared" si="3"/>
        <v>2991.6818090635466</v>
      </c>
      <c r="C42" s="26">
        <f aca="true" t="shared" si="6" ref="C42:Y42">(C19*($D9+$F9)+C30*($E9+$G9))</f>
        <v>4517.50040071315</v>
      </c>
      <c r="D42" s="26">
        <f t="shared" si="6"/>
        <v>3089.2771618568786</v>
      </c>
      <c r="E42" s="26">
        <f t="shared" si="6"/>
        <v>3070.5440655930097</v>
      </c>
      <c r="F42" s="26">
        <f t="shared" si="6"/>
        <v>3224.35058917294</v>
      </c>
      <c r="G42" s="26">
        <f t="shared" si="6"/>
        <v>3170.372484639825</v>
      </c>
      <c r="H42" s="26">
        <f t="shared" si="6"/>
        <v>3042.2453718422985</v>
      </c>
      <c r="I42" s="26">
        <f t="shared" si="6"/>
        <v>3134.5163604945546</v>
      </c>
      <c r="J42" s="26">
        <f t="shared" si="6"/>
        <v>3296.287553346072</v>
      </c>
      <c r="K42" s="26">
        <f t="shared" si="6"/>
        <v>3552.802855178902</v>
      </c>
      <c r="L42" s="26">
        <f t="shared" si="6"/>
        <v>3867.8836327534855</v>
      </c>
      <c r="M42" s="26">
        <f t="shared" si="6"/>
        <v>3708.623491577483</v>
      </c>
      <c r="N42" s="26">
        <f t="shared" si="6"/>
        <v>3585.2386943495944</v>
      </c>
      <c r="O42" s="26">
        <f t="shared" si="6"/>
        <v>3173.5103232956035</v>
      </c>
      <c r="P42" s="26">
        <f t="shared" si="6"/>
        <v>2990.4693913116507</v>
      </c>
      <c r="Q42" s="26">
        <f t="shared" si="6"/>
        <v>3009.0144044673098</v>
      </c>
      <c r="R42" s="26">
        <f t="shared" si="6"/>
        <v>3104.741260642207</v>
      </c>
      <c r="S42" s="26">
        <f t="shared" si="6"/>
        <v>3046.1227754188794</v>
      </c>
      <c r="T42" s="26">
        <f t="shared" si="6"/>
        <v>2932.082066881683</v>
      </c>
      <c r="U42" s="26">
        <f t="shared" si="6"/>
        <v>3132.641741074679</v>
      </c>
      <c r="V42" s="26">
        <f t="shared" si="6"/>
        <v>3263.8520530148726</v>
      </c>
      <c r="W42" s="26">
        <f t="shared" si="6"/>
        <v>3606.1116413825157</v>
      </c>
      <c r="X42" s="26">
        <f t="shared" si="6"/>
        <v>3940.8708524912367</v>
      </c>
      <c r="Y42" s="26">
        <f t="shared" si="6"/>
        <v>3641.676282839302</v>
      </c>
      <c r="Z42" s="26">
        <f t="shared" si="5"/>
        <v>1724.4630387962857</v>
      </c>
    </row>
    <row r="43" spans="1:26" ht="14.25">
      <c r="A43" s="27" t="str">
        <f t="shared" si="2"/>
        <v>General Service &gt; 50 kW</v>
      </c>
      <c r="B43" s="26">
        <f t="shared" si="3"/>
        <v>205.38725065641466</v>
      </c>
      <c r="C43" s="26">
        <f aca="true" t="shared" si="7" ref="C43:Y43">(C20*($D10+$F10)+C31*($E10+$G10))</f>
        <v>2729.9738457795584</v>
      </c>
      <c r="D43" s="26">
        <f t="shared" si="7"/>
        <v>3622.246878421718</v>
      </c>
      <c r="E43" s="26">
        <f t="shared" si="7"/>
        <v>3425.6954854423816</v>
      </c>
      <c r="F43" s="26">
        <f t="shared" si="7"/>
        <v>650.8821145356062</v>
      </c>
      <c r="G43" s="26">
        <f t="shared" si="7"/>
        <v>252.0425297050399</v>
      </c>
      <c r="H43" s="26">
        <f t="shared" si="7"/>
        <v>249.23407704192803</v>
      </c>
      <c r="I43" s="26">
        <f t="shared" si="7"/>
        <v>3667.012888589828</v>
      </c>
      <c r="J43" s="26">
        <f t="shared" si="7"/>
        <v>4905.707333449906</v>
      </c>
      <c r="K43" s="26">
        <f t="shared" si="7"/>
        <v>4419.367942827399</v>
      </c>
      <c r="L43" s="26">
        <f t="shared" si="7"/>
        <v>2686.9072319461284</v>
      </c>
      <c r="M43" s="26">
        <f t="shared" si="7"/>
        <v>2687.3366997001376</v>
      </c>
      <c r="N43" s="26">
        <f t="shared" si="7"/>
        <v>3377.5607245789224</v>
      </c>
      <c r="O43" s="26">
        <f t="shared" si="7"/>
        <v>3036.554229755855</v>
      </c>
      <c r="P43" s="26">
        <f t="shared" si="7"/>
        <v>2949.8766569029794</v>
      </c>
      <c r="Q43" s="26">
        <f t="shared" si="7"/>
        <v>2926.8231087020167</v>
      </c>
      <c r="R43" s="26">
        <f t="shared" si="7"/>
        <v>2869.918357553206</v>
      </c>
      <c r="S43" s="26">
        <f t="shared" si="7"/>
        <v>2950.0781240954548</v>
      </c>
      <c r="T43" s="26">
        <f t="shared" si="7"/>
        <v>2943.764142283265</v>
      </c>
      <c r="U43" s="26">
        <f t="shared" si="7"/>
        <v>2997.9725771286776</v>
      </c>
      <c r="V43" s="26">
        <f t="shared" si="7"/>
        <v>3263.4240778968297</v>
      </c>
      <c r="W43" s="26">
        <f t="shared" si="7"/>
        <v>3309.697062664659</v>
      </c>
      <c r="X43" s="26">
        <f t="shared" si="7"/>
        <v>4498.625136347357</v>
      </c>
      <c r="Y43" s="26">
        <f t="shared" si="7"/>
        <v>4372.603378109929</v>
      </c>
      <c r="Z43" s="26">
        <f t="shared" si="5"/>
        <v>2123.0179932074643</v>
      </c>
    </row>
    <row r="44" spans="1:26" ht="14.25">
      <c r="A44" s="27" t="str">
        <f t="shared" si="2"/>
        <v>Sentinel Lights</v>
      </c>
      <c r="B44" s="26">
        <f t="shared" si="3"/>
        <v>2.6132660331614446</v>
      </c>
      <c r="C44" s="26">
        <f aca="true" t="shared" si="8" ref="C44:Y44">(C21*($D11+$F11)+C32*($E11+$G11))</f>
        <v>5.226532066322889</v>
      </c>
      <c r="D44" s="26">
        <f t="shared" si="8"/>
        <v>5.226532066322889</v>
      </c>
      <c r="E44" s="26">
        <f t="shared" si="8"/>
        <v>5.456275025374568</v>
      </c>
      <c r="F44" s="26">
        <f t="shared" si="8"/>
        <v>5.456275025374568</v>
      </c>
      <c r="G44" s="26">
        <f t="shared" si="8"/>
        <v>5.456275025374568</v>
      </c>
      <c r="H44" s="26">
        <f t="shared" si="8"/>
        <v>5.456275025374568</v>
      </c>
      <c r="I44" s="26">
        <f t="shared" si="8"/>
        <v>5.456275025374568</v>
      </c>
      <c r="J44" s="26">
        <f t="shared" si="8"/>
        <v>5.456275025374568</v>
      </c>
      <c r="K44" s="26">
        <f t="shared" si="8"/>
        <v>5.456275025374568</v>
      </c>
      <c r="L44" s="26">
        <f t="shared" si="8"/>
        <v>5.456275025374568</v>
      </c>
      <c r="M44" s="26">
        <f t="shared" si="8"/>
        <v>5.456275025374568</v>
      </c>
      <c r="N44" s="26">
        <f t="shared" si="8"/>
        <v>5.456275025374568</v>
      </c>
      <c r="O44" s="26">
        <f t="shared" si="8"/>
        <v>5.456275025374568</v>
      </c>
      <c r="P44" s="26">
        <f t="shared" si="8"/>
        <v>5.456275025374568</v>
      </c>
      <c r="Q44" s="26">
        <f t="shared" si="8"/>
        <v>5.456275025374568</v>
      </c>
      <c r="R44" s="26">
        <f t="shared" si="8"/>
        <v>5.456275025374568</v>
      </c>
      <c r="S44" s="26">
        <f t="shared" si="8"/>
        <v>5.456275025374568</v>
      </c>
      <c r="T44" s="26">
        <f t="shared" si="8"/>
        <v>5.456275025374568</v>
      </c>
      <c r="U44" s="26">
        <f t="shared" si="8"/>
        <v>5.456275025374568</v>
      </c>
      <c r="V44" s="26">
        <f t="shared" si="8"/>
        <v>5.456275025374568</v>
      </c>
      <c r="W44" s="26">
        <f t="shared" si="8"/>
        <v>5.456275025374568</v>
      </c>
      <c r="X44" s="26">
        <f t="shared" si="8"/>
        <v>4.99678910727121</v>
      </c>
      <c r="Y44" s="26">
        <f t="shared" si="8"/>
        <v>4.767046148219531</v>
      </c>
      <c r="Z44" s="26">
        <f t="shared" si="5"/>
        <v>2.3835230741097657</v>
      </c>
    </row>
    <row r="45" spans="1:26" ht="14.25">
      <c r="A45" s="27" t="str">
        <f t="shared" si="2"/>
        <v>Street Lights</v>
      </c>
      <c r="B45" s="26">
        <f t="shared" si="3"/>
        <v>68.69375465917896</v>
      </c>
      <c r="C45" s="26">
        <f aca="true" t="shared" si="9" ref="C45:Y45">(C22*($D12+$F12)+C33*($E12+$G12))</f>
        <v>137.38750931835793</v>
      </c>
      <c r="D45" s="26">
        <f t="shared" si="9"/>
        <v>137.35917539927016</v>
      </c>
      <c r="E45" s="26">
        <f t="shared" si="9"/>
        <v>153.63701191519596</v>
      </c>
      <c r="F45" s="26">
        <f t="shared" si="9"/>
        <v>168.16759008737571</v>
      </c>
      <c r="G45" s="26">
        <f t="shared" si="9"/>
        <v>131.0407114426967</v>
      </c>
      <c r="H45" s="26">
        <f t="shared" si="9"/>
        <v>144.37654269334203</v>
      </c>
      <c r="I45" s="26">
        <f t="shared" si="9"/>
        <v>150.61000489265217</v>
      </c>
      <c r="J45" s="26">
        <f t="shared" si="9"/>
        <v>155.4456604169655</v>
      </c>
      <c r="K45" s="26">
        <f t="shared" si="9"/>
        <v>160.82910504364241</v>
      </c>
      <c r="L45" s="26">
        <f t="shared" si="9"/>
        <v>138.11946889479208</v>
      </c>
      <c r="M45" s="26">
        <f t="shared" si="9"/>
        <v>146.0671331989125</v>
      </c>
      <c r="N45" s="26">
        <f t="shared" si="9"/>
        <v>160.82910504364241</v>
      </c>
      <c r="O45" s="26">
        <f t="shared" si="9"/>
        <v>145.92546360347364</v>
      </c>
      <c r="P45" s="26">
        <f t="shared" si="9"/>
        <v>150.12832826816</v>
      </c>
      <c r="Q45" s="26">
        <f t="shared" si="9"/>
        <v>147.5310523517808</v>
      </c>
      <c r="R45" s="26">
        <f t="shared" si="9"/>
        <v>153.17422457009565</v>
      </c>
      <c r="S45" s="26">
        <f t="shared" si="9"/>
        <v>153.78812615033073</v>
      </c>
      <c r="T45" s="26">
        <f t="shared" si="9"/>
        <v>147.9418941785535</v>
      </c>
      <c r="U45" s="26">
        <f t="shared" si="9"/>
        <v>153.27811560675082</v>
      </c>
      <c r="V45" s="26">
        <f t="shared" si="9"/>
        <v>166.4061647840858</v>
      </c>
      <c r="W45" s="26">
        <f t="shared" si="9"/>
        <v>150.61000489265217</v>
      </c>
      <c r="X45" s="26">
        <f t="shared" si="9"/>
        <v>150.82250928581047</v>
      </c>
      <c r="Y45" s="26">
        <f t="shared" si="9"/>
        <v>150.39750049949387</v>
      </c>
      <c r="Z45" s="26">
        <f t="shared" si="5"/>
        <v>75.35694796465367</v>
      </c>
    </row>
    <row r="46" spans="1:26" ht="14.25">
      <c r="A46" s="28" t="str">
        <f t="shared" si="2"/>
        <v>Unmetered Loads</v>
      </c>
      <c r="B46" s="29">
        <f t="shared" si="3"/>
        <v>35.43244535532717</v>
      </c>
      <c r="C46" s="29">
        <f aca="true" t="shared" si="10" ref="C46:Y46">(C23*($D13+$F13)+C34*($E13+$G13))</f>
        <v>70.86486091582752</v>
      </c>
      <c r="D46" s="29">
        <f t="shared" si="10"/>
        <v>87.23668374837308</v>
      </c>
      <c r="E46" s="29">
        <f t="shared" si="10"/>
        <v>92.06915636919388</v>
      </c>
      <c r="F46" s="29">
        <f t="shared" si="10"/>
        <v>97.69094361065837</v>
      </c>
      <c r="G46" s="29">
        <f t="shared" si="10"/>
        <v>84.36893166644944</v>
      </c>
      <c r="H46" s="29">
        <f t="shared" si="10"/>
        <v>92.0646250726142</v>
      </c>
      <c r="I46" s="29">
        <f t="shared" si="10"/>
        <v>88.8182924723431</v>
      </c>
      <c r="J46" s="29">
        <f t="shared" si="10"/>
        <v>90.52193584118459</v>
      </c>
      <c r="K46" s="29">
        <f t="shared" si="10"/>
        <v>96.2170307711502</v>
      </c>
      <c r="L46" s="29">
        <f t="shared" si="10"/>
        <v>82.5834849115103</v>
      </c>
      <c r="M46" s="29">
        <f t="shared" si="10"/>
        <v>84.7786187778555</v>
      </c>
      <c r="N46" s="29">
        <f t="shared" si="10"/>
        <v>93.89031132888694</v>
      </c>
      <c r="O46" s="29">
        <f t="shared" si="10"/>
        <v>87.50819735037737</v>
      </c>
      <c r="P46" s="29">
        <f t="shared" si="10"/>
        <v>92.316275456735</v>
      </c>
      <c r="Q46" s="29">
        <f t="shared" si="10"/>
        <v>87.91148274596736</v>
      </c>
      <c r="R46" s="29">
        <f t="shared" si="10"/>
        <v>89.12779447854948</v>
      </c>
      <c r="S46" s="29">
        <f t="shared" si="10"/>
        <v>89.97676082539945</v>
      </c>
      <c r="T46" s="29">
        <f t="shared" si="10"/>
        <v>83.91295491347222</v>
      </c>
      <c r="U46" s="29">
        <f t="shared" si="10"/>
        <v>89.15740308770701</v>
      </c>
      <c r="V46" s="29">
        <f t="shared" si="10"/>
        <v>87.5163288551984</v>
      </c>
      <c r="W46" s="29">
        <f t="shared" si="10"/>
        <v>84.1323813985285</v>
      </c>
      <c r="X46" s="29">
        <f t="shared" si="10"/>
        <v>90.35068590205547</v>
      </c>
      <c r="Y46" s="29">
        <f t="shared" si="10"/>
        <v>89.97805610651326</v>
      </c>
      <c r="Z46" s="29">
        <f t="shared" si="5"/>
        <v>43.51862231315603</v>
      </c>
    </row>
    <row r="47" spans="1:27" ht="14.25">
      <c r="A47" t="s">
        <v>13</v>
      </c>
      <c r="B47" s="26">
        <f>SUM(B41:B46)</f>
        <v>8442.48824354539</v>
      </c>
      <c r="C47" s="26">
        <f aca="true" t="shared" si="11" ref="C47:Z47">SUM(C41:C46)</f>
        <v>17267.717666414563</v>
      </c>
      <c r="D47" s="26">
        <f t="shared" si="11"/>
        <v>16220.129730169243</v>
      </c>
      <c r="E47" s="26">
        <f t="shared" si="11"/>
        <v>15223.571774729027</v>
      </c>
      <c r="F47" s="26">
        <f t="shared" si="11"/>
        <v>12552.826698336265</v>
      </c>
      <c r="G47" s="26">
        <f t="shared" si="11"/>
        <v>12010.601245510456</v>
      </c>
      <c r="H47" s="26">
        <f t="shared" si="11"/>
        <v>11861.634704035487</v>
      </c>
      <c r="I47" s="26">
        <f t="shared" si="11"/>
        <v>16542.939322366452</v>
      </c>
      <c r="J47" s="26">
        <f t="shared" si="11"/>
        <v>19110.279073439753</v>
      </c>
      <c r="K47" s="26">
        <f t="shared" si="11"/>
        <v>20200.678671079422</v>
      </c>
      <c r="L47" s="26">
        <f t="shared" si="11"/>
        <v>19863.002099342193</v>
      </c>
      <c r="M47" s="26">
        <f t="shared" si="11"/>
        <v>19039.249682924987</v>
      </c>
      <c r="N47" s="26">
        <f t="shared" si="11"/>
        <v>18935.91204875312</v>
      </c>
      <c r="O47" s="26">
        <f t="shared" si="11"/>
        <v>16685.50084843354</v>
      </c>
      <c r="P47" s="26">
        <f t="shared" si="11"/>
        <v>15174.936856026727</v>
      </c>
      <c r="Q47" s="26">
        <f t="shared" si="11"/>
        <v>14604.567863321201</v>
      </c>
      <c r="R47" s="26">
        <f t="shared" si="11"/>
        <v>14589.065807722658</v>
      </c>
      <c r="S47" s="26">
        <f t="shared" si="11"/>
        <v>14571.95021377746</v>
      </c>
      <c r="T47" s="26">
        <f t="shared" si="11"/>
        <v>14545.221247871388</v>
      </c>
      <c r="U47" s="26">
        <f t="shared" si="11"/>
        <v>15991.203554149164</v>
      </c>
      <c r="V47" s="26">
        <f t="shared" si="11"/>
        <v>17299.885356715124</v>
      </c>
      <c r="W47" s="26">
        <f t="shared" si="11"/>
        <v>19086.691374134316</v>
      </c>
      <c r="X47" s="26">
        <f t="shared" si="11"/>
        <v>22014.349667465438</v>
      </c>
      <c r="Y47" s="26">
        <f t="shared" si="11"/>
        <v>20290.935146145108</v>
      </c>
      <c r="Z47" s="26">
        <f t="shared" si="11"/>
        <v>9551.981072442342</v>
      </c>
      <c r="AA47" s="36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</sheetData>
  <sheetProtection/>
  <mergeCells count="12">
    <mergeCell ref="L16:W16"/>
    <mergeCell ref="L27:W27"/>
    <mergeCell ref="L39:W39"/>
    <mergeCell ref="X16:Z16"/>
    <mergeCell ref="X27:Z27"/>
    <mergeCell ref="X39:Z39"/>
    <mergeCell ref="B39:K39"/>
    <mergeCell ref="F6:G6"/>
    <mergeCell ref="B6:C6"/>
    <mergeCell ref="D6:E6"/>
    <mergeCell ref="B16:K16"/>
    <mergeCell ref="B27:K27"/>
  </mergeCells>
  <printOptions/>
  <pageMargins left="0.75" right="0.75" top="1" bottom="1" header="0.5" footer="0.5"/>
  <pageSetup fitToHeight="2" horizontalDpi="600" verticalDpi="600" orientation="landscape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3"/>
  <sheetViews>
    <sheetView zoomScale="70" zoomScaleNormal="70" zoomScalePageLayoutView="0" workbookViewId="0" topLeftCell="A1">
      <selection activeCell="C23" sqref="C23:N23"/>
    </sheetView>
  </sheetViews>
  <sheetFormatPr defaultColWidth="21.28125" defaultRowHeight="15"/>
  <cols>
    <col min="1" max="1" width="34.421875" style="30" customWidth="1"/>
    <col min="2" max="2" width="13.57421875" style="30" customWidth="1"/>
    <col min="3" max="3" width="18.00390625" style="30" bestFit="1" customWidth="1"/>
    <col min="4" max="4" width="13.8515625" style="30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2" width="13.140625" style="30" bestFit="1" customWidth="1"/>
    <col min="13" max="13" width="12.8515625" style="30" bestFit="1" customWidth="1"/>
    <col min="14" max="14" width="12.421875" style="30" bestFit="1" customWidth="1"/>
    <col min="15" max="254" width="9.140625" style="30" customWidth="1"/>
    <col min="255" max="16384" width="21.28125" style="30" customWidth="1"/>
  </cols>
  <sheetData>
    <row r="1" spans="1:13" ht="21">
      <c r="A1" s="25" t="s">
        <v>61</v>
      </c>
      <c r="B1"/>
      <c r="C1"/>
      <c r="D1"/>
      <c r="E1"/>
      <c r="F1"/>
      <c r="G1"/>
      <c r="H1"/>
      <c r="I1"/>
      <c r="J1"/>
      <c r="K1"/>
      <c r="L1"/>
      <c r="M1"/>
    </row>
    <row r="2" spans="1:13" ht="14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2" t="s">
        <v>39</v>
      </c>
      <c r="B3" s="34" t="s">
        <v>35</v>
      </c>
      <c r="C3"/>
      <c r="D3"/>
      <c r="E3"/>
      <c r="F3"/>
      <c r="G3"/>
      <c r="H3"/>
      <c r="I3"/>
      <c r="J3"/>
      <c r="K3"/>
      <c r="L3"/>
      <c r="M3"/>
    </row>
    <row r="4" spans="1:13" ht="14.25">
      <c r="A4" s="2" t="s">
        <v>67</v>
      </c>
      <c r="B4" s="34" t="s">
        <v>36</v>
      </c>
      <c r="C4"/>
      <c r="D4"/>
      <c r="E4"/>
      <c r="F4"/>
      <c r="G4"/>
      <c r="H4"/>
      <c r="I4"/>
      <c r="J4"/>
      <c r="K4"/>
      <c r="L4"/>
      <c r="M4"/>
    </row>
    <row r="5" spans="1:13" ht="14.2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4.25">
      <c r="A6" s="2"/>
      <c r="B6" s="67" t="s">
        <v>41</v>
      </c>
      <c r="C6" s="67"/>
      <c r="D6" s="67" t="s">
        <v>44</v>
      </c>
      <c r="E6" s="67"/>
      <c r="F6"/>
      <c r="G6"/>
      <c r="H6"/>
      <c r="I6"/>
      <c r="J6"/>
      <c r="K6"/>
      <c r="L6"/>
      <c r="M6"/>
    </row>
    <row r="7" spans="1:13" ht="14.25">
      <c r="A7" s="2" t="s">
        <v>40</v>
      </c>
      <c r="B7" s="23" t="s">
        <v>42</v>
      </c>
      <c r="C7" s="23" t="s">
        <v>43</v>
      </c>
      <c r="D7" s="23" t="s">
        <v>42</v>
      </c>
      <c r="E7" s="23" t="s">
        <v>43</v>
      </c>
      <c r="F7"/>
      <c r="G7"/>
      <c r="H7"/>
      <c r="I7"/>
      <c r="J7"/>
      <c r="K7"/>
      <c r="L7"/>
      <c r="M7"/>
    </row>
    <row r="8" spans="1:13" ht="14.25">
      <c r="A8" t="s">
        <v>45</v>
      </c>
      <c r="B8" s="8">
        <f>'[3]10. 2004 Rate Schedule '!$F$10</f>
        <v>15.99</v>
      </c>
      <c r="C8" s="24">
        <f>'[3]10. 2004 Rate Schedule '!$F$11</f>
        <v>0.012993130666277228</v>
      </c>
      <c r="D8" s="8">
        <v>0</v>
      </c>
      <c r="E8" s="24">
        <f>'[3]7. 2002 Data &amp; 2004 PILs'!$B$48</f>
        <v>0.003064078688955267</v>
      </c>
      <c r="F8"/>
      <c r="G8"/>
      <c r="H8"/>
      <c r="I8"/>
      <c r="J8"/>
      <c r="K8"/>
      <c r="L8"/>
      <c r="M8"/>
    </row>
    <row r="9" spans="1:13" ht="14.25">
      <c r="A9" t="s">
        <v>46</v>
      </c>
      <c r="B9" s="8">
        <f>'[3]10. 2004 Rate Schedule '!$F$22</f>
        <v>24.37</v>
      </c>
      <c r="C9" s="24">
        <f>'[3]10. 2004 Rate Schedule '!$F$23</f>
        <v>0.009760199144416986</v>
      </c>
      <c r="D9" s="8">
        <v>0</v>
      </c>
      <c r="E9" s="24">
        <f>'[3]7. 2002 Data &amp; 2004 PILs'!$B$66</f>
        <v>0.0016457101558318091</v>
      </c>
      <c r="F9"/>
      <c r="G9"/>
      <c r="H9"/>
      <c r="I9"/>
      <c r="J9"/>
      <c r="K9"/>
      <c r="L9"/>
      <c r="M9"/>
    </row>
    <row r="10" spans="1:13" ht="14.25">
      <c r="A10" t="s">
        <v>47</v>
      </c>
      <c r="B10" s="8">
        <f>'[3]10. 2004 Rate Schedule '!$F$28</f>
        <v>163.46</v>
      </c>
      <c r="C10" s="24">
        <f>'[3]10. 2004 Rate Schedule '!$F$29</f>
        <v>3.303052193655666</v>
      </c>
      <c r="D10" s="8">
        <v>0</v>
      </c>
      <c r="E10" s="24">
        <f>'[3]7. 2002 Data &amp; 2004 PILs'!$B$84</f>
        <v>0.5027284015172294</v>
      </c>
      <c r="F10"/>
      <c r="G10"/>
      <c r="H10"/>
      <c r="I10"/>
      <c r="J10"/>
      <c r="K10"/>
      <c r="L10"/>
      <c r="M10"/>
    </row>
    <row r="11" spans="1:13" ht="14.25">
      <c r="A11" t="s">
        <v>48</v>
      </c>
      <c r="B11" s="8">
        <f>'[3]10. 2004 Rate Schedule '!$F$63</f>
        <v>1.63</v>
      </c>
      <c r="C11" s="24">
        <f>'[3]10. 2004 Rate Schedule '!$F$64</f>
        <v>4.714867138332227</v>
      </c>
      <c r="D11" s="8">
        <v>0</v>
      </c>
      <c r="E11" s="24">
        <f>'[3]7. 2002 Data &amp; 2004 PILs'!$B$156</f>
        <v>1.266386715669602</v>
      </c>
      <c r="F11"/>
      <c r="G11"/>
      <c r="H11"/>
      <c r="I11"/>
      <c r="J11"/>
      <c r="K11"/>
      <c r="L11"/>
      <c r="M11"/>
    </row>
    <row r="12" spans="1:13" ht="14.25">
      <c r="A12" t="s">
        <v>49</v>
      </c>
      <c r="B12" s="8">
        <f>'[3]10. 2004 Rate Schedule '!$F$75</f>
        <v>0.39</v>
      </c>
      <c r="C12" s="24">
        <f>'[3]10. 2004 Rate Schedule '!$F$76</f>
        <v>4.246798676922417</v>
      </c>
      <c r="D12" s="8">
        <v>0</v>
      </c>
      <c r="E12" s="24">
        <f>'[3]7. 2002 Data &amp; 2004 PILs'!$B$174</f>
        <v>0.8692208663769545</v>
      </c>
      <c r="F12"/>
      <c r="G12"/>
      <c r="H12"/>
      <c r="I12"/>
      <c r="J12"/>
      <c r="K12"/>
      <c r="L12"/>
      <c r="M12"/>
    </row>
    <row r="13" spans="1:13" ht="14.25">
      <c r="A13" t="s">
        <v>50</v>
      </c>
      <c r="B13" s="8">
        <f>'[3]10. 2004 Rate Schedule '!$F$40</f>
        <v>8.6</v>
      </c>
      <c r="C13" s="24">
        <f>'[3]10. 2004 Rate Schedule '!$F$41</f>
        <v>0.04485044471229015</v>
      </c>
      <c r="D13" s="8">
        <v>0</v>
      </c>
      <c r="E13" s="24">
        <f>'[3]7. 2002 Data &amp; 2004 PILs'!$B$120</f>
        <v>0.006258517698367678</v>
      </c>
      <c r="F13"/>
      <c r="G13"/>
      <c r="H13"/>
      <c r="I13"/>
      <c r="J13"/>
      <c r="K13"/>
      <c r="L13"/>
      <c r="M13"/>
    </row>
    <row r="14" spans="1:13" ht="14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1">
      <c r="A15" s="25" t="s">
        <v>68</v>
      </c>
      <c r="B15"/>
      <c r="C15"/>
      <c r="D15"/>
      <c r="E15"/>
      <c r="F15"/>
      <c r="G15"/>
      <c r="H15"/>
      <c r="I15"/>
      <c r="J15"/>
      <c r="K15"/>
      <c r="L15"/>
      <c r="M15"/>
    </row>
    <row r="16" spans="1:14" s="32" customFormat="1" ht="18">
      <c r="A16" s="1"/>
      <c r="B16" s="66">
        <v>2004</v>
      </c>
      <c r="C16" s="66"/>
      <c r="D16" s="66"/>
      <c r="E16" s="66"/>
      <c r="F16" s="66"/>
      <c r="G16" s="66"/>
      <c r="H16" s="66"/>
      <c r="I16" s="66"/>
      <c r="J16" s="66"/>
      <c r="K16" s="66"/>
      <c r="L16" s="68">
        <v>2005</v>
      </c>
      <c r="M16" s="68"/>
      <c r="N16" s="68"/>
    </row>
    <row r="17" spans="1:14" s="32" customFormat="1" ht="14.25">
      <c r="A17" s="23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32" t="s">
        <v>106</v>
      </c>
    </row>
    <row r="18" spans="1:14" ht="14.25">
      <c r="A18" t="str">
        <f t="shared" si="0"/>
        <v>Residential</v>
      </c>
      <c r="B18" s="26">
        <f>'App 32 - Mar02 to Feb04 Revenue'!Z29</f>
        <v>3749686.689967884</v>
      </c>
      <c r="C18" s="26">
        <v>2921821.6134517314</v>
      </c>
      <c r="D18" s="26">
        <v>2259200.7273757816</v>
      </c>
      <c r="E18" s="26">
        <v>1759243.4725108654</v>
      </c>
      <c r="F18" s="26">
        <v>1757258.350651809</v>
      </c>
      <c r="G18" s="26">
        <v>1722809.9093141882</v>
      </c>
      <c r="H18" s="26">
        <v>1706323.568864538</v>
      </c>
      <c r="I18" s="26">
        <v>2335933.846589832</v>
      </c>
      <c r="J18" s="26">
        <v>3086278.7360665053</v>
      </c>
      <c r="K18" s="26">
        <v>4489911.675798236</v>
      </c>
      <c r="L18" s="26">
        <v>4926141.243151333</v>
      </c>
      <c r="M18" s="26">
        <v>4132090.440204053</v>
      </c>
      <c r="N18" s="26">
        <v>3939016.0306064626</v>
      </c>
    </row>
    <row r="19" spans="1:14" ht="14.25">
      <c r="A19" t="str">
        <f t="shared" si="0"/>
        <v>General Service &lt; 50 kW</v>
      </c>
      <c r="B19" s="26">
        <f>'App 32 - Mar02 to Feb04 Revenue'!Z30</f>
        <v>1562421.68902324</v>
      </c>
      <c r="C19" s="26">
        <v>1276605.337237862</v>
      </c>
      <c r="D19" s="26">
        <v>1148853.9108256183</v>
      </c>
      <c r="E19" s="26">
        <v>1102345.7868883428</v>
      </c>
      <c r="F19" s="26">
        <v>1211357.755526166</v>
      </c>
      <c r="G19" s="26">
        <v>1163858.1050443987</v>
      </c>
      <c r="H19" s="26">
        <v>1071526.0721707926</v>
      </c>
      <c r="I19" s="26">
        <v>1139212.6771207254</v>
      </c>
      <c r="J19" s="26">
        <v>1326597.0810504449</v>
      </c>
      <c r="K19" s="26">
        <v>1735603.9202720593</v>
      </c>
      <c r="L19" s="26">
        <v>1936015.6810882285</v>
      </c>
      <c r="M19" s="26">
        <v>1672913.6028717174</v>
      </c>
      <c r="N19" s="26">
        <v>1598978.651048555</v>
      </c>
    </row>
    <row r="20" spans="1:14" ht="14.25">
      <c r="A20" t="str">
        <f t="shared" si="0"/>
        <v>General Service &gt; 50 kW</v>
      </c>
      <c r="B20" s="26">
        <f>'App 32 - Mar02 to Feb04 Revenue'!Z31</f>
        <v>7185.65</v>
      </c>
      <c r="C20" s="26">
        <v>6592.6</v>
      </c>
      <c r="D20" s="26">
        <v>6835.63</v>
      </c>
      <c r="E20" s="26">
        <v>5737.31</v>
      </c>
      <c r="F20" s="26">
        <v>5851.32</v>
      </c>
      <c r="G20" s="26">
        <v>5889.24</v>
      </c>
      <c r="H20" s="26">
        <v>5971.09</v>
      </c>
      <c r="I20" s="26">
        <v>7103.96</v>
      </c>
      <c r="J20" s="26">
        <v>7075.25</v>
      </c>
      <c r="K20" s="26">
        <v>8228.51</v>
      </c>
      <c r="L20" s="26">
        <v>8533.62</v>
      </c>
      <c r="M20" s="26">
        <v>7834.99</v>
      </c>
      <c r="N20" s="26">
        <v>7939.28</v>
      </c>
    </row>
    <row r="21" spans="1:14" ht="14.25">
      <c r="A21" t="str">
        <f t="shared" si="0"/>
        <v>Sentinel Lights</v>
      </c>
      <c r="B21" s="26">
        <f>'App 32 - Mar02 to Feb04 Revenue'!Z32</f>
        <v>3.4</v>
      </c>
      <c r="C21" s="33">
        <v>3.4</v>
      </c>
      <c r="D21" s="33">
        <v>3.4</v>
      </c>
      <c r="E21" s="33">
        <v>3.4</v>
      </c>
      <c r="F21" s="33">
        <v>3.4</v>
      </c>
      <c r="G21" s="33">
        <v>3.4</v>
      </c>
      <c r="H21" s="33">
        <v>3.4</v>
      </c>
      <c r="I21" s="33">
        <v>3.4</v>
      </c>
      <c r="J21" s="33">
        <v>3.4</v>
      </c>
      <c r="K21" s="33">
        <v>3.4</v>
      </c>
      <c r="L21" s="26">
        <v>3.4</v>
      </c>
      <c r="M21" s="26">
        <v>3.4</v>
      </c>
      <c r="N21" s="26">
        <v>3.4</v>
      </c>
    </row>
    <row r="22" spans="1:14" ht="14.25">
      <c r="A22" t="str">
        <f t="shared" si="0"/>
        <v>Street Lights</v>
      </c>
      <c r="B22" s="26">
        <f>'App 32 - Mar02 to Feb04 Revenue'!Z33</f>
        <v>202.22</v>
      </c>
      <c r="C22" s="26">
        <v>201.78</v>
      </c>
      <c r="D22" s="26">
        <v>202.22</v>
      </c>
      <c r="E22" s="26">
        <v>201.78</v>
      </c>
      <c r="F22" s="26">
        <v>202</v>
      </c>
      <c r="G22" s="26">
        <v>202.22</v>
      </c>
      <c r="H22" s="26">
        <v>201.78</v>
      </c>
      <c r="I22" s="26">
        <v>202.22</v>
      </c>
      <c r="J22" s="26">
        <v>201.78</v>
      </c>
      <c r="K22" s="26">
        <v>202</v>
      </c>
      <c r="L22" s="26">
        <v>202.7</v>
      </c>
      <c r="M22" s="26">
        <v>201.3</v>
      </c>
      <c r="N22" s="26">
        <v>202.22</v>
      </c>
    </row>
    <row r="23" spans="1:14" ht="14.25">
      <c r="A23" t="str">
        <f t="shared" si="0"/>
        <v>Unmetered Loads</v>
      </c>
      <c r="B23" s="26">
        <f>'App 32 - Mar02 to Feb04 Revenue'!Z34</f>
        <v>9729.17060268279</v>
      </c>
      <c r="C23" s="26">
        <v>9551.775930474212</v>
      </c>
      <c r="D23" s="26">
        <v>10913.895711316834</v>
      </c>
      <c r="E23" s="26">
        <v>9407.642168902321</v>
      </c>
      <c r="F23" s="26">
        <v>10056.433024749671</v>
      </c>
      <c r="G23" s="26">
        <v>9895.597959569244</v>
      </c>
      <c r="H23" s="26">
        <v>10185.528055922918</v>
      </c>
      <c r="I23" s="26">
        <v>10587.256754203665</v>
      </c>
      <c r="J23" s="26">
        <v>9598.63026638957</v>
      </c>
      <c r="K23" s="26">
        <v>10049.263177781975</v>
      </c>
      <c r="L23" s="26">
        <v>10758.152276591723</v>
      </c>
      <c r="M23" s="26">
        <v>10237.644058190064</v>
      </c>
      <c r="N23" s="26">
        <v>9884.196108067259</v>
      </c>
    </row>
    <row r="24" spans="1:13" ht="14.25">
      <c r="A24"/>
      <c r="B24" s="26"/>
      <c r="C24"/>
      <c r="D24"/>
      <c r="E24"/>
      <c r="F24"/>
      <c r="G24"/>
      <c r="H24"/>
      <c r="I24"/>
      <c r="J24"/>
      <c r="K24"/>
      <c r="L24"/>
      <c r="M24"/>
    </row>
    <row r="25" spans="1:13" ht="14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1">
      <c r="A26" s="25" t="s">
        <v>60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4" ht="18">
      <c r="A28"/>
      <c r="B28" s="66">
        <v>2004</v>
      </c>
      <c r="C28" s="66"/>
      <c r="D28" s="66"/>
      <c r="E28" s="66"/>
      <c r="F28" s="66"/>
      <c r="G28" s="66"/>
      <c r="H28" s="66"/>
      <c r="I28" s="66"/>
      <c r="J28" s="66"/>
      <c r="K28" s="66"/>
      <c r="L28" s="68">
        <v>2005</v>
      </c>
      <c r="M28" s="68"/>
      <c r="N28" s="68"/>
    </row>
    <row r="29" spans="1:14" s="32" customFormat="1" ht="14.25">
      <c r="A29" s="23" t="str">
        <f aca="true" t="shared" si="1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51</v>
      </c>
      <c r="H29" s="1" t="s">
        <v>52</v>
      </c>
      <c r="I29" s="1" t="s">
        <v>53</v>
      </c>
      <c r="J29" s="1" t="s">
        <v>54</v>
      </c>
      <c r="K29" s="1" t="s">
        <v>55</v>
      </c>
      <c r="L29" s="1" t="s">
        <v>56</v>
      </c>
      <c r="M29" s="1" t="s">
        <v>57</v>
      </c>
      <c r="N29" s="32" t="s">
        <v>106</v>
      </c>
    </row>
    <row r="30" spans="1:14" ht="14.25">
      <c r="A30" s="48" t="str">
        <f t="shared" si="1"/>
        <v>Residential</v>
      </c>
      <c r="B30" s="26">
        <f aca="true" t="shared" si="2" ref="B30:B35">(B18*$E8)*0.5</f>
        <v>5744.667538494905</v>
      </c>
      <c r="C30" s="26">
        <f aca="true" t="shared" si="3" ref="C30:M30">(C18*$E8)</f>
        <v>8952.691338706343</v>
      </c>
      <c r="D30" s="26">
        <f t="shared" si="3"/>
        <v>6922.3688028243705</v>
      </c>
      <c r="E30" s="26">
        <f t="shared" si="3"/>
        <v>5390.460432804204</v>
      </c>
      <c r="F30" s="26">
        <f t="shared" si="3"/>
        <v>5384.37786322089</v>
      </c>
      <c r="G30" s="26">
        <f t="shared" si="3"/>
        <v>5278.82512825056</v>
      </c>
      <c r="H30" s="26">
        <f t="shared" si="3"/>
        <v>5228.309683819926</v>
      </c>
      <c r="I30" s="26">
        <f t="shared" si="3"/>
        <v>7157.485118145207</v>
      </c>
      <c r="J30" s="26">
        <f t="shared" si="3"/>
        <v>9456.600903357175</v>
      </c>
      <c r="K30" s="26">
        <f t="shared" si="3"/>
        <v>13757.442681104805</v>
      </c>
      <c r="L30" s="26">
        <f t="shared" si="3"/>
        <v>15094.084401923606</v>
      </c>
      <c r="M30" s="26">
        <f t="shared" si="3"/>
        <v>12661.050258665027</v>
      </c>
      <c r="N30" s="26">
        <f aca="true" t="shared" si="4" ref="N30:N35">(N18*$E8)*0.5</f>
        <v>6034.727537417215</v>
      </c>
    </row>
    <row r="31" spans="1:14" ht="14.25">
      <c r="A31" s="48" t="str">
        <f t="shared" si="1"/>
        <v>General Service &lt; 50 kW</v>
      </c>
      <c r="B31" s="26">
        <f t="shared" si="2"/>
        <v>1285.6466206587174</v>
      </c>
      <c r="C31" s="26">
        <f aca="true" t="shared" si="5" ref="C31:M31">(C19*$E9)</f>
        <v>2100.922368481441</v>
      </c>
      <c r="D31" s="26">
        <f t="shared" si="5"/>
        <v>1890.6805486128117</v>
      </c>
      <c r="E31" s="26">
        <f t="shared" si="5"/>
        <v>1814.1416567205529</v>
      </c>
      <c r="F31" s="26">
        <f t="shared" si="5"/>
        <v>1993.5437606150372</v>
      </c>
      <c r="G31" s="26">
        <f t="shared" si="5"/>
        <v>1915.3731034187315</v>
      </c>
      <c r="H31" s="26">
        <f t="shared" si="5"/>
        <v>1763.4213392100414</v>
      </c>
      <c r="I31" s="26">
        <f t="shared" si="5"/>
        <v>1874.8138723899215</v>
      </c>
      <c r="J31" s="26">
        <f t="shared" si="5"/>
        <v>2183.194288981551</v>
      </c>
      <c r="K31" s="26">
        <f t="shared" si="5"/>
        <v>2856.3009980932297</v>
      </c>
      <c r="L31" s="26">
        <f t="shared" si="5"/>
        <v>3186.120668216535</v>
      </c>
      <c r="M31" s="26">
        <f t="shared" si="5"/>
        <v>2753.1309060751673</v>
      </c>
      <c r="N31" s="26">
        <f t="shared" si="4"/>
        <v>1315.7277024944267</v>
      </c>
    </row>
    <row r="32" spans="1:14" ht="14.25">
      <c r="A32" s="48" t="str">
        <f t="shared" si="1"/>
        <v>General Service &gt; 50 kW</v>
      </c>
      <c r="B32" s="26">
        <f t="shared" si="2"/>
        <v>1806.2151691811398</v>
      </c>
      <c r="C32" s="26">
        <f aca="true" t="shared" si="6" ref="C32:M32">(C20*$E10)</f>
        <v>3314.287259842487</v>
      </c>
      <c r="D32" s="26">
        <f t="shared" si="6"/>
        <v>3436.465343263219</v>
      </c>
      <c r="E32" s="26">
        <f t="shared" si="6"/>
        <v>2884.3086853088157</v>
      </c>
      <c r="F32" s="26">
        <f t="shared" si="6"/>
        <v>2941.6247503657946</v>
      </c>
      <c r="G32" s="26">
        <f t="shared" si="6"/>
        <v>2960.688211351328</v>
      </c>
      <c r="H32" s="26">
        <f t="shared" si="6"/>
        <v>3001.8365310155136</v>
      </c>
      <c r="I32" s="26">
        <f t="shared" si="6"/>
        <v>3571.362455242337</v>
      </c>
      <c r="J32" s="26">
        <f t="shared" si="6"/>
        <v>3556.9291228347774</v>
      </c>
      <c r="K32" s="26">
        <f t="shared" si="6"/>
        <v>4136.705679168537</v>
      </c>
      <c r="L32" s="26">
        <f t="shared" si="6"/>
        <v>4290.093141755459</v>
      </c>
      <c r="M32" s="26">
        <f t="shared" si="6"/>
        <v>3938.871998603477</v>
      </c>
      <c r="N32" s="26">
        <f t="shared" si="4"/>
        <v>1995.6507717988545</v>
      </c>
    </row>
    <row r="33" spans="1:14" ht="14.25">
      <c r="A33" s="48" t="str">
        <f t="shared" si="1"/>
        <v>Sentinel Lights</v>
      </c>
      <c r="B33" s="26">
        <f t="shared" si="2"/>
        <v>2.1528574166383234</v>
      </c>
      <c r="C33" s="26">
        <f aca="true" t="shared" si="7" ref="C33:M33">(C21*$E11)</f>
        <v>4.305714833276647</v>
      </c>
      <c r="D33" s="26">
        <f t="shared" si="7"/>
        <v>4.305714833276647</v>
      </c>
      <c r="E33" s="26">
        <f t="shared" si="7"/>
        <v>4.305714833276647</v>
      </c>
      <c r="F33" s="26">
        <f t="shared" si="7"/>
        <v>4.305714833276647</v>
      </c>
      <c r="G33" s="26">
        <f t="shared" si="7"/>
        <v>4.305714833276647</v>
      </c>
      <c r="H33" s="26">
        <f t="shared" si="7"/>
        <v>4.305714833276647</v>
      </c>
      <c r="I33" s="26">
        <f t="shared" si="7"/>
        <v>4.305714833276647</v>
      </c>
      <c r="J33" s="26">
        <f t="shared" si="7"/>
        <v>4.305714833276647</v>
      </c>
      <c r="K33" s="26">
        <f t="shared" si="7"/>
        <v>4.305714833276647</v>
      </c>
      <c r="L33" s="26">
        <f t="shared" si="7"/>
        <v>4.305714833276647</v>
      </c>
      <c r="M33" s="26">
        <f t="shared" si="7"/>
        <v>4.305714833276647</v>
      </c>
      <c r="N33" s="26">
        <f t="shared" si="4"/>
        <v>2.1528574166383234</v>
      </c>
    </row>
    <row r="34" spans="1:14" ht="14.25">
      <c r="A34" s="48" t="str">
        <f t="shared" si="1"/>
        <v>Street Lights</v>
      </c>
      <c r="B34" s="26">
        <f t="shared" si="2"/>
        <v>87.88692179937387</v>
      </c>
      <c r="C34" s="26">
        <f aca="true" t="shared" si="8" ref="C34:M34">(C22*$E12)</f>
        <v>175.39138641754187</v>
      </c>
      <c r="D34" s="26">
        <f t="shared" si="8"/>
        <v>175.77384359874773</v>
      </c>
      <c r="E34" s="26">
        <f t="shared" si="8"/>
        <v>175.39138641754187</v>
      </c>
      <c r="F34" s="26">
        <f t="shared" si="8"/>
        <v>175.5826150081448</v>
      </c>
      <c r="G34" s="26">
        <f t="shared" si="8"/>
        <v>175.77384359874773</v>
      </c>
      <c r="H34" s="26">
        <f t="shared" si="8"/>
        <v>175.39138641754187</v>
      </c>
      <c r="I34" s="26">
        <f t="shared" si="8"/>
        <v>175.77384359874773</v>
      </c>
      <c r="J34" s="26">
        <f t="shared" si="8"/>
        <v>175.39138641754187</v>
      </c>
      <c r="K34" s="26">
        <f t="shared" si="8"/>
        <v>175.5826150081448</v>
      </c>
      <c r="L34" s="26">
        <f t="shared" si="8"/>
        <v>176.19106961460867</v>
      </c>
      <c r="M34" s="26">
        <f t="shared" si="8"/>
        <v>174.97416040168096</v>
      </c>
      <c r="N34" s="26">
        <f t="shared" si="4"/>
        <v>87.88692179937387</v>
      </c>
    </row>
    <row r="35" spans="1:14" ht="14.25">
      <c r="A35" s="28" t="str">
        <f t="shared" si="1"/>
        <v>Unmetered Loads</v>
      </c>
      <c r="B35" s="29">
        <f t="shared" si="2"/>
        <v>30.445093203664385</v>
      </c>
      <c r="C35" s="29">
        <f aca="true" t="shared" si="9" ref="C35:M35">(C23*$E13)</f>
        <v>59.77995871171525</v>
      </c>
      <c r="D35" s="29">
        <f t="shared" si="9"/>
        <v>68.30480946741551</v>
      </c>
      <c r="E35" s="29">
        <f t="shared" si="9"/>
        <v>58.87789501398526</v>
      </c>
      <c r="F35" s="29">
        <f t="shared" si="9"/>
        <v>62.938364067845015</v>
      </c>
      <c r="G35" s="29">
        <f t="shared" si="9"/>
        <v>61.931774965895194</v>
      </c>
      <c r="H35" s="29">
        <f t="shared" si="9"/>
        <v>63.746307605214106</v>
      </c>
      <c r="I35" s="29">
        <f t="shared" si="9"/>
        <v>66.26053377334637</v>
      </c>
      <c r="J35" s="29">
        <f t="shared" si="9"/>
        <v>60.07319740228678</v>
      </c>
      <c r="K35" s="29">
        <f t="shared" si="9"/>
        <v>62.893491453703106</v>
      </c>
      <c r="L35" s="29">
        <f t="shared" si="9"/>
        <v>67.33008642478383</v>
      </c>
      <c r="M35" s="29">
        <f t="shared" si="9"/>
        <v>64.07247652777122</v>
      </c>
      <c r="N35" s="29">
        <f t="shared" si="4"/>
        <v>30.93020813823793</v>
      </c>
    </row>
    <row r="36" spans="1:15" ht="14.25">
      <c r="A36" t="s">
        <v>13</v>
      </c>
      <c r="B36" s="26">
        <f>SUM(B30:B35)</f>
        <v>8957.01420075444</v>
      </c>
      <c r="C36" s="26">
        <f aca="true" t="shared" si="10" ref="C36:N36">SUM(C30:C35)</f>
        <v>14607.378026992805</v>
      </c>
      <c r="D36" s="26">
        <f t="shared" si="10"/>
        <v>12497.899062599843</v>
      </c>
      <c r="E36" s="26">
        <f t="shared" si="10"/>
        <v>10327.485771098376</v>
      </c>
      <c r="F36" s="26">
        <f t="shared" si="10"/>
        <v>10562.373068110988</v>
      </c>
      <c r="G36" s="26">
        <f t="shared" si="10"/>
        <v>10396.89777641854</v>
      </c>
      <c r="H36" s="26">
        <f t="shared" si="10"/>
        <v>10237.010962901513</v>
      </c>
      <c r="I36" s="26">
        <f t="shared" si="10"/>
        <v>12850.001537982836</v>
      </c>
      <c r="J36" s="26">
        <f t="shared" si="10"/>
        <v>15436.49461382661</v>
      </c>
      <c r="K36" s="26">
        <f t="shared" si="10"/>
        <v>20993.2311796617</v>
      </c>
      <c r="L36" s="26">
        <f t="shared" si="10"/>
        <v>22818.12508276827</v>
      </c>
      <c r="M36" s="26">
        <f t="shared" si="10"/>
        <v>19596.405515106402</v>
      </c>
      <c r="N36" s="26">
        <f t="shared" si="10"/>
        <v>9467.075999064748</v>
      </c>
      <c r="O36" s="36"/>
    </row>
    <row r="37" spans="2:11" ht="12.75"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2:11" ht="12.75"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2:11" ht="12.75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2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2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2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2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2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</sheetData>
  <sheetProtection/>
  <mergeCells count="6">
    <mergeCell ref="B6:C6"/>
    <mergeCell ref="D6:E6"/>
    <mergeCell ref="B16:K16"/>
    <mergeCell ref="B28:K28"/>
    <mergeCell ref="L16:N16"/>
    <mergeCell ref="L28:N28"/>
  </mergeCells>
  <printOptions/>
  <pageMargins left="0.75" right="0.75" top="1" bottom="1" header="0.5" footer="0.5"/>
  <pageSetup fitToHeight="2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="90" zoomScaleNormal="90" zoomScalePageLayoutView="0" workbookViewId="0" topLeftCell="B1">
      <selection activeCell="C23" sqref="C23:P23"/>
    </sheetView>
  </sheetViews>
  <sheetFormatPr defaultColWidth="9.140625" defaultRowHeight="15"/>
  <cols>
    <col min="1" max="1" width="23.8515625" style="0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0.57421875" style="0" bestFit="1" customWidth="1"/>
    <col min="17" max="18" width="12.7109375" style="0" bestFit="1" customWidth="1"/>
    <col min="19" max="20" width="12.57421875" style="0" bestFit="1" customWidth="1"/>
  </cols>
  <sheetData>
    <row r="1" ht="21">
      <c r="A1" s="25" t="s">
        <v>38</v>
      </c>
    </row>
    <row r="3" spans="1:2" ht="14.25">
      <c r="A3" s="2" t="s">
        <v>39</v>
      </c>
      <c r="B3" s="34" t="s">
        <v>34</v>
      </c>
    </row>
    <row r="4" spans="1:2" ht="14.25">
      <c r="A4" s="2" t="s">
        <v>67</v>
      </c>
      <c r="B4" s="34" t="s">
        <v>37</v>
      </c>
    </row>
    <row r="6" spans="1:5" ht="14.25">
      <c r="A6" s="2"/>
      <c r="B6" s="67" t="s">
        <v>41</v>
      </c>
      <c r="C6" s="67"/>
      <c r="D6" s="67" t="s">
        <v>44</v>
      </c>
      <c r="E6" s="67"/>
    </row>
    <row r="7" spans="1:5" ht="14.25">
      <c r="A7" s="2" t="s">
        <v>40</v>
      </c>
      <c r="B7" s="3" t="s">
        <v>42</v>
      </c>
      <c r="C7" s="3" t="s">
        <v>43</v>
      </c>
      <c r="D7" s="3" t="s">
        <v>42</v>
      </c>
      <c r="E7" s="3" t="s">
        <v>43</v>
      </c>
    </row>
    <row r="8" spans="1:5" ht="14.25">
      <c r="A8" t="s">
        <v>45</v>
      </c>
      <c r="B8" s="8">
        <f>'[4]11. 2005 Final Rate Schedule '!$F$13</f>
        <v>15.70891199807245</v>
      </c>
      <c r="C8" s="24">
        <f>'[4]11. 2005 Final Rate Schedule '!$F$14</f>
        <v>0.01452207195394337</v>
      </c>
      <c r="D8" s="8">
        <v>0</v>
      </c>
      <c r="E8" s="24">
        <f>'[4]4. 2003 Data &amp; 2005 PILs'!$B$50</f>
        <v>0.0023789837562859326</v>
      </c>
    </row>
    <row r="9" spans="1:5" ht="14.25">
      <c r="A9" t="s">
        <v>46</v>
      </c>
      <c r="B9" s="8">
        <f>'[4]11. 2005 Final Rate Schedule '!$F$25</f>
        <v>23.942132115136392</v>
      </c>
      <c r="C9" s="24">
        <f>'[4]11. 2005 Final Rate Schedule '!$F$26</f>
        <v>0.011705992653432614</v>
      </c>
      <c r="D9" s="8">
        <v>0</v>
      </c>
      <c r="E9" s="24">
        <f>'[4]4. 2003 Data &amp; 2005 PILs'!$B$67</f>
        <v>0.0017518867783845493</v>
      </c>
    </row>
    <row r="10" spans="1:5" ht="14.25">
      <c r="A10" t="s">
        <v>47</v>
      </c>
      <c r="B10" s="8">
        <f>'[4]11. 2005 Final Rate Schedule '!$F$31</f>
        <v>160.61519361329238</v>
      </c>
      <c r="C10" s="24">
        <f>'[4]11. 2005 Final Rate Schedule '!$F$32</f>
        <v>4.04038517829835</v>
      </c>
      <c r="D10" s="8">
        <v>0</v>
      </c>
      <c r="E10" s="24">
        <f>'[4]4. 2003 Data &amp; 2005 PILs'!$B$84</f>
        <v>0.4321582099720993</v>
      </c>
    </row>
    <row r="11" spans="1:5" ht="14.25">
      <c r="A11" t="s">
        <v>48</v>
      </c>
      <c r="B11" s="8">
        <f>'[4]11. 2005 Final Rate Schedule '!$F$56</f>
        <v>1.6099944681612635</v>
      </c>
      <c r="C11" s="24">
        <f>'[4]11. 2005 Final Rate Schedule '!$F$57</f>
        <v>6.984797905607287</v>
      </c>
      <c r="D11" s="8">
        <v>0</v>
      </c>
      <c r="E11" s="24">
        <f>'[4]4. 2003 Data &amp; 2005 PILs'!$B$152</f>
        <v>1.1677918114135755</v>
      </c>
    </row>
    <row r="12" spans="1:5" ht="14.25">
      <c r="A12" t="s">
        <v>49</v>
      </c>
      <c r="B12" s="8">
        <f>'[4]11. 2005 Final Rate Schedule '!$F$68</f>
        <v>0.3902714718651938</v>
      </c>
      <c r="C12" s="24">
        <f>'[4]11. 2005 Final Rate Schedule '!$F$69</f>
        <v>4.56839562254055</v>
      </c>
      <c r="D12" s="8">
        <v>0</v>
      </c>
      <c r="E12" s="24">
        <f>'[4]4. 2003 Data &amp; 2005 PILs'!$B$169</f>
        <v>0.5316783751193801</v>
      </c>
    </row>
    <row r="13" spans="1:5" ht="14.25">
      <c r="A13" t="s">
        <v>50</v>
      </c>
      <c r="B13" s="8">
        <f>'[4]11. 2005 Final Rate Schedule '!$F$37</f>
        <v>8.484076947685862</v>
      </c>
      <c r="C13" s="24">
        <f>'[4]11. 2005 Final Rate Schedule '!$F$38</f>
        <v>0.05155988654870163</v>
      </c>
      <c r="D13" s="8">
        <v>0</v>
      </c>
      <c r="E13" s="24">
        <f>'[4]4. 2003 Data &amp; 2005 PILs'!$B$101</f>
        <v>0.006072578756624929</v>
      </c>
    </row>
    <row r="14" ht="14.25">
      <c r="D14" s="8"/>
    </row>
    <row r="15" ht="21">
      <c r="A15" s="25" t="s">
        <v>68</v>
      </c>
    </row>
    <row r="16" spans="2:16" ht="18">
      <c r="B16" s="66">
        <v>2005</v>
      </c>
      <c r="C16" s="66"/>
      <c r="D16" s="66"/>
      <c r="E16" s="66"/>
      <c r="F16" s="66"/>
      <c r="G16" s="66"/>
      <c r="H16" s="66"/>
      <c r="I16" s="66"/>
      <c r="J16" s="66"/>
      <c r="K16" s="66"/>
      <c r="L16" s="68">
        <v>2006</v>
      </c>
      <c r="M16" s="68"/>
      <c r="N16" s="68"/>
      <c r="O16" s="68"/>
      <c r="P16" s="68"/>
    </row>
    <row r="17" spans="1:20" ht="14.25">
      <c r="A17" s="2" t="str">
        <f aca="true" t="shared" si="0" ref="A17:A23">A7</f>
        <v>Rate Class</v>
      </c>
      <c r="B17" s="1" t="s">
        <v>9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51</v>
      </c>
      <c r="H17" s="1" t="s">
        <v>52</v>
      </c>
      <c r="I17" s="1" t="s">
        <v>53</v>
      </c>
      <c r="J17" s="1" t="s">
        <v>54</v>
      </c>
      <c r="K17" s="1" t="s">
        <v>55</v>
      </c>
      <c r="L17" s="1" t="s">
        <v>56</v>
      </c>
      <c r="M17" s="1" t="s">
        <v>57</v>
      </c>
      <c r="N17" s="1" t="s">
        <v>58</v>
      </c>
      <c r="O17" s="1" t="s">
        <v>59</v>
      </c>
      <c r="P17" s="1" t="s">
        <v>17</v>
      </c>
      <c r="S17" s="26"/>
      <c r="T17" s="26"/>
    </row>
    <row r="18" spans="1:20" ht="14.25">
      <c r="A18" t="str">
        <f t="shared" si="0"/>
        <v>Residential</v>
      </c>
      <c r="B18" s="26">
        <f>'App 33 - Mar04 to Feb05 Revenue'!N18</f>
        <v>3939016.0306064626</v>
      </c>
      <c r="C18" s="26">
        <v>2719389.7411675807</v>
      </c>
      <c r="D18" s="26">
        <v>2210168.4205554468</v>
      </c>
      <c r="E18" s="26">
        <v>1809176.15718874</v>
      </c>
      <c r="F18" s="26">
        <v>1888396.4764783676</v>
      </c>
      <c r="G18" s="26">
        <v>1782238.7492915166</v>
      </c>
      <c r="H18" s="26">
        <v>1703562.6487814074</v>
      </c>
      <c r="I18" s="26">
        <v>2263073.0209710943</v>
      </c>
      <c r="J18" s="26">
        <v>3212733.5254109213</v>
      </c>
      <c r="K18" s="26">
        <v>4243588.588702062</v>
      </c>
      <c r="L18" s="26">
        <v>4273340.440204046</v>
      </c>
      <c r="M18" s="26">
        <v>3950323.691668237</v>
      </c>
      <c r="N18" s="26">
        <v>3814706.7636501053</v>
      </c>
      <c r="O18" s="26">
        <v>2599169.327413572</v>
      </c>
      <c r="P18" s="60">
        <v>2051739.4388815435</v>
      </c>
      <c r="S18" s="26"/>
      <c r="T18" s="33"/>
    </row>
    <row r="19" spans="1:20" ht="14.25">
      <c r="A19" t="str">
        <f t="shared" si="0"/>
        <v>General Service &lt; 50 kW</v>
      </c>
      <c r="B19" s="26">
        <f>'App 33 - Mar04 to Feb05 Revenue'!N19</f>
        <v>1598978.651048555</v>
      </c>
      <c r="C19" s="26">
        <v>1235023.9089363313</v>
      </c>
      <c r="D19" s="26">
        <v>1160889.9017570373</v>
      </c>
      <c r="E19" s="26">
        <v>1177800.1983752116</v>
      </c>
      <c r="F19" s="26">
        <v>1297779.812960514</v>
      </c>
      <c r="G19" s="26">
        <v>1197899.6504817691</v>
      </c>
      <c r="H19" s="26">
        <v>1177371.3678443227</v>
      </c>
      <c r="I19" s="26">
        <v>1136533.3081428302</v>
      </c>
      <c r="J19" s="26">
        <v>1400539.1365955027</v>
      </c>
      <c r="K19" s="26">
        <v>1721223.0870961645</v>
      </c>
      <c r="L19" s="26">
        <v>1767698.4507840541</v>
      </c>
      <c r="M19" s="26">
        <v>1653648.6869450223</v>
      </c>
      <c r="N19" s="26">
        <v>1639706.0551672007</v>
      </c>
      <c r="O19" s="26">
        <v>1232451.3319478557</v>
      </c>
      <c r="P19" s="60">
        <v>1162475.1842055544</v>
      </c>
      <c r="S19" s="26"/>
      <c r="T19" s="33"/>
    </row>
    <row r="20" spans="1:20" ht="14.25">
      <c r="A20" t="str">
        <f t="shared" si="0"/>
        <v>General Service &gt; 50 kW</v>
      </c>
      <c r="B20" s="26">
        <f>'App 33 - Mar04 to Feb05 Revenue'!N20</f>
        <v>7939.28</v>
      </c>
      <c r="C20" s="26">
        <v>7071.56</v>
      </c>
      <c r="D20" s="26">
        <v>7405.9</v>
      </c>
      <c r="E20" s="26">
        <v>7341.41</v>
      </c>
      <c r="F20" s="26">
        <v>7165.4</v>
      </c>
      <c r="G20" s="26">
        <v>7002.51</v>
      </c>
      <c r="H20" s="26">
        <v>6757.56</v>
      </c>
      <c r="I20" s="26">
        <v>7297.29</v>
      </c>
      <c r="J20" s="26">
        <v>7123.01</v>
      </c>
      <c r="K20" s="26">
        <v>7724.97</v>
      </c>
      <c r="L20" s="26">
        <v>7843.07</v>
      </c>
      <c r="M20" s="26">
        <v>7476.15</v>
      </c>
      <c r="N20" s="26">
        <v>7907.06</v>
      </c>
      <c r="O20" s="26">
        <v>7343.53</v>
      </c>
      <c r="P20" s="60">
        <v>7320.75</v>
      </c>
      <c r="S20" s="26"/>
      <c r="T20" s="33"/>
    </row>
    <row r="21" spans="1:20" ht="14.25">
      <c r="A21" t="str">
        <f t="shared" si="0"/>
        <v>Sentinel Lights</v>
      </c>
      <c r="B21" s="26">
        <f>'App 33 - Mar04 to Feb05 Revenue'!N21</f>
        <v>3.4</v>
      </c>
      <c r="C21" s="26">
        <v>3.4</v>
      </c>
      <c r="D21" s="26">
        <v>3.4</v>
      </c>
      <c r="E21" s="26">
        <v>3.4</v>
      </c>
      <c r="F21" s="26">
        <v>3.4</v>
      </c>
      <c r="G21" s="26">
        <v>3.4</v>
      </c>
      <c r="H21" s="26">
        <v>3.4</v>
      </c>
      <c r="I21" s="26">
        <v>3.4</v>
      </c>
      <c r="J21" s="26">
        <v>3.4</v>
      </c>
      <c r="K21" s="26">
        <v>3.4</v>
      </c>
      <c r="L21" s="26">
        <v>3.4</v>
      </c>
      <c r="M21" s="26">
        <v>3.4</v>
      </c>
      <c r="N21" s="26">
        <v>3.4</v>
      </c>
      <c r="O21" s="26">
        <v>3.4</v>
      </c>
      <c r="P21" s="60">
        <v>3.4</v>
      </c>
      <c r="S21" s="26"/>
      <c r="T21" s="33"/>
    </row>
    <row r="22" spans="1:20" ht="14.25">
      <c r="A22" t="str">
        <f t="shared" si="0"/>
        <v>Street Lights</v>
      </c>
      <c r="B22" s="26">
        <f>'App 33 - Mar04 to Feb05 Revenue'!N22</f>
        <v>202.22</v>
      </c>
      <c r="C22" s="26">
        <v>201.78</v>
      </c>
      <c r="D22" s="26">
        <v>202.22</v>
      </c>
      <c r="E22" s="26">
        <v>201.78</v>
      </c>
      <c r="F22" s="26">
        <v>202</v>
      </c>
      <c r="G22" s="26">
        <v>202.22</v>
      </c>
      <c r="H22" s="26">
        <v>201.78</v>
      </c>
      <c r="I22" s="26">
        <v>202.22</v>
      </c>
      <c r="J22" s="26">
        <v>201.78</v>
      </c>
      <c r="K22" s="26">
        <v>202</v>
      </c>
      <c r="L22" s="26">
        <v>202.7</v>
      </c>
      <c r="M22" s="26">
        <v>201.3</v>
      </c>
      <c r="N22" s="26">
        <v>202.22</v>
      </c>
      <c r="O22" s="26">
        <v>201.78</v>
      </c>
      <c r="P22" s="60">
        <v>202.22</v>
      </c>
      <c r="S22" s="26"/>
      <c r="T22" s="33"/>
    </row>
    <row r="23" spans="1:20" ht="14.25">
      <c r="A23" t="str">
        <f t="shared" si="0"/>
        <v>Unmetered Loads</v>
      </c>
      <c r="B23" s="26">
        <f>'App 33 - Mar04 to Feb05 Revenue'!N23</f>
        <v>9884.196108067259</v>
      </c>
      <c r="C23" s="26">
        <v>10280.030228603817</v>
      </c>
      <c r="D23" s="26">
        <v>10746.74097865105</v>
      </c>
      <c r="E23" s="26">
        <v>9491.649348195731</v>
      </c>
      <c r="F23" s="26">
        <v>10206.102399395426</v>
      </c>
      <c r="G23" s="26">
        <v>10752.956735310787</v>
      </c>
      <c r="H23" s="26">
        <v>10636.926128849422</v>
      </c>
      <c r="I23" s="26">
        <v>11144.93670886076</v>
      </c>
      <c r="J23" s="26">
        <v>9874.966937464573</v>
      </c>
      <c r="K23" s="26">
        <v>10693.491403740789</v>
      </c>
      <c r="L23" s="26">
        <v>10159.238617041374</v>
      </c>
      <c r="M23" s="26">
        <v>10165.454373701115</v>
      </c>
      <c r="N23" s="26">
        <v>10559.370867183072</v>
      </c>
      <c r="O23" s="26">
        <v>10256.518042697904</v>
      </c>
      <c r="P23" s="60">
        <v>10528.320423200454</v>
      </c>
      <c r="S23" s="26"/>
      <c r="T23" s="33"/>
    </row>
    <row r="26" ht="21">
      <c r="A26" s="25" t="s">
        <v>60</v>
      </c>
    </row>
    <row r="28" spans="2:16" ht="18">
      <c r="B28" s="66">
        <v>2005</v>
      </c>
      <c r="C28" s="66"/>
      <c r="D28" s="66"/>
      <c r="E28" s="66"/>
      <c r="F28" s="66"/>
      <c r="G28" s="66"/>
      <c r="H28" s="66"/>
      <c r="I28" s="66"/>
      <c r="J28" s="66"/>
      <c r="K28" s="66"/>
      <c r="L28" s="68">
        <v>2006</v>
      </c>
      <c r="M28" s="68"/>
      <c r="N28" s="68"/>
      <c r="O28" s="68"/>
      <c r="P28" s="68"/>
    </row>
    <row r="29" spans="1:16" ht="14.25">
      <c r="A29" s="2" t="str">
        <f aca="true" t="shared" si="1" ref="A29:A35">A17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51</v>
      </c>
      <c r="H29" s="1" t="s">
        <v>52</v>
      </c>
      <c r="I29" s="1" t="s">
        <v>53</v>
      </c>
      <c r="J29" s="1" t="s">
        <v>54</v>
      </c>
      <c r="K29" s="1" t="s">
        <v>55</v>
      </c>
      <c r="L29" s="1" t="s">
        <v>56</v>
      </c>
      <c r="M29" s="1" t="s">
        <v>57</v>
      </c>
      <c r="N29" s="1" t="s">
        <v>58</v>
      </c>
      <c r="O29" s="1" t="s">
        <v>59</v>
      </c>
      <c r="P29" s="1" t="s">
        <v>17</v>
      </c>
    </row>
    <row r="30" spans="1:16" ht="14.25">
      <c r="A30" s="48" t="str">
        <f t="shared" si="1"/>
        <v>Residential</v>
      </c>
      <c r="B30" s="26">
        <f aca="true" t="shared" si="2" ref="B30:B35">B18*$E8*0.5</f>
        <v>4685.427576281333</v>
      </c>
      <c r="C30" s="26">
        <f aca="true" t="shared" si="3" ref="C30:O30">C18*$E8</f>
        <v>6469.384021248281</v>
      </c>
      <c r="D30" s="26">
        <f t="shared" si="3"/>
        <v>5257.954771157543</v>
      </c>
      <c r="E30" s="26">
        <f t="shared" si="3"/>
        <v>4304.0006902118175</v>
      </c>
      <c r="F30" s="26">
        <f t="shared" si="3"/>
        <v>4492.464542969627</v>
      </c>
      <c r="G30" s="26">
        <f t="shared" si="3"/>
        <v>4239.917034387875</v>
      </c>
      <c r="H30" s="26">
        <f t="shared" si="3"/>
        <v>4052.7478692664054</v>
      </c>
      <c r="I30" s="26">
        <f t="shared" si="3"/>
        <v>5383.813956179167</v>
      </c>
      <c r="J30" s="26">
        <f t="shared" si="3"/>
        <v>7643.04087022782</v>
      </c>
      <c r="K30" s="26">
        <f t="shared" si="3"/>
        <v>10095.42832088255</v>
      </c>
      <c r="L30" s="26">
        <f t="shared" si="3"/>
        <v>10166.207492325202</v>
      </c>
      <c r="M30" s="26">
        <f t="shared" si="3"/>
        <v>9397.755894550215</v>
      </c>
      <c r="N30" s="26">
        <f t="shared" si="3"/>
        <v>9075.12542571768</v>
      </c>
      <c r="O30" s="26">
        <f t="shared" si="3"/>
        <v>6183.381609753521</v>
      </c>
      <c r="P30" s="26">
        <f aca="true" t="shared" si="4" ref="P30:P35">P18*$E8*0.5</f>
        <v>2440.527398615203</v>
      </c>
    </row>
    <row r="31" spans="1:16" ht="14.25">
      <c r="A31" s="48" t="str">
        <f t="shared" si="1"/>
        <v>General Service &lt; 50 kW</v>
      </c>
      <c r="B31" s="26">
        <f t="shared" si="2"/>
        <v>1400.6147788455628</v>
      </c>
      <c r="C31" s="26">
        <f aca="true" t="shared" si="5" ref="C31:O31">C19*$E9</f>
        <v>2163.6220570543624</v>
      </c>
      <c r="D31" s="26">
        <f t="shared" si="5"/>
        <v>2033.747670048292</v>
      </c>
      <c r="E31" s="26">
        <f t="shared" si="5"/>
        <v>2063.3725951122324</v>
      </c>
      <c r="F31" s="26">
        <f t="shared" si="5"/>
        <v>2273.563295579898</v>
      </c>
      <c r="G31" s="26">
        <f t="shared" si="5"/>
        <v>2098.5845595104843</v>
      </c>
      <c r="H31" s="26">
        <f t="shared" si="5"/>
        <v>2062.6213325750005</v>
      </c>
      <c r="I31" s="26">
        <f t="shared" si="5"/>
        <v>1991.077675729077</v>
      </c>
      <c r="J31" s="26">
        <f t="shared" si="5"/>
        <v>2453.5859960117737</v>
      </c>
      <c r="K31" s="26">
        <f t="shared" si="5"/>
        <v>3015.3879689340083</v>
      </c>
      <c r="L31" s="26">
        <f t="shared" si="5"/>
        <v>3096.8075440994353</v>
      </c>
      <c r="M31" s="26">
        <f t="shared" si="5"/>
        <v>2897.0052707519553</v>
      </c>
      <c r="N31" s="26">
        <f t="shared" si="5"/>
        <v>2872.5793584845055</v>
      </c>
      <c r="O31" s="26">
        <f t="shared" si="5"/>
        <v>2159.115193441876</v>
      </c>
      <c r="P31" s="26">
        <f t="shared" si="4"/>
        <v>1018.2624527049271</v>
      </c>
    </row>
    <row r="32" spans="1:16" ht="14.25">
      <c r="A32" s="48" t="str">
        <f t="shared" si="1"/>
        <v>General Service &gt; 50 kW</v>
      </c>
      <c r="B32" s="26">
        <f t="shared" si="2"/>
        <v>1715.5125166336443</v>
      </c>
      <c r="C32" s="26">
        <f aca="true" t="shared" si="6" ref="C32:O32">C20*$E10</f>
        <v>3056.0327113102985</v>
      </c>
      <c r="D32" s="26">
        <f t="shared" si="6"/>
        <v>3200.52048723237</v>
      </c>
      <c r="E32" s="26">
        <f t="shared" si="6"/>
        <v>3172.6506042712695</v>
      </c>
      <c r="F32" s="26">
        <f t="shared" si="6"/>
        <v>3096.5864377340804</v>
      </c>
      <c r="G32" s="26">
        <f t="shared" si="6"/>
        <v>3026.192186911725</v>
      </c>
      <c r="H32" s="26">
        <f t="shared" si="6"/>
        <v>2920.3350333790595</v>
      </c>
      <c r="I32" s="26">
        <f t="shared" si="6"/>
        <v>3153.5837840473005</v>
      </c>
      <c r="J32" s="26">
        <f t="shared" si="6"/>
        <v>3078.267251213363</v>
      </c>
      <c r="K32" s="26">
        <f t="shared" si="6"/>
        <v>3338.409207288168</v>
      </c>
      <c r="L32" s="26">
        <f t="shared" si="6"/>
        <v>3389.447091885873</v>
      </c>
      <c r="M32" s="26">
        <f t="shared" si="6"/>
        <v>3230.87960148291</v>
      </c>
      <c r="N32" s="26">
        <f t="shared" si="6"/>
        <v>3417.1008957419876</v>
      </c>
      <c r="O32" s="26">
        <f t="shared" si="6"/>
        <v>3173.56677967641</v>
      </c>
      <c r="P32" s="26">
        <f t="shared" si="4"/>
        <v>1581.861107826623</v>
      </c>
    </row>
    <row r="33" spans="1:16" ht="14.25">
      <c r="A33" s="48" t="str">
        <f t="shared" si="1"/>
        <v>Sentinel Lights</v>
      </c>
      <c r="B33" s="26">
        <f t="shared" si="2"/>
        <v>1.9852460794030782</v>
      </c>
      <c r="C33" s="26">
        <f aca="true" t="shared" si="7" ref="C33:O33">C21*$E11</f>
        <v>3.9704921588061564</v>
      </c>
      <c r="D33" s="26">
        <f t="shared" si="7"/>
        <v>3.9704921588061564</v>
      </c>
      <c r="E33" s="26">
        <f t="shared" si="7"/>
        <v>3.9704921588061564</v>
      </c>
      <c r="F33" s="26">
        <f t="shared" si="7"/>
        <v>3.9704921588061564</v>
      </c>
      <c r="G33" s="26">
        <f t="shared" si="7"/>
        <v>3.9704921588061564</v>
      </c>
      <c r="H33" s="26">
        <f t="shared" si="7"/>
        <v>3.9704921588061564</v>
      </c>
      <c r="I33" s="26">
        <f t="shared" si="7"/>
        <v>3.9704921588061564</v>
      </c>
      <c r="J33" s="26">
        <f t="shared" si="7"/>
        <v>3.9704921588061564</v>
      </c>
      <c r="K33" s="26">
        <f t="shared" si="7"/>
        <v>3.9704921588061564</v>
      </c>
      <c r="L33" s="26">
        <f t="shared" si="7"/>
        <v>3.9704921588061564</v>
      </c>
      <c r="M33" s="26">
        <f t="shared" si="7"/>
        <v>3.9704921588061564</v>
      </c>
      <c r="N33" s="26">
        <f t="shared" si="7"/>
        <v>3.9704921588061564</v>
      </c>
      <c r="O33" s="26">
        <f t="shared" si="7"/>
        <v>3.9704921588061564</v>
      </c>
      <c r="P33" s="26">
        <f t="shared" si="4"/>
        <v>1.9852460794030782</v>
      </c>
    </row>
    <row r="34" spans="1:16" ht="14.25">
      <c r="A34" s="48" t="str">
        <f t="shared" si="1"/>
        <v>Street Lights</v>
      </c>
      <c r="B34" s="26">
        <f t="shared" si="2"/>
        <v>53.75800050832052</v>
      </c>
      <c r="C34" s="26">
        <f aca="true" t="shared" si="8" ref="C34:O34">C22*$E12</f>
        <v>107.28206253158852</v>
      </c>
      <c r="D34" s="26">
        <f t="shared" si="8"/>
        <v>107.51600101664104</v>
      </c>
      <c r="E34" s="26">
        <f t="shared" si="8"/>
        <v>107.28206253158852</v>
      </c>
      <c r="F34" s="26">
        <f t="shared" si="8"/>
        <v>107.39903177411477</v>
      </c>
      <c r="G34" s="26">
        <f t="shared" si="8"/>
        <v>107.51600101664104</v>
      </c>
      <c r="H34" s="26">
        <f t="shared" si="8"/>
        <v>107.28206253158852</v>
      </c>
      <c r="I34" s="26">
        <f t="shared" si="8"/>
        <v>107.51600101664104</v>
      </c>
      <c r="J34" s="26">
        <f t="shared" si="8"/>
        <v>107.28206253158852</v>
      </c>
      <c r="K34" s="26">
        <f t="shared" si="8"/>
        <v>107.39903177411477</v>
      </c>
      <c r="L34" s="26">
        <f t="shared" si="8"/>
        <v>107.77120663669834</v>
      </c>
      <c r="M34" s="26">
        <f t="shared" si="8"/>
        <v>107.02685691153123</v>
      </c>
      <c r="N34" s="26">
        <f t="shared" si="8"/>
        <v>107.51600101664104</v>
      </c>
      <c r="O34" s="26">
        <f t="shared" si="8"/>
        <v>107.28206253158852</v>
      </c>
      <c r="P34" s="26">
        <f t="shared" si="4"/>
        <v>53.75800050832052</v>
      </c>
    </row>
    <row r="35" spans="1:20" ht="14.25">
      <c r="A35" s="28" t="str">
        <f t="shared" si="1"/>
        <v>Unmetered Loads</v>
      </c>
      <c r="B35" s="29">
        <f t="shared" si="2"/>
        <v>30.011279656082017</v>
      </c>
      <c r="C35" s="29">
        <f aca="true" t="shared" si="9" ref="C35:O35">C23*$E13</f>
        <v>62.42629318368165</v>
      </c>
      <c r="D35" s="29">
        <f t="shared" si="9"/>
        <v>65.26043096990696</v>
      </c>
      <c r="E35" s="29">
        <f t="shared" si="9"/>
        <v>57.63878819718625</v>
      </c>
      <c r="F35" s="29">
        <f t="shared" si="9"/>
        <v>61.977360618507376</v>
      </c>
      <c r="G35" s="29">
        <f t="shared" si="9"/>
        <v>65.29817664175523</v>
      </c>
      <c r="H35" s="29">
        <f t="shared" si="9"/>
        <v>64.59357164583965</v>
      </c>
      <c r="I35" s="29">
        <f t="shared" si="9"/>
        <v>67.6785059021572</v>
      </c>
      <c r="J35" s="29">
        <f t="shared" si="9"/>
        <v>59.966514446820895</v>
      </c>
      <c r="K35" s="29">
        <f t="shared" si="9"/>
        <v>64.93706873250761</v>
      </c>
      <c r="L35" s="29">
        <f t="shared" si="9"/>
        <v>61.692776609329066</v>
      </c>
      <c r="M35" s="29">
        <f t="shared" si="9"/>
        <v>61.730522281177365</v>
      </c>
      <c r="N35" s="29">
        <f t="shared" si="9"/>
        <v>64.12261121138008</v>
      </c>
      <c r="O35" s="29">
        <f t="shared" si="9"/>
        <v>62.283513583027585</v>
      </c>
      <c r="P35" s="29">
        <f t="shared" si="4"/>
        <v>31.967027472433728</v>
      </c>
      <c r="T35" s="26"/>
    </row>
    <row r="36" spans="1:16" ht="14.25">
      <c r="A36" t="s">
        <v>13</v>
      </c>
      <c r="B36" s="26">
        <f>SUM(B30:B35)</f>
        <v>7887.309398004345</v>
      </c>
      <c r="C36" s="26">
        <f>SUM(C30:C35)</f>
        <v>11862.71763748702</v>
      </c>
      <c r="D36" s="26">
        <f aca="true" t="shared" si="10" ref="D36:O36">SUM(D30:D35)</f>
        <v>10668.96985258356</v>
      </c>
      <c r="E36" s="26">
        <f t="shared" si="10"/>
        <v>9708.9152324829</v>
      </c>
      <c r="F36" s="26">
        <f t="shared" si="10"/>
        <v>10035.961160835033</v>
      </c>
      <c r="G36" s="26">
        <f t="shared" si="10"/>
        <v>9541.478450627288</v>
      </c>
      <c r="H36" s="26">
        <f t="shared" si="10"/>
        <v>9211.5503615567</v>
      </c>
      <c r="I36" s="26">
        <f t="shared" si="10"/>
        <v>10707.64041503315</v>
      </c>
      <c r="J36" s="26">
        <f t="shared" si="10"/>
        <v>13346.113186590173</v>
      </c>
      <c r="K36" s="26">
        <f t="shared" si="10"/>
        <v>16625.532089770153</v>
      </c>
      <c r="L36" s="26">
        <f t="shared" si="10"/>
        <v>16825.89660371534</v>
      </c>
      <c r="M36" s="26">
        <f t="shared" si="10"/>
        <v>15698.368638136593</v>
      </c>
      <c r="N36" s="26">
        <f t="shared" si="10"/>
        <v>15540.414784331</v>
      </c>
      <c r="O36" s="26">
        <f t="shared" si="10"/>
        <v>11689.59965114523</v>
      </c>
      <c r="P36" s="26">
        <f>SUM(P30:P35)</f>
        <v>5128.361233206911</v>
      </c>
    </row>
    <row r="37" ht="14.25">
      <c r="P37" s="26"/>
    </row>
    <row r="39" ht="14.25">
      <c r="C39" s="26"/>
    </row>
  </sheetData>
  <sheetProtection/>
  <mergeCells count="6">
    <mergeCell ref="B6:C6"/>
    <mergeCell ref="D6:E6"/>
    <mergeCell ref="B16:K16"/>
    <mergeCell ref="B28:K28"/>
    <mergeCell ref="L16:P16"/>
    <mergeCell ref="L28:P28"/>
  </mergeCells>
  <printOptions/>
  <pageMargins left="0.7" right="0.7" top="0.75" bottom="0.75" header="0.3" footer="0.3"/>
  <pageSetup horizontalDpi="1200" verticalDpi="12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4.28125" style="0" bestFit="1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0.140625" style="0" bestFit="1" customWidth="1"/>
  </cols>
  <sheetData>
    <row r="1" ht="15">
      <c r="A1" s="44" t="s">
        <v>93</v>
      </c>
    </row>
    <row r="3" spans="1:5" ht="57">
      <c r="A3" s="61" t="s">
        <v>40</v>
      </c>
      <c r="B3" s="61" t="s">
        <v>104</v>
      </c>
      <c r="C3" s="61" t="s">
        <v>101</v>
      </c>
      <c r="D3" s="61" t="s">
        <v>102</v>
      </c>
      <c r="E3" s="39"/>
    </row>
    <row r="4" spans="1:4" ht="14.25">
      <c r="A4" t="str">
        <f>'App 34 - Mar05 to Apr06 Revenue'!A8</f>
        <v>Residential</v>
      </c>
      <c r="B4" s="41">
        <v>1304445</v>
      </c>
      <c r="C4" s="15">
        <f aca="true" t="shared" si="0" ref="C4:C9">ROUND(B4/$B$10,4)</f>
        <v>0.5565</v>
      </c>
      <c r="D4" s="49">
        <f aca="true" t="shared" si="1" ref="D4:D9">C4*$D$10</f>
        <v>-72134.60062282623</v>
      </c>
    </row>
    <row r="5" spans="1:4" ht="14.25">
      <c r="A5" t="str">
        <f>'App 34 - Mar05 to Apr06 Revenue'!A9</f>
        <v>General Service &lt; 50 kW</v>
      </c>
      <c r="B5" s="41">
        <v>413922</v>
      </c>
      <c r="C5" s="15">
        <f t="shared" si="0"/>
        <v>0.1766</v>
      </c>
      <c r="D5" s="49">
        <f t="shared" si="1"/>
        <v>-22891.23175200559</v>
      </c>
    </row>
    <row r="6" spans="1:4" ht="14.25">
      <c r="A6" t="str">
        <f>'App 34 - Mar05 to Apr06 Revenue'!A10</f>
        <v>General Service &gt; 50 kW</v>
      </c>
      <c r="B6" s="41">
        <v>564456</v>
      </c>
      <c r="C6" s="15">
        <f t="shared" si="0"/>
        <v>0.2408</v>
      </c>
      <c r="D6" s="49">
        <f t="shared" si="1"/>
        <v>-31212.959263210338</v>
      </c>
    </row>
    <row r="7" spans="1:4" ht="14.25">
      <c r="A7" t="str">
        <f>'App 34 - Mar05 to Apr06 Revenue'!A11</f>
        <v>Sentinel Lights</v>
      </c>
      <c r="B7" s="41">
        <v>1180</v>
      </c>
      <c r="C7" s="15">
        <f t="shared" si="0"/>
        <v>0.0005</v>
      </c>
      <c r="D7" s="49">
        <f t="shared" si="1"/>
        <v>-64.81096192527065</v>
      </c>
    </row>
    <row r="8" spans="1:4" ht="14.25">
      <c r="A8" t="str">
        <f>'App 34 - Mar05 to Apr06 Revenue'!A12</f>
        <v>Street Lights</v>
      </c>
      <c r="B8" s="41">
        <v>47584</v>
      </c>
      <c r="C8" s="15">
        <f t="shared" si="0"/>
        <v>0.0203</v>
      </c>
      <c r="D8" s="49">
        <f t="shared" si="1"/>
        <v>-2631.3250541659877</v>
      </c>
    </row>
    <row r="9" spans="1:4" ht="14.25">
      <c r="A9" s="42" t="str">
        <f>'App 34 - Mar05 to Apr06 Revenue'!A13</f>
        <v>Unmetered Loads</v>
      </c>
      <c r="B9" s="43">
        <v>12458</v>
      </c>
      <c r="C9" s="17">
        <f t="shared" si="0"/>
        <v>0.0053</v>
      </c>
      <c r="D9" s="50">
        <f t="shared" si="1"/>
        <v>-686.9961964078688</v>
      </c>
    </row>
    <row r="10" spans="1:4" ht="14.25">
      <c r="A10" s="2" t="s">
        <v>13</v>
      </c>
      <c r="B10" s="45">
        <f>SUM(B4:B9)</f>
        <v>2344045</v>
      </c>
      <c r="C10" s="46">
        <f>SUM(C4:C9)</f>
        <v>0.9999999999999999</v>
      </c>
      <c r="D10" s="51">
        <f>'App 13 - Continuity Schedule'!L199</f>
        <v>-129621.92385054128</v>
      </c>
    </row>
    <row r="14" ht="15">
      <c r="A14" s="44" t="s">
        <v>94</v>
      </c>
    </row>
    <row r="16" spans="1:6" ht="42.75">
      <c r="A16" s="61" t="s">
        <v>40</v>
      </c>
      <c r="B16" s="61" t="s">
        <v>95</v>
      </c>
      <c r="C16" s="61" t="s">
        <v>96</v>
      </c>
      <c r="D16" s="61" t="s">
        <v>97</v>
      </c>
      <c r="E16" s="61" t="s">
        <v>105</v>
      </c>
      <c r="F16" s="61" t="s">
        <v>98</v>
      </c>
    </row>
    <row r="17" spans="1:7" ht="14.25">
      <c r="A17" t="str">
        <f aca="true" t="shared" si="2" ref="A17:A23">A4</f>
        <v>Residential</v>
      </c>
      <c r="B17" s="49">
        <f aca="true" t="shared" si="3" ref="B17:B23">D4</f>
        <v>-72134.60062282623</v>
      </c>
      <c r="C17" s="34">
        <v>1</v>
      </c>
      <c r="D17" s="49">
        <f>B17/C17</f>
        <v>-72134.60062282623</v>
      </c>
      <c r="E17" s="40">
        <v>33572049</v>
      </c>
      <c r="F17" s="52">
        <f aca="true" t="shared" si="4" ref="F17:F22">ROUND(D17/E17,4)</f>
        <v>-0.0021</v>
      </c>
      <c r="G17" t="s">
        <v>99</v>
      </c>
    </row>
    <row r="18" spans="1:7" ht="14.25">
      <c r="A18" t="str">
        <f t="shared" si="2"/>
        <v>General Service &lt; 50 kW</v>
      </c>
      <c r="B18" s="49">
        <f t="shared" si="3"/>
        <v>-22891.23175200559</v>
      </c>
      <c r="C18">
        <f aca="true" t="shared" si="5" ref="C18:C23">C17</f>
        <v>1</v>
      </c>
      <c r="D18" s="49">
        <f aca="true" t="shared" si="6" ref="D18:D23">B18/C18</f>
        <v>-22891.23175200559</v>
      </c>
      <c r="E18" s="40">
        <v>16873256</v>
      </c>
      <c r="F18" s="52">
        <f t="shared" si="4"/>
        <v>-0.0014</v>
      </c>
      <c r="G18" t="s">
        <v>99</v>
      </c>
    </row>
    <row r="19" spans="1:7" ht="14.25">
      <c r="A19" t="str">
        <f t="shared" si="2"/>
        <v>General Service &gt; 50 kW</v>
      </c>
      <c r="B19" s="49">
        <f t="shared" si="3"/>
        <v>-31212.959263210338</v>
      </c>
      <c r="C19">
        <f t="shared" si="5"/>
        <v>1</v>
      </c>
      <c r="D19" s="49">
        <f t="shared" si="6"/>
        <v>-31212.959263210338</v>
      </c>
      <c r="E19" s="40">
        <v>97877</v>
      </c>
      <c r="F19" s="52">
        <f t="shared" si="4"/>
        <v>-0.3189</v>
      </c>
      <c r="G19" t="s">
        <v>100</v>
      </c>
    </row>
    <row r="20" spans="1:7" ht="14.25">
      <c r="A20" t="str">
        <f t="shared" si="2"/>
        <v>Sentinel Lights</v>
      </c>
      <c r="B20" s="49">
        <f t="shared" si="3"/>
        <v>-64.81096192527065</v>
      </c>
      <c r="C20">
        <f t="shared" si="5"/>
        <v>1</v>
      </c>
      <c r="D20" s="49">
        <f t="shared" si="6"/>
        <v>-64.81096192527065</v>
      </c>
      <c r="E20" s="40">
        <v>36</v>
      </c>
      <c r="F20" s="52">
        <f t="shared" si="4"/>
        <v>-1.8003</v>
      </c>
      <c r="G20" t="s">
        <v>100</v>
      </c>
    </row>
    <row r="21" spans="1:7" ht="14.25">
      <c r="A21" t="str">
        <f t="shared" si="2"/>
        <v>Street Lights</v>
      </c>
      <c r="B21" s="49">
        <f t="shared" si="3"/>
        <v>-2631.3250541659877</v>
      </c>
      <c r="C21">
        <f t="shared" si="5"/>
        <v>1</v>
      </c>
      <c r="D21" s="49">
        <f t="shared" si="6"/>
        <v>-2631.3250541659877</v>
      </c>
      <c r="E21" s="40">
        <v>2421</v>
      </c>
      <c r="F21" s="52">
        <f t="shared" si="4"/>
        <v>-1.0869</v>
      </c>
      <c r="G21" t="s">
        <v>100</v>
      </c>
    </row>
    <row r="22" spans="1:7" ht="14.25" customHeight="1">
      <c r="A22" s="42" t="str">
        <f t="shared" si="2"/>
        <v>Unmetered Loads</v>
      </c>
      <c r="B22" s="50">
        <f t="shared" si="3"/>
        <v>-686.9961964078688</v>
      </c>
      <c r="C22" s="42">
        <f t="shared" si="5"/>
        <v>1</v>
      </c>
      <c r="D22" s="50">
        <f t="shared" si="6"/>
        <v>-686.9961964078688</v>
      </c>
      <c r="E22" s="47">
        <v>58750</v>
      </c>
      <c r="F22" s="53">
        <f t="shared" si="4"/>
        <v>-0.0117</v>
      </c>
      <c r="G22" t="s">
        <v>99</v>
      </c>
    </row>
    <row r="23" spans="1:4" ht="14.25">
      <c r="A23" t="str">
        <f t="shared" si="2"/>
        <v>Total</v>
      </c>
      <c r="B23" s="51">
        <f t="shared" si="3"/>
        <v>-129621.92385054128</v>
      </c>
      <c r="C23">
        <f t="shared" si="5"/>
        <v>1</v>
      </c>
      <c r="D23" s="51">
        <f t="shared" si="6"/>
        <v>-129621.92385054128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160" zoomScaleNormal="160" zoomScalePageLayoutView="0" workbookViewId="0" topLeftCell="A1">
      <selection activeCell="A1" sqref="A1:I2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4.25">
      <c r="A1" s="70" t="s">
        <v>71</v>
      </c>
      <c r="B1" s="70" t="s">
        <v>77</v>
      </c>
      <c r="C1" s="70"/>
      <c r="D1" s="70"/>
      <c r="E1" s="71" t="s">
        <v>22</v>
      </c>
      <c r="F1" s="71" t="s">
        <v>27</v>
      </c>
      <c r="G1" s="71" t="s">
        <v>28</v>
      </c>
      <c r="H1" s="71" t="s">
        <v>24</v>
      </c>
      <c r="I1" s="70" t="s">
        <v>23</v>
      </c>
    </row>
    <row r="2" spans="1:9" ht="19.5" customHeight="1">
      <c r="A2" s="70"/>
      <c r="B2" s="62" t="s">
        <v>78</v>
      </c>
      <c r="C2" s="62" t="s">
        <v>79</v>
      </c>
      <c r="D2" s="62" t="s">
        <v>80</v>
      </c>
      <c r="E2" s="71"/>
      <c r="F2" s="71"/>
      <c r="G2" s="71"/>
      <c r="H2" s="71"/>
      <c r="I2" s="70"/>
    </row>
    <row r="3" spans="1:9" ht="14.25">
      <c r="A3" s="1" t="s">
        <v>1</v>
      </c>
      <c r="B3" s="1" t="s">
        <v>81</v>
      </c>
      <c r="C3" s="1" t="s">
        <v>82</v>
      </c>
      <c r="D3" s="1" t="s">
        <v>83</v>
      </c>
      <c r="E3" s="58">
        <v>37688</v>
      </c>
      <c r="F3" s="1" t="s">
        <v>25</v>
      </c>
      <c r="G3" s="1" t="s">
        <v>26</v>
      </c>
      <c r="H3" s="21">
        <f>E3/3</f>
        <v>12562.666666666666</v>
      </c>
      <c r="I3" s="38" t="s">
        <v>72</v>
      </c>
    </row>
    <row r="4" spans="1:9" ht="14.25">
      <c r="A4" s="1">
        <v>2002</v>
      </c>
      <c r="B4" s="1" t="s">
        <v>81</v>
      </c>
      <c r="C4" s="1" t="s">
        <v>84</v>
      </c>
      <c r="D4" s="1" t="s">
        <v>83</v>
      </c>
      <c r="E4" s="8">
        <v>174504</v>
      </c>
      <c r="F4" s="1" t="s">
        <v>29</v>
      </c>
      <c r="G4" s="1" t="s">
        <v>30</v>
      </c>
      <c r="H4" s="8">
        <f>E4/12</f>
        <v>14542</v>
      </c>
      <c r="I4" s="38" t="s">
        <v>73</v>
      </c>
    </row>
    <row r="5" spans="1:9" ht="14.25">
      <c r="A5" s="1">
        <v>2003</v>
      </c>
      <c r="B5" s="1" t="s">
        <v>81</v>
      </c>
      <c r="C5" s="1" t="s">
        <v>85</v>
      </c>
      <c r="D5" s="1" t="s">
        <v>83</v>
      </c>
      <c r="E5" s="21">
        <f>E3+E4</f>
        <v>212192</v>
      </c>
      <c r="F5" s="1" t="s">
        <v>31</v>
      </c>
      <c r="G5" s="1" t="s">
        <v>32</v>
      </c>
      <c r="H5" s="21">
        <f>E5/12</f>
        <v>17682.666666666668</v>
      </c>
      <c r="I5" s="38" t="s">
        <v>74</v>
      </c>
    </row>
    <row r="6" spans="1:9" ht="14.25">
      <c r="A6" s="1">
        <v>2004</v>
      </c>
      <c r="B6" s="1" t="s">
        <v>81</v>
      </c>
      <c r="C6" s="1" t="s">
        <v>85</v>
      </c>
      <c r="D6" s="1" t="s">
        <v>83</v>
      </c>
      <c r="E6" s="21">
        <f>E5</f>
        <v>212192</v>
      </c>
      <c r="F6" s="1" t="s">
        <v>33</v>
      </c>
      <c r="G6" s="1" t="s">
        <v>107</v>
      </c>
      <c r="H6" s="21">
        <f>E6/12</f>
        <v>17682.666666666668</v>
      </c>
      <c r="I6" s="38" t="s">
        <v>74</v>
      </c>
    </row>
    <row r="7" spans="1:9" ht="14.25">
      <c r="A7" s="1">
        <v>2004</v>
      </c>
      <c r="B7" s="1" t="s">
        <v>86</v>
      </c>
      <c r="C7" s="1" t="s">
        <v>87</v>
      </c>
      <c r="D7" s="1" t="s">
        <v>88</v>
      </c>
      <c r="E7" s="21">
        <f>E4</f>
        <v>174504</v>
      </c>
      <c r="F7" s="1" t="s">
        <v>108</v>
      </c>
      <c r="G7" s="1" t="s">
        <v>109</v>
      </c>
      <c r="H7" s="21">
        <f>E7/12</f>
        <v>14542</v>
      </c>
      <c r="I7" s="22" t="s">
        <v>75</v>
      </c>
    </row>
    <row r="8" spans="1:9" ht="14.25">
      <c r="A8" s="1">
        <v>2005</v>
      </c>
      <c r="B8" s="1" t="s">
        <v>89</v>
      </c>
      <c r="C8" s="1" t="s">
        <v>90</v>
      </c>
      <c r="D8" s="1" t="s">
        <v>91</v>
      </c>
      <c r="E8" s="8">
        <v>157668</v>
      </c>
      <c r="F8" s="1" t="s">
        <v>110</v>
      </c>
      <c r="G8" s="1" t="s">
        <v>37</v>
      </c>
      <c r="H8" s="21">
        <f>E8/12</f>
        <v>13139</v>
      </c>
      <c r="I8" s="22" t="s">
        <v>76</v>
      </c>
    </row>
    <row r="9" ht="14.25">
      <c r="I9" s="22"/>
    </row>
    <row r="10" ht="14.25">
      <c r="I10" s="22"/>
    </row>
    <row r="11" ht="14.25">
      <c r="I11" s="22"/>
    </row>
    <row r="12" ht="14.25">
      <c r="I12" s="22"/>
    </row>
    <row r="13" ht="14.25">
      <c r="I13" s="22"/>
    </row>
    <row r="14" ht="14.25">
      <c r="I14" s="22"/>
    </row>
    <row r="15" ht="14.25">
      <c r="I15" s="22"/>
    </row>
    <row r="16" ht="14.25">
      <c r="I16" s="22"/>
    </row>
    <row r="17" ht="14.2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Miles Thompson</cp:lastModifiedBy>
  <cp:lastPrinted>2012-01-18T15:18:19Z</cp:lastPrinted>
  <dcterms:created xsi:type="dcterms:W3CDTF">2011-08-02T14:49:25Z</dcterms:created>
  <dcterms:modified xsi:type="dcterms:W3CDTF">2012-07-26T16:43:26Z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