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'TAXCALC'!$A$1:$I$211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<sst xmlns="http://schemas.openxmlformats.org/spreadsheetml/2006/main" count="883" uniqueCount="507">
  <si>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</si>
  <si>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</si>
  <si>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</si>
  <si>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</si>
  <si>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</si>
  <si>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</si>
  <si>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</si>
  <si>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</si>
  <si>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</si>
  <si>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</si>
  <si>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</si>
  <si>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</si>
  <si>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</si>
  <si>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</si>
  <si>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</si>
  <si>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</si>
  <si>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</si>
  <si>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</si>
  <si>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</si>
  <si>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</si>
  <si>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</si>
  <si>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</si>
  <si>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</si>
  <si>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</si>
  <si>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</si>
  <si>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</si>
  <si>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</si>
  <si>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</si>
  <si>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</si>
  <si>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</si>
  <si>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</si>
  <si>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</si>
  <si>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</si>
  <si>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</si>
  <si>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</si>
  <si>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</si>
  <si>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</si>
  <si>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</si>
  <si>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</si>
  <si>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</si>
  <si>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</si>
  <si>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</si>
  <si>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</si>
  <si>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</si>
  <si>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</si>
  <si>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</si>
  <si>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</si>
  <si>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</si>
  <si>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</si>
  <si>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</si>
  <si>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</si>
  <si>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</si>
  <si>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</si>
  <si>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</si>
  <si>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</si>
  <si>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</si>
  <si>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</si>
  <si>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</si>
  <si>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</si>
  <si>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</si>
  <si>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</si>
  <si>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</si>
  <si>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</si>
  <si>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</si>
  <si>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</si>
  <si>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</si>
  <si>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</si>
  <si>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</si>
  <si>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</si>
  <si>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</si>
  <si>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</si>
  <si>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</si>
  <si>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</si>
  <si>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</si>
  <si>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</si>
  <si>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</si>
  <si>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</si>
  <si>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</si>
  <si>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</si>
  <si>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</si>
  <si>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</si>
  <si>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</si>
  <si>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</si>
  <si>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</si>
  <si>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</si>
  <si>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</si>
  <si>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</si>
  <si>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</si>
  <si>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</si>
  <si>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</si>
  <si>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</si>
  <si>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</si>
  <si>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</si>
  <si>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</si>
  <si>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</si>
  <si>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</si>
  <si>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</si>
  <si>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</si>
  <si>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</si>
  <si>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</si>
  <si>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</si>
  <si>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</si>
  <si>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</si>
  <si>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</si>
  <si>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</si>
  <si>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</si>
  <si>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</si>
  <si>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</si>
  <si>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</si>
  <si>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</si>
  <si>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</si>
  <si>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</si>
  <si>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</si>
  <si>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</si>
  <si>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</si>
  <si>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</si>
  <si>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</si>
  <si>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</si>
  <si>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</si>
  <si>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</si>
  <si>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</si>
  <si>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</si>
  <si>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</si>
  <si>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</si>
  <si>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</si>
  <si>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</si>
  <si>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</si>
  <si>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</si>
  <si>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</si>
  <si>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</si>
  <si>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</si>
  <si>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</si>
  <si>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</si>
  <si>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</si>
  <si>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</si>
  <si>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</si>
  <si>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</si>
  <si>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</si>
  <si>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</si>
  <si>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</si>
  <si>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</si>
  <si>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</si>
  <si>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</si>
  <si>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</si>
  <si>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</si>
  <si>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</si>
  <si>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</si>
  <si>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</si>
  <si>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</si>
  <si>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</si>
  <si>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</si>
  <si>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</si>
  <si>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</si>
  <si>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</si>
  <si>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</si>
  <si>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</si>
  <si>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</si>
  <si>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</si>
  <si>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</si>
  <si>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</si>
  <si>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</si>
  <si>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</si>
  <si>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</si>
  <si>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</si>
  <si>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</si>
  <si>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</si>
  <si>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</si>
  <si>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</si>
  <si>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</si>
  <si>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</si>
  <si>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</si>
  <si>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</si>
  <si>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</si>
  <si>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</si>
  <si>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</si>
  <si>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</si>
  <si>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</si>
  <si>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</si>
  <si>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</si>
  <si>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</si>
  <si>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</si>
  <si>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</si>
  <si>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</si>
  <si>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</si>
  <si>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</si>
  <si>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</si>
  <si>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</si>
  <si>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</si>
  <si>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</si>
  <si>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</si>
  <si>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</si>
  <si>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</si>
  <si>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</si>
  <si>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</si>
  <si>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</si>
  <si>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</si>
  <si>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</si>
  <si>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</si>
  <si>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</si>
  <si>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</si>
  <si>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</si>
  <si>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</si>
  <si>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</si>
  <si>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</si>
  <si>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</si>
  <si>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</si>
  <si>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</si>
  <si>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</si>
  <si>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</si>
  <si>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</si>
  <si>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</si>
  <si>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</si>
  <si>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</si>
  <si>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</si>
  <si>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</si>
  <si>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</si>
  <si>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</si>
  <si>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</si>
  <si>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</si>
  <si>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</si>
  <si>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</si>
  <si>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</si>
  <si>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</si>
  <si>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</si>
  <si>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</si>
  <si>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</si>
  <si>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</si>
  <si>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</si>
  <si>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</si>
  <si>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</si>
  <si>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</si>
  <si>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</si>
  <si>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</si>
  <si>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</si>
  <si>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</si>
  <si>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</si>
  <si>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</si>
  <si>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</si>
  <si>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</si>
  <si>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</si>
  <si>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</si>
  <si>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</si>
  <si>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</si>
  <si>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</si>
  <si>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</si>
  <si>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</si>
  <si>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</si>
  <si>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</si>
  <si>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</si>
  <si>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</si>
  <si>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</si>
  <si>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</si>
  <si>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</si>
  <si>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</si>
  <si>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</si>
  <si>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</si>
  <si>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</si>
  <si>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</si>
  <si>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</si>
  <si>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</si>
  <si>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</si>
  <si>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</si>
  <si>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</si>
  <si>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</si>
  <si>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</si>
  <si>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</si>
  <si>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</si>
  <si>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</si>
  <si>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</si>
  <si>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</si>
  <si>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</si>
  <si>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</si>
  <si>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</si>
  <si>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</si>
  <si>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</si>
  <si>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</si>
  <si>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</si>
  <si>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</si>
  <si>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</si>
  <si>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</si>
  <si>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</si>
  <si>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</si>
  <si>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</si>
  <si>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</si>
  <si>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</si>
  <si>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</si>
  <si>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</si>
  <si>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</si>
  <si>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</si>
  <si>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</si>
  <si>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</si>
  <si>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</si>
  <si>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</si>
  <si>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</si>
  <si>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</si>
  <si>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</si>
  <si>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</si>
  <si>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</si>
  <si>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</si>
  <si>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</si>
  <si>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</si>
  <si>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</si>
  <si>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</si>
  <si>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</si>
  <si>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</si>
  <si>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</si>
  <si>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</si>
  <si>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</si>
  <si>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</si>
  <si>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</si>
  <si>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</si>
  <si>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</si>
  <si>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</si>
  <si>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</si>
  <si>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</si>
  <si>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</si>
  <si>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</si>
  <si>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</si>
  <si>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</si>
  <si>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</si>
  <si>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</si>
  <si>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</si>
  <si>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</si>
  <si>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</si>
  <si>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</si>
  <si>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</si>
  <si>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</si>
  <si>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</si>
  <si>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</si>
  <si>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</si>
  <si>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</si>
  <si>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</si>
  <si>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</si>
  <si>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</si>
  <si>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</si>
  <si>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</si>
  <si>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</si>
  <si>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</si>
  <si>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</si>
  <si>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</si>
  <si>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</si>
  <si>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</si>
  <si>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</si>
  <si>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</si>
  <si>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</si>
  <si>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</si>
  <si>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</si>
  <si>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</si>
  <si>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</si>
  <si>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</si>
  <si>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</si>
  <si>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</si>
  <si>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</si>
  <si>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</si>
  <si>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</si>
  <si>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</si>
  <si>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</si>
  <si>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</si>
  <si>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</si>
  <si>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</si>
  <si>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</si>
  <si>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</si>
  <si>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</si>
  <si>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</si>
  <si>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</si>
  <si>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</si>
  <si>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</si>
  <si>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</si>
  <si>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</si>
  <si>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</si>
  <si>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</si>
  <si>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</si>
  <si>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</si>
  <si>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</si>
  <si>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</si>
  <si>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</si>
  <si>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</si>
  <si>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</si>
  <si>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</si>
  <si>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</si>
  <si>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</si>
  <si>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</si>
  <si>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</si>
  <si>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</si>
  <si>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</si>
  <si>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</si>
  <si>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</si>
  <si>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</si>
  <si>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</si>
  <si>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</si>
  <si>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</si>
  <si>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</si>
  <si>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</si>
  <si>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</si>
  <si>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</si>
  <si>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</si>
  <si>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</si>
  <si>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</si>
  <si>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</si>
  <si>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</si>
  <si>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</si>
  <si>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</si>
  <si>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</si>
  <si>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</si>
  <si>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</si>
  <si>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</si>
  <si>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</si>
  <si>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</si>
  <si>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</si>
  <si>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</si>
  <si>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</si>
  <si>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</si>
  <si>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</si>
  <si>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</si>
  <si>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</si>
  <si>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</si>
  <si>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</si>
  <si>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</si>
  <si>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</si>
  <si>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</si>
  <si>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</si>
  <si>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</si>
  <si>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</si>
  <si>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</si>
  <si>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</si>
  <si>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</si>
  <si>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</si>
  <si>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</si>
  <si>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</si>
  <si>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</si>
  <si>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</si>
  <si>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</si>
  <si>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</si>
  <si>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</si>
  <si>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</si>
  <si>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</si>
  <si>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</si>
  <si>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</si>
  <si>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</si>
  <si>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</si>
  <si>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</si>
  <si>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</si>
  <si>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</si>
  <si>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</si>
  <si>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</si>
  <si>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</si>
  <si>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</si>
  <si>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</si>
  <si>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</si>
  <si>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</si>
  <si>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</si>
  <si>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</si>
  <si>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</si>
  <si>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</si>
  <si>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</si>
  <si>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</si>
  <si>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</si>
  <si>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</si>
  <si>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</si>
  <si>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</si>
  <si>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</si>
  <si>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</si>
  <si>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</si>
  <si>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</si>
  <si>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</si>
  <si>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</si>
  <si>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</si>
  <si>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</si>
  <si>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</si>
  <si>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</si>
  <si>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</si>
  <si>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</si>
  <si>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</si>
  <si>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</si>
  <si>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</si>
  <si>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</si>
  <si>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</si>
  <si>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</si>
  <si>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</si>
  <si>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</si>
  <si>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</si>
  <si>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</si>
  <si>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</si>
  <si>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</si>
  <si>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</si>
  <si>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</si>
  <si>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</si>
  <si>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</si>
  <si>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</si>
  <si>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</si>
  <si>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</si>
  <si>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</si>
  <si>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</si>
  <si>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</si>
  <si>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</si>
  <si>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</si>
  <si>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</si>
  <si>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Political Donations</t>
  </si>
  <si>
    <t>Income per T5013</t>
  </si>
  <si>
    <t>Increase in contingent liabilty</t>
  </si>
  <si>
    <t>Operating costs of Qualifying transitional asset</t>
  </si>
  <si>
    <t>Capital tax expense</t>
  </si>
  <si>
    <t>Allowance for deferred restructing cost</t>
  </si>
  <si>
    <t>Dividend Income</t>
  </si>
  <si>
    <t>Utility Name: Asphodel-Norwood Distribution Inc.</t>
  </si>
  <si>
    <t>Y</t>
  </si>
  <si>
    <t>Total deemed interest  (REGINFO CELL D62)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</si>
</sst>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10" fontId="0" fillId="0" borderId="0" xfId="63" applyFont="1" applyAlignment="1" applyProtection="1">
      <alignment vertical="top"/>
      <protection locked="0"/>
    </xf>
    <xf numFmtId="172" fontId="0" fillId="0" borderId="0" xfId="63" applyNumberFormat="1" applyFont="1" applyAlignment="1" applyProtection="1">
      <alignment vertical="top"/>
      <protection locked="0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 horizontal="right" vertical="top"/>
    </xf>
    <xf numFmtId="0" fontId="0" fillId="45" borderId="0" xfId="0" applyFont="1" applyFill="1" applyAlignment="1">
      <alignment vertical="top" wrapText="1"/>
    </xf>
    <xf numFmtId="10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 applyProtection="1" quotePrefix="1">
      <alignment horizontal="right" vertical="top"/>
      <protection/>
    </xf>
    <xf numFmtId="3" fontId="0" fillId="44" borderId="17" xfId="0" applyNumberFormat="1" applyFill="1" applyBorder="1" applyAlignment="1" applyProtection="1">
      <alignment horizontal="center" vertical="top"/>
      <protection locked="0"/>
    </xf>
    <xf numFmtId="0" fontId="60" fillId="0" borderId="0" xfId="0" applyFont="1" applyFill="1" applyBorder="1" applyAlignment="1">
      <alignment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3" fontId="0" fillId="44" borderId="0" xfId="0" applyNumberFormat="1" applyFill="1" applyAlignment="1">
      <alignment/>
    </xf>
    <xf numFmtId="0" fontId="6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45" borderId="0" xfId="0" applyFont="1" applyFill="1" applyAlignment="1">
      <alignment vertical="top"/>
    </xf>
    <xf numFmtId="3" fontId="0" fillId="32" borderId="14" xfId="0" applyNumberForma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10" fontId="0" fillId="0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7" borderId="24" xfId="0" applyFont="1" applyFill="1" applyBorder="1" applyAlignment="1" applyProtection="1">
      <alignment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32">
      <selection activeCell="E21" sqref="E2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460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484</v>
      </c>
      <c r="C4" s="8"/>
      <c r="D4" s="454" t="s">
        <v>441</v>
      </c>
      <c r="E4" s="428"/>
      <c r="H4" s="8"/>
    </row>
    <row r="5" spans="1:8" ht="12.75">
      <c r="A5" s="52"/>
      <c r="C5" s="8"/>
      <c r="D5" s="453" t="s">
        <v>442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515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515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515" t="s">
        <v>505</v>
      </c>
    </row>
    <row r="18" spans="1:4" ht="15" customHeight="1">
      <c r="A18" s="389" t="s">
        <v>315</v>
      </c>
      <c r="C18" s="8"/>
      <c r="D18" s="8"/>
    </row>
    <row r="19" spans="1:4" ht="15" customHeight="1">
      <c r="A19" s="517" t="s">
        <v>316</v>
      </c>
      <c r="B19" s="8" t="s">
        <v>313</v>
      </c>
      <c r="C19" s="8" t="s">
        <v>64</v>
      </c>
      <c r="D19" s="516" t="s">
        <v>505</v>
      </c>
    </row>
    <row r="20" spans="1:4" ht="13.5" thickBot="1">
      <c r="A20" s="518"/>
      <c r="B20" s="8" t="s">
        <v>314</v>
      </c>
      <c r="C20" s="8" t="s">
        <v>64</v>
      </c>
      <c r="D20" s="515" t="s">
        <v>505</v>
      </c>
    </row>
    <row r="21" spans="1:4" ht="12.75">
      <c r="A21" s="517" t="s">
        <v>312</v>
      </c>
      <c r="B21" s="8" t="s">
        <v>313</v>
      </c>
      <c r="C21" s="8"/>
      <c r="D21" s="423"/>
    </row>
    <row r="22" spans="1:4" ht="12.75">
      <c r="A22" s="517"/>
      <c r="B22" s="8" t="s">
        <v>314</v>
      </c>
      <c r="C22" s="8"/>
      <c r="D22" s="423"/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502176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43011.3744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-5052</v>
      </c>
      <c r="E43" s="387">
        <f>D43</f>
        <v>-5052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48063.3744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16021</v>
      </c>
      <c r="E47" s="387">
        <f aca="true" t="shared" si="0" ref="E47:E53">D47</f>
        <v>16021</v>
      </c>
      <c r="H47" s="40"/>
      <c r="J47" s="5"/>
      <c r="K47" s="5"/>
    </row>
    <row r="48" spans="1:11" ht="12.75">
      <c r="A48" t="s">
        <v>290</v>
      </c>
      <c r="D48" s="426">
        <v>16021</v>
      </c>
      <c r="E48" s="387">
        <f>D48</f>
        <v>16021</v>
      </c>
      <c r="F48" s="22"/>
      <c r="H48" s="40"/>
      <c r="J48" s="5"/>
      <c r="K48" s="5"/>
    </row>
    <row r="49" spans="1:11" ht="12.75">
      <c r="A49" t="s">
        <v>291</v>
      </c>
      <c r="D49" s="427">
        <v>16021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26990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251088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24807.4944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251088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18203.879999999997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4642.454757734967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11423.088149445415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11423.088149445415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18203.879999999997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&amp;C&amp;F &amp;A</oddHeader>
    <oddFooter>&amp;C&amp;P of &amp;N&amp;R&amp;"Arial,Bold"&amp;9&amp;A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93">
      <selection activeCell="C204" sqref="C204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Asphodel-Norwood Distribution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REGINFO!E54+5052</f>
        <v>32042</v>
      </c>
      <c r="D16" s="17"/>
      <c r="E16" s="266">
        <f>G16-C16</f>
        <v>-15292</v>
      </c>
      <c r="F16" s="3"/>
      <c r="G16" s="266">
        <f>TAXREC!E50</f>
        <v>16750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26015</v>
      </c>
      <c r="D20" s="18"/>
      <c r="E20" s="266">
        <f>G20-C20</f>
        <v>-1862</v>
      </c>
      <c r="F20" s="6"/>
      <c r="G20" s="266">
        <f>TAXREC!E61</f>
        <v>24153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82" t="s">
        <v>394</v>
      </c>
      <c r="B30" s="127"/>
      <c r="C30" s="258"/>
      <c r="D30" s="18"/>
      <c r="E30" s="266">
        <f>G30-C30</f>
        <v>29</v>
      </c>
      <c r="F30" s="6"/>
      <c r="G30" s="266">
        <f>TAXREC!E66</f>
        <v>29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14256</v>
      </c>
      <c r="D33" s="132"/>
      <c r="E33" s="266">
        <f aca="true" t="shared" si="0" ref="E33:E42">G33-C33</f>
        <v>3714</v>
      </c>
      <c r="F33" s="6"/>
      <c r="G33" s="266">
        <f>TAXREC!E97+TAXREC!E98</f>
        <v>17970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>
        <v>0</v>
      </c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v>13561</v>
      </c>
      <c r="D37" s="132"/>
      <c r="E37" s="266">
        <f t="shared" si="0"/>
        <v>-12705</v>
      </c>
      <c r="F37" s="6"/>
      <c r="G37" s="266">
        <f>TAXREC!E51</f>
        <v>856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394</v>
      </c>
      <c r="B48" s="127"/>
      <c r="C48" s="258"/>
      <c r="D48" s="132"/>
      <c r="E48" s="266">
        <f>G48-C48</f>
        <v>5252</v>
      </c>
      <c r="F48" s="6"/>
      <c r="G48" s="251">
        <f>TAXREC!E108</f>
        <v>5252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30240</v>
      </c>
      <c r="D50" s="102"/>
      <c r="E50" s="262">
        <f>E16+SUM(E20:E30)-SUM(E33:E48)</f>
        <v>-13386</v>
      </c>
      <c r="F50" s="431"/>
      <c r="G50" s="262">
        <f>G16+SUM(G20:G30)-SUM(G33:G48)</f>
        <v>16854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0.1912</v>
      </c>
      <c r="D53" s="102"/>
      <c r="E53" s="267">
        <f>+G53-C53</f>
        <v>0.17007922154978042</v>
      </c>
      <c r="F53" s="114"/>
      <c r="G53" s="473">
        <f>TAXREC!E151</f>
        <v>0.3612792215497804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5781.888</v>
      </c>
      <c r="D55" s="102"/>
      <c r="E55" s="266">
        <f>G55-C55</f>
        <v>307.1120000000001</v>
      </c>
      <c r="F55" s="431" t="s">
        <v>367</v>
      </c>
      <c r="G55" s="263">
        <f>TAXREC!E144</f>
        <v>6089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367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5781.888</v>
      </c>
      <c r="D60" s="133"/>
      <c r="E60" s="268">
        <f>+E55-E58</f>
        <v>307.1120000000001</v>
      </c>
      <c r="F60" s="431" t="s">
        <v>367</v>
      </c>
      <c r="G60" s="268">
        <f>+G55-G58</f>
        <v>6089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502176</v>
      </c>
      <c r="D66" s="102"/>
      <c r="E66" s="266">
        <f>G66-C66</f>
        <v>182818</v>
      </c>
      <c r="F66" s="6"/>
      <c r="G66" s="475">
        <v>684994</v>
      </c>
      <c r="H66" s="151"/>
      <c r="I66" s="476" t="s">
        <v>474</v>
      </c>
    </row>
    <row r="67" spans="1:10" ht="12.75">
      <c r="A67" s="152" t="s">
        <v>360</v>
      </c>
      <c r="B67" s="125">
        <v>16</v>
      </c>
      <c r="C67" s="259">
        <v>53500</v>
      </c>
      <c r="D67" s="102"/>
      <c r="E67" s="266">
        <f>G67-C67</f>
        <v>-53500</v>
      </c>
      <c r="F67" s="6"/>
      <c r="G67" s="266">
        <v>0</v>
      </c>
      <c r="H67" s="151"/>
      <c r="I67" s="476" t="s">
        <v>474</v>
      </c>
      <c r="J67" s="477"/>
    </row>
    <row r="68" spans="1:8" ht="12.75">
      <c r="A68" s="152" t="s">
        <v>42</v>
      </c>
      <c r="B68" s="125"/>
      <c r="C68" s="263">
        <f>IF((C66-C67)&gt;0,C66-C67,0)</f>
        <v>448676</v>
      </c>
      <c r="D68" s="102"/>
      <c r="E68" s="266">
        <f>SUM(E66:E67)</f>
        <v>129318</v>
      </c>
      <c r="F68" s="114"/>
      <c r="G68" s="263">
        <f>G66-G67</f>
        <v>684994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1346.028</v>
      </c>
      <c r="D72" s="101"/>
      <c r="E72" s="266">
        <f>+G72-C72</f>
        <v>708.954</v>
      </c>
      <c r="F72" s="478"/>
      <c r="G72" s="263">
        <f>IF(G68&gt;0,G68*G70,0)*REGINFO!$B$6/REGINFO!$B$7</f>
        <v>2054.982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502176</v>
      </c>
      <c r="D75" s="102"/>
      <c r="E75" s="266">
        <f>+G75-C75</f>
        <v>168438</v>
      </c>
      <c r="F75" s="6"/>
      <c r="G75" s="475">
        <v>670614</v>
      </c>
      <c r="H75" s="151"/>
      <c r="I75" s="476" t="s">
        <v>474</v>
      </c>
    </row>
    <row r="76" spans="1:9" ht="12.75">
      <c r="A76" s="152" t="s">
        <v>360</v>
      </c>
      <c r="B76" s="125">
        <v>19</v>
      </c>
      <c r="C76" s="259">
        <v>107000</v>
      </c>
      <c r="D76" s="18"/>
      <c r="E76" s="266">
        <f>+G76-C76</f>
        <v>468800</v>
      </c>
      <c r="F76" s="6"/>
      <c r="G76" s="266">
        <v>575800</v>
      </c>
      <c r="H76" s="151"/>
      <c r="I76" s="476" t="s">
        <v>474</v>
      </c>
    </row>
    <row r="77" spans="1:8" ht="12.75">
      <c r="A77" s="152" t="s">
        <v>42</v>
      </c>
      <c r="B77" s="125"/>
      <c r="C77" s="263">
        <f>IF((C75-C76)&gt;0,C75-C76,0)</f>
        <v>395176</v>
      </c>
      <c r="D77" s="19"/>
      <c r="E77" s="266">
        <f>SUM(E75:E76)</f>
        <v>637238</v>
      </c>
      <c r="F77" s="114"/>
      <c r="G77" s="263">
        <f>IF(G76&gt;G75,0,G75-G76)</f>
        <v>94814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889.146</v>
      </c>
      <c r="D81" s="102"/>
      <c r="E81" s="266">
        <f>+G81-C81</f>
        <v>-699.518</v>
      </c>
      <c r="F81" s="6"/>
      <c r="G81" s="263">
        <f>G77*G79*B9/B10</f>
        <v>189.628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338.688</v>
      </c>
      <c r="D82" s="102"/>
      <c r="E82" s="266">
        <f>+G82-C82</f>
        <v>-338.688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550.458</v>
      </c>
      <c r="D84" s="16"/>
      <c r="E84" s="266">
        <f>E81-E82</f>
        <v>-360.83000000000004</v>
      </c>
      <c r="F84" s="103"/>
      <c r="G84" s="263">
        <f>G81-G82</f>
        <v>189.628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0.18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3">
        <f>C60/(1-C88)+1</f>
        <v>7052.082926829267</v>
      </c>
      <c r="D90" s="20"/>
      <c r="E90" s="139"/>
      <c r="F90" s="430" t="s">
        <v>487</v>
      </c>
      <c r="G90" s="269">
        <f>TAXREC!E156</f>
        <v>6089</v>
      </c>
      <c r="H90" s="151"/>
    </row>
    <row r="91" spans="1:8" ht="12.75">
      <c r="A91" s="158" t="s">
        <v>369</v>
      </c>
      <c r="B91" s="127">
        <v>23</v>
      </c>
      <c r="C91" s="263">
        <f>C84/(1-C88)</f>
        <v>671.290243902439</v>
      </c>
      <c r="D91" s="20"/>
      <c r="E91" s="139"/>
      <c r="F91" s="430" t="s">
        <v>487</v>
      </c>
      <c r="G91" s="269">
        <f>TAXREC!E158</f>
        <v>189</v>
      </c>
      <c r="H91" s="151"/>
    </row>
    <row r="92" spans="1:8" ht="12.75">
      <c r="A92" s="158" t="s">
        <v>348</v>
      </c>
      <c r="B92" s="127">
        <v>24</v>
      </c>
      <c r="C92" s="263">
        <f>C72</f>
        <v>1346.028</v>
      </c>
      <c r="D92" s="20"/>
      <c r="E92" s="139"/>
      <c r="F92" s="430" t="s">
        <v>487</v>
      </c>
      <c r="G92" s="269">
        <f>TAXREC!E157</f>
        <v>2055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8">
        <f>SUM(C90:C93)</f>
        <v>9069.401170731706</v>
      </c>
      <c r="D95" s="6"/>
      <c r="E95" s="139"/>
      <c r="F95" s="430" t="s">
        <v>487</v>
      </c>
      <c r="G95" s="413">
        <f>SUM(G90:G94)</f>
        <v>8333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9" ht="12.75">
      <c r="A122" s="157" t="s">
        <v>486</v>
      </c>
      <c r="B122" s="127"/>
      <c r="C122" s="112"/>
      <c r="D122" s="3" t="s">
        <v>231</v>
      </c>
      <c r="E122" s="502">
        <v>0.1862</v>
      </c>
      <c r="F122" s="470"/>
      <c r="G122" s="201" t="s">
        <v>102</v>
      </c>
      <c r="H122" s="164"/>
      <c r="I122" s="506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9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0.175</v>
      </c>
      <c r="F130" s="37"/>
      <c r="G130" s="201"/>
      <c r="H130" s="164"/>
      <c r="I130" s="2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30240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5630.688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5630.688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5781.888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-151.19999999999982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502176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v>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502176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1506.528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1346.028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160.5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502176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+G76</f>
        <v>575800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-73624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550.458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-550.458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v>0.175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-183.27272727272705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-671.290243902439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160.5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-694.062971175166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85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-694.062971175166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18203.879999999997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11423.088149445415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6780.791850554582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G200" s="489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856</v>
      </c>
      <c r="F201" s="3"/>
      <c r="G201" s="489"/>
      <c r="H201" s="164"/>
    </row>
    <row r="202" spans="1:8" ht="12.75">
      <c r="A202" s="531" t="s">
        <v>506</v>
      </c>
      <c r="B202" s="127"/>
      <c r="C202" s="112"/>
      <c r="D202" s="120"/>
      <c r="E202" s="511">
        <f>+REGINFO!D62</f>
        <v>18203.879999999997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483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6780.791850554582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55" r:id="rId1"/>
  <headerFooter alignWithMargins="0">
    <oddHeader>&amp;C&amp;F &amp;A</oddHeader>
    <oddFooter>&amp;C&amp;P of &amp;N&amp;R&amp;"Arial,Bold"&amp;9&amp;A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H145" sqref="H144:I14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2.710937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Asphodel-Norwood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503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1124827</v>
      </c>
      <c r="D31" s="285"/>
      <c r="E31" s="283">
        <f>C31-D31</f>
        <v>1124827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159899</v>
      </c>
      <c r="D32" s="285"/>
      <c r="E32" s="283">
        <f>C32-D32</f>
        <v>159899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15901</v>
      </c>
      <c r="D33" s="285"/>
      <c r="E33" s="283">
        <f>C33-D33</f>
        <v>15901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16905</v>
      </c>
      <c r="D34" s="285"/>
      <c r="E34" s="283">
        <f>C34-D34</f>
        <v>16905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f>+C31</f>
        <v>1124827</v>
      </c>
      <c r="D39" s="285"/>
      <c r="E39" s="283">
        <f>C39-D39</f>
        <v>1124827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18399</v>
      </c>
      <c r="D40" s="285"/>
      <c r="E40" s="283">
        <f aca="true" t="shared" si="0" ref="E40:E48">C40-D40</f>
        <v>18399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52685</v>
      </c>
      <c r="D41" s="285"/>
      <c r="E41" s="283">
        <f t="shared" si="0"/>
        <v>52685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78559</v>
      </c>
      <c r="D42" s="285"/>
      <c r="E42" s="283">
        <f t="shared" si="0"/>
        <v>78559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24153</v>
      </c>
      <c r="D43" s="285"/>
      <c r="E43" s="283">
        <f t="shared" si="0"/>
        <v>24153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2159</v>
      </c>
      <c r="D44" s="285"/>
      <c r="E44" s="283">
        <f t="shared" si="0"/>
        <v>2159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16750</v>
      </c>
      <c r="D50" s="280">
        <f>SUM(D31:D36)-SUM(D39:D49)</f>
        <v>0</v>
      </c>
      <c r="E50" s="280">
        <f>SUM(E31:E35)-SUM(E39:E48)</f>
        <v>16750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856</v>
      </c>
      <c r="D51" s="284"/>
      <c r="E51" s="281">
        <f>+C51-D51</f>
        <v>856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6020</v>
      </c>
      <c r="D52" s="284"/>
      <c r="E52" s="282">
        <f>+C52-D52</f>
        <v>6020</v>
      </c>
      <c r="F52" s="8"/>
      <c r="G52" s="415"/>
    </row>
    <row r="53" spans="1:6" ht="14.25">
      <c r="A53" s="2" t="s">
        <v>131</v>
      </c>
      <c r="B53" s="8" t="s">
        <v>189</v>
      </c>
      <c r="C53" s="280">
        <f>C50-C51-C52</f>
        <v>9874</v>
      </c>
      <c r="D53" s="280">
        <f>D50-D51-D52</f>
        <v>0</v>
      </c>
      <c r="E53" s="280">
        <f>E50-E51-E52</f>
        <v>9874</v>
      </c>
      <c r="F53" s="50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4.25">
      <c r="A59" s="4" t="s">
        <v>98</v>
      </c>
      <c r="B59" s="8" t="s">
        <v>187</v>
      </c>
      <c r="C59" s="286">
        <f>C52</f>
        <v>6020</v>
      </c>
      <c r="D59" s="286">
        <f>D52</f>
        <v>0</v>
      </c>
      <c r="E59" s="271">
        <f>+C59-D59</f>
        <v>6020</v>
      </c>
      <c r="F59" s="508"/>
      <c r="G59" s="415"/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4.25">
      <c r="A61" t="s">
        <v>4</v>
      </c>
      <c r="B61" s="8" t="s">
        <v>187</v>
      </c>
      <c r="C61" s="496">
        <v>24153</v>
      </c>
      <c r="D61" s="286">
        <f>D43</f>
        <v>0</v>
      </c>
      <c r="E61" s="271">
        <f>+C61-D61</f>
        <v>24153</v>
      </c>
      <c r="F61" s="508"/>
      <c r="G61" s="415"/>
    </row>
    <row r="62" spans="1:7" ht="14.25">
      <c r="A62" t="s">
        <v>6</v>
      </c>
      <c r="B62" s="8" t="s">
        <v>187</v>
      </c>
      <c r="C62" s="496">
        <v>0</v>
      </c>
      <c r="D62" s="286">
        <v>0</v>
      </c>
      <c r="E62" s="271">
        <f>+C62-D62</f>
        <v>0</v>
      </c>
      <c r="F62" s="508"/>
      <c r="G62" s="509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443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394</v>
      </c>
      <c r="B66" s="8"/>
      <c r="C66" s="499">
        <f>'TAXREC 3 No True-up'!C47</f>
        <v>29</v>
      </c>
      <c r="D66" s="446">
        <f>'TAXREC 3 No True-up'!D47</f>
        <v>0</v>
      </c>
      <c r="E66" s="271">
        <f>+C66-D66</f>
        <v>29</v>
      </c>
      <c r="F66" s="8"/>
    </row>
    <row r="67" spans="1:6" ht="12.75">
      <c r="A67" t="s">
        <v>160</v>
      </c>
      <c r="B67" s="8" t="s">
        <v>187</v>
      </c>
      <c r="C67" s="495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30202</v>
      </c>
      <c r="D70" s="271">
        <f>SUM(D59:D68)</f>
        <v>0</v>
      </c>
      <c r="E70" s="271">
        <f>SUM(E59:E68)</f>
        <v>30202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3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30202</v>
      </c>
      <c r="D82" s="251">
        <f>D70+D80</f>
        <v>0</v>
      </c>
      <c r="E82" s="251">
        <f>E70+E80</f>
        <v>30202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431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4.25">
      <c r="A97" t="s">
        <v>27</v>
      </c>
      <c r="B97" s="8" t="s">
        <v>188</v>
      </c>
      <c r="C97" s="498">
        <v>17970</v>
      </c>
      <c r="D97" s="293"/>
      <c r="E97" s="271">
        <f>+C97-D97</f>
        <v>17970</v>
      </c>
      <c r="F97" s="508"/>
      <c r="G97" s="45"/>
      <c r="H97" s="45"/>
      <c r="I97" s="45"/>
      <c r="J97" s="45"/>
      <c r="K97" s="45"/>
    </row>
    <row r="98" spans="1:11" ht="14.25">
      <c r="A98" t="s">
        <v>14</v>
      </c>
      <c r="B98" s="8" t="s">
        <v>188</v>
      </c>
      <c r="C98" s="498"/>
      <c r="D98" s="293"/>
      <c r="E98" s="271">
        <f>+C98-D98</f>
        <v>0</v>
      </c>
      <c r="F98" s="50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498">
        <f>'TAXREC 3 No True-up'!C73</f>
        <v>5252</v>
      </c>
      <c r="D108" s="254">
        <f>'TAXREC 3 No True-up'!D73</f>
        <v>0</v>
      </c>
      <c r="E108" s="271">
        <f t="shared" si="5"/>
        <v>5252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495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512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23222</v>
      </c>
      <c r="D113" s="251">
        <f>SUM(D97:D111)</f>
        <v>0</v>
      </c>
      <c r="E113" s="251">
        <f>SUM(E97:E111)</f>
        <v>23222</v>
      </c>
      <c r="F113" s="8"/>
      <c r="G113" s="30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23222</v>
      </c>
      <c r="D122" s="251">
        <f>D113+D120</f>
        <v>0</v>
      </c>
      <c r="E122" s="251">
        <f>+E113+E120</f>
        <v>23222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513" t="s">
        <v>503</v>
      </c>
      <c r="B126" s="272"/>
      <c r="C126" s="289"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+C53+C82-C122+C131</f>
        <v>16854</v>
      </c>
      <c r="D134" s="251">
        <f>D53+D82-D122</f>
        <v>0</v>
      </c>
      <c r="E134" s="251">
        <f>E53+E82-E122</f>
        <v>16854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</f>
        <v>16854</v>
      </c>
      <c r="D139" s="252">
        <f>D134-D136-D137-D138</f>
        <v>0</v>
      </c>
      <c r="E139" s="252">
        <f>E134-E136-E137-E138</f>
        <v>16854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3729</v>
      </c>
      <c r="D142" s="487">
        <f>D139*C149</f>
        <v>0</v>
      </c>
      <c r="E142" s="252">
        <f>C142-D142</f>
        <v>3729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494">
        <v>2360</v>
      </c>
      <c r="D143" s="487">
        <f>D139*C150</f>
        <v>0</v>
      </c>
      <c r="E143" s="291">
        <f>C143-D143</f>
        <v>2360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6089</v>
      </c>
      <c r="D144" s="252">
        <f>D142+D143</f>
        <v>0</v>
      </c>
      <c r="E144" s="252">
        <f>E142+E143</f>
        <v>6089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48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6089</v>
      </c>
      <c r="D146" s="252">
        <f>D144-D145</f>
        <v>0</v>
      </c>
      <c r="E146" s="252">
        <f>E144-E145</f>
        <v>6089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+C142/C139</f>
        <v>0.22125311498754005</v>
      </c>
      <c r="D149" s="492"/>
      <c r="E149" s="405">
        <f>C149</f>
        <v>0.22125311498754005</v>
      </c>
      <c r="F149" s="8"/>
      <c r="G149" s="484" t="s">
        <v>469</v>
      </c>
      <c r="H149" s="45"/>
      <c r="I149" s="514">
        <f>+C142/C139</f>
        <v>0.22125311498754005</v>
      </c>
      <c r="J149" s="45"/>
      <c r="K149" s="45"/>
    </row>
    <row r="150" spans="1:11" ht="12.75">
      <c r="A150" s="46" t="s">
        <v>330</v>
      </c>
      <c r="B150" s="8"/>
      <c r="C150" s="501">
        <f>+C143/C139</f>
        <v>0.1400261065622404</v>
      </c>
      <c r="D150" s="493"/>
      <c r="E150" s="405">
        <f>C150</f>
        <v>0.1400261065622404</v>
      </c>
      <c r="F150" s="8"/>
      <c r="G150" s="484" t="s">
        <v>470</v>
      </c>
      <c r="H150" s="45"/>
      <c r="I150" s="514">
        <f>+C143/C139</f>
        <v>0.1400261065622404</v>
      </c>
      <c r="K150" s="45"/>
    </row>
    <row r="151" spans="1:11" ht="12.75">
      <c r="A151" t="s">
        <v>331</v>
      </c>
      <c r="B151" s="8"/>
      <c r="C151" s="405">
        <f>SUM(C149:C150)</f>
        <v>0.3612792215497804</v>
      </c>
      <c r="D151" s="5"/>
      <c r="E151" s="405">
        <f>SUM(E149:E150)</f>
        <v>0.3612792215497804</v>
      </c>
      <c r="F151" s="8"/>
      <c r="G151" s="504"/>
      <c r="H151" s="45"/>
      <c r="I151" s="514">
        <f>+I150+I149</f>
        <v>0.3612792215497804</v>
      </c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6089</v>
      </c>
      <c r="D156" s="251">
        <f>D146</f>
        <v>0</v>
      </c>
      <c r="E156" s="251">
        <f>E146</f>
        <v>6089</v>
      </c>
    </row>
    <row r="157" spans="1:5" ht="12.75">
      <c r="A157" t="s">
        <v>20</v>
      </c>
      <c r="B157" s="86" t="s">
        <v>187</v>
      </c>
      <c r="C157" s="495">
        <v>2055</v>
      </c>
      <c r="D157" s="251"/>
      <c r="E157" s="251">
        <f>C157+D157</f>
        <v>2055</v>
      </c>
    </row>
    <row r="158" spans="1:5" ht="12.75">
      <c r="A158" t="s">
        <v>218</v>
      </c>
      <c r="B158" s="86" t="s">
        <v>187</v>
      </c>
      <c r="C158" s="480">
        <v>189</v>
      </c>
      <c r="D158" s="251"/>
      <c r="E158" s="251">
        <f>C158+D158</f>
        <v>189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8333</v>
      </c>
      <c r="D160" s="251">
        <f>D156+D157+D158</f>
        <v>0</v>
      </c>
      <c r="E160" s="251">
        <f>E156+E157+E158</f>
        <v>8333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2" r:id="rId1"/>
  <headerFooter alignWithMargins="0">
    <oddHeader>&amp;C&amp;F &amp;A</oddHeader>
    <oddFooter>&amp;C&amp;P of &amp;N&amp;R&amp;"Arial,Bold"&amp;9&amp;A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Asphodel-Norwood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448</v>
      </c>
      <c r="B18" s="61"/>
      <c r="C18" s="293"/>
      <c r="D18" s="293"/>
      <c r="E18" s="251">
        <f t="shared" si="0"/>
        <v>0</v>
      </c>
    </row>
    <row r="19" spans="1:5" ht="12.75">
      <c r="A19" s="61" t="s">
        <v>448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448</v>
      </c>
      <c r="B30" s="61"/>
      <c r="C30" s="293"/>
      <c r="D30" s="293"/>
      <c r="E30" s="251">
        <f t="shared" si="1"/>
        <v>0</v>
      </c>
    </row>
    <row r="31" spans="1:5" ht="12.75">
      <c r="A31" s="61" t="s">
        <v>448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448</v>
      </c>
      <c r="B47" s="61"/>
      <c r="C47" s="293"/>
      <c r="D47" s="293"/>
      <c r="E47" s="251">
        <f t="shared" si="2"/>
        <v>0</v>
      </c>
    </row>
    <row r="48" spans="1:5" ht="12.75">
      <c r="A48" s="61" t="s">
        <v>448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448</v>
      </c>
      <c r="B59" s="61"/>
      <c r="C59" s="293"/>
      <c r="D59" s="293"/>
      <c r="E59" s="251">
        <f t="shared" si="3"/>
        <v>0</v>
      </c>
    </row>
    <row r="60" spans="1:5" ht="12.75">
      <c r="A60" s="61" t="s">
        <v>448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&amp;C&amp;F &amp;A</oddHeader>
    <oddFooter>&amp;C&amp;P of &amp;N&amp;R&amp;"Arial,Bold"&amp;9&amp;A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F14" sqref="F14:G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Asphodel-Norwood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449</v>
      </c>
      <c r="B20" t="s">
        <v>187</v>
      </c>
      <c r="C20" s="294"/>
      <c r="D20" s="313"/>
      <c r="E20" s="312">
        <f t="shared" si="0"/>
        <v>0</v>
      </c>
    </row>
    <row r="21" spans="1:6" ht="14.25">
      <c r="A21" s="67" t="s">
        <v>8</v>
      </c>
      <c r="B21" t="s">
        <v>187</v>
      </c>
      <c r="C21" s="497">
        <v>0</v>
      </c>
      <c r="D21" s="294"/>
      <c r="E21" s="312">
        <f t="shared" si="0"/>
        <v>0</v>
      </c>
      <c r="F21" s="508"/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475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491" t="s">
        <v>498</v>
      </c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 aca="true" t="shared" si="2" ref="A52:A57">IF($E20&gt;$C$11,A20,"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t="shared" si="2"/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>IF($E26&gt;$C$11,A24," ")</f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>IF($E27&gt;$C$11,A25," ")</f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1:5" ht="12.75">
      <c r="A92" s="500"/>
      <c r="B92" s="8" t="s">
        <v>188</v>
      </c>
      <c r="C92" s="498">
        <v>0</v>
      </c>
      <c r="D92" s="293"/>
      <c r="E92" s="495">
        <f t="shared" si="5"/>
        <v>0</v>
      </c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3"/>
      <c r="D96" s="293"/>
      <c r="E96" s="251">
        <f t="shared" si="5"/>
        <v>0</v>
      </c>
    </row>
    <row r="97" spans="1:5" ht="12.75">
      <c r="A97" s="491" t="s">
        <v>501</v>
      </c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4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 t="shared" si="6"/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 t="shared" si="6"/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 t="shared" si="6"/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5" r:id="rId1"/>
  <headerFooter alignWithMargins="0">
    <oddHeader>&amp;C&amp;F &amp;A</oddHeader>
    <oddFooter>&amp;C&amp;P of &amp;N&amp;R&amp;"Arial,Bold"&amp;9&amp;A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L92"/>
  <sheetViews>
    <sheetView zoomScale="75" zoomScaleNormal="75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F52" sqref="F52:G7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Asphodel-Norwood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387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453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390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391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454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389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388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6" ht="14.25">
      <c r="A32" s="67" t="s">
        <v>432</v>
      </c>
      <c r="B32" t="s">
        <v>187</v>
      </c>
      <c r="C32" s="294">
        <v>29</v>
      </c>
      <c r="D32" s="294"/>
      <c r="E32" s="312">
        <f t="shared" si="0"/>
        <v>29</v>
      </c>
      <c r="F32" s="508"/>
    </row>
    <row r="33" spans="1:5" ht="12.75">
      <c r="A33" s="67" t="s">
        <v>433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450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451</v>
      </c>
      <c r="C35" s="294"/>
      <c r="D35" s="294"/>
      <c r="E35" s="312">
        <f t="shared" si="0"/>
        <v>0</v>
      </c>
    </row>
    <row r="36" spans="1:5" ht="12.75">
      <c r="A36" s="67" t="s">
        <v>434</v>
      </c>
      <c r="C36" s="294"/>
      <c r="D36" s="294"/>
      <c r="E36" s="312">
        <f t="shared" si="0"/>
        <v>0</v>
      </c>
    </row>
    <row r="37" spans="1:5" ht="12.75">
      <c r="A37" s="67" t="s">
        <v>435</v>
      </c>
      <c r="C37" s="294"/>
      <c r="D37" s="294"/>
      <c r="E37" s="312">
        <f t="shared" si="0"/>
        <v>0</v>
      </c>
    </row>
    <row r="38" spans="1:5" ht="12.75">
      <c r="A38" s="81" t="s">
        <v>392</v>
      </c>
      <c r="C38" s="294"/>
      <c r="D38" s="294"/>
      <c r="E38" s="312">
        <f t="shared" si="0"/>
        <v>0</v>
      </c>
    </row>
    <row r="39" spans="1:6" ht="14.25">
      <c r="A39" s="491" t="s">
        <v>497</v>
      </c>
      <c r="B39" t="s">
        <v>187</v>
      </c>
      <c r="C39" s="294"/>
      <c r="D39" s="294"/>
      <c r="E39" s="312">
        <f t="shared" si="0"/>
        <v>0</v>
      </c>
      <c r="F39" s="508"/>
    </row>
    <row r="40" spans="1:6" ht="14.25">
      <c r="A40" s="81" t="s">
        <v>386</v>
      </c>
      <c r="B40" t="s">
        <v>187</v>
      </c>
      <c r="C40" s="497"/>
      <c r="D40" s="294"/>
      <c r="E40" s="312">
        <f t="shared" si="0"/>
        <v>0</v>
      </c>
      <c r="F40" s="508"/>
    </row>
    <row r="41" spans="1:5" ht="12.75">
      <c r="A41" s="67" t="s">
        <v>457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12" ht="12.75">
      <c r="A44" t="s">
        <v>499</v>
      </c>
      <c r="B44" t="s">
        <v>187</v>
      </c>
      <c r="C44" s="294"/>
      <c r="D44" s="293"/>
      <c r="E44" s="251">
        <f t="shared" si="0"/>
        <v>0</v>
      </c>
      <c r="G44" s="506"/>
      <c r="L44" s="505"/>
    </row>
    <row r="45" spans="1:6" ht="14.25">
      <c r="A45" s="510" t="s">
        <v>498</v>
      </c>
      <c r="B45" t="s">
        <v>187</v>
      </c>
      <c r="C45" s="498"/>
      <c r="D45" s="293"/>
      <c r="E45" s="251">
        <f t="shared" si="0"/>
        <v>0</v>
      </c>
      <c r="F45" s="508"/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396</v>
      </c>
      <c r="B47" t="s">
        <v>189</v>
      </c>
      <c r="C47" s="251">
        <f>SUM(C19:C46)</f>
        <v>29</v>
      </c>
      <c r="D47" s="251">
        <f>SUM(D19:D46)</f>
        <v>0</v>
      </c>
      <c r="E47" s="251">
        <f>SUM(E19:E46)</f>
        <v>29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388</v>
      </c>
      <c r="B53" s="8" t="s">
        <v>188</v>
      </c>
      <c r="C53" s="293"/>
      <c r="D53" s="293"/>
      <c r="E53" s="251">
        <f t="shared" si="1"/>
        <v>0</v>
      </c>
    </row>
    <row r="54" spans="1:6" ht="14.25">
      <c r="A54" t="s">
        <v>436</v>
      </c>
      <c r="B54" s="8" t="s">
        <v>188</v>
      </c>
      <c r="C54" s="498"/>
      <c r="D54" s="293"/>
      <c r="E54" s="251">
        <f t="shared" si="1"/>
        <v>0</v>
      </c>
      <c r="F54" s="508"/>
    </row>
    <row r="55" spans="1:5" ht="12.75">
      <c r="A55" s="67" t="s">
        <v>444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3"/>
      <c r="D58" s="293"/>
      <c r="E58" s="251">
        <f t="shared" si="1"/>
        <v>0</v>
      </c>
    </row>
    <row r="59" spans="1:6" ht="14.25">
      <c r="A59" s="491" t="s">
        <v>500</v>
      </c>
      <c r="B59" s="8" t="s">
        <v>188</v>
      </c>
      <c r="C59" s="498"/>
      <c r="D59" s="293"/>
      <c r="E59" s="251">
        <f t="shared" si="1"/>
        <v>0</v>
      </c>
      <c r="F59" s="508"/>
    </row>
    <row r="60" spans="1:6" ht="14.25">
      <c r="A60" s="468" t="s">
        <v>393</v>
      </c>
      <c r="B60" s="8" t="s">
        <v>188</v>
      </c>
      <c r="C60" s="498"/>
      <c r="D60" s="293"/>
      <c r="E60" s="251">
        <f t="shared" si="1"/>
        <v>0</v>
      </c>
      <c r="F60" s="508"/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8" t="s">
        <v>386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t="s">
        <v>496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6" ht="14.25">
      <c r="A69" s="500" t="s">
        <v>502</v>
      </c>
      <c r="B69" s="8" t="s">
        <v>188</v>
      </c>
      <c r="C69" s="498">
        <v>5252</v>
      </c>
      <c r="D69" s="293"/>
      <c r="E69" s="251">
        <f t="shared" si="2"/>
        <v>5252</v>
      </c>
      <c r="F69" s="508"/>
    </row>
    <row r="70" spans="1:6" ht="14.25">
      <c r="A70" s="500"/>
      <c r="B70" s="8" t="s">
        <v>188</v>
      </c>
      <c r="C70" s="498"/>
      <c r="D70" s="293"/>
      <c r="E70" s="251">
        <f t="shared" si="2"/>
        <v>0</v>
      </c>
      <c r="F70" s="508"/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395</v>
      </c>
      <c r="B73" s="8" t="s">
        <v>189</v>
      </c>
      <c r="C73" s="251">
        <f>SUM(C51:C72)</f>
        <v>5252</v>
      </c>
      <c r="D73" s="251">
        <f>SUM(D51:D72)</f>
        <v>0</v>
      </c>
      <c r="E73" s="251">
        <f>SUM(E51:E72)</f>
        <v>5252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&amp;C&amp;F &amp;A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7">
      <selection activeCell="H48" sqref="H48:L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11.7109375" style="8" bestFit="1" customWidth="1"/>
    <col min="6" max="6" width="14.851562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Asphodel-Norwood Distribution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5" t="s">
        <v>479</v>
      </c>
      <c r="B8" s="526"/>
      <c r="C8" s="526"/>
      <c r="D8" s="526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9" t="s">
        <v>494</v>
      </c>
      <c r="B23" s="520"/>
      <c r="C23" s="520"/>
      <c r="D23" s="520"/>
      <c r="E23" s="520"/>
      <c r="F23" s="520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5" t="s">
        <v>490</v>
      </c>
      <c r="B26" s="526"/>
      <c r="C26" s="526"/>
      <c r="D26" s="526"/>
      <c r="E26" s="526"/>
      <c r="F26" s="52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440</v>
      </c>
      <c r="B28" s="326"/>
      <c r="C28" s="369" t="s">
        <v>111</v>
      </c>
      <c r="D28" s="369" t="s">
        <v>111</v>
      </c>
      <c r="E28" s="369" t="s">
        <v>111</v>
      </c>
      <c r="F28" s="370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491</v>
      </c>
      <c r="B39" s="406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492</v>
      </c>
      <c r="B40" s="407" t="s">
        <v>489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1" t="s">
        <v>335</v>
      </c>
      <c r="B41" s="520"/>
      <c r="C41" s="520"/>
      <c r="D41" s="520"/>
      <c r="E41" s="520"/>
      <c r="F41" s="52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2"/>
      <c r="B42" s="522"/>
      <c r="C42" s="522"/>
      <c r="D42" s="522"/>
      <c r="E42" s="522"/>
      <c r="F42" s="52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488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0"/>
      <c r="I50" s="49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0"/>
      <c r="I51" s="49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0"/>
      <c r="I52" s="49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472</v>
      </c>
      <c r="C57" s="361">
        <v>4924435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489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9" t="s">
        <v>351</v>
      </c>
      <c r="B59" s="523"/>
      <c r="C59" s="523"/>
      <c r="D59" s="523"/>
      <c r="E59" s="523"/>
      <c r="F59" s="52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4"/>
      <c r="B60" s="524"/>
      <c r="C60" s="524"/>
      <c r="D60" s="524"/>
      <c r="E60" s="524"/>
      <c r="F60" s="52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&amp;C&amp;F &amp;A</oddHeader>
    <oddFooter>&amp;C&amp;P of &amp;N&amp;R&amp;"Arial,Bold"&amp;9&amp;A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J32" sqref="J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Asphodel-Norwood Distribution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-694.062971175166</v>
      </c>
      <c r="N11" s="390"/>
      <c r="O11" s="396">
        <f>C11</f>
        <v>0</v>
      </c>
    </row>
    <row r="12" spans="1:15" ht="27" customHeight="1">
      <c r="A12" s="81" t="s">
        <v>397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439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398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399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507">
        <f>TAXCALC!E132</f>
        <v>0</v>
      </c>
      <c r="L15" s="391"/>
      <c r="M15" s="395"/>
      <c r="N15" s="391"/>
      <c r="O15" s="396">
        <f t="shared" si="0"/>
        <v>0</v>
      </c>
    </row>
    <row r="16" spans="1:15" ht="27" customHeight="1">
      <c r="A16" s="81" t="s">
        <v>400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401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507">
        <f>TAXCALC!E181</f>
        <v>-694.062971175166</v>
      </c>
      <c r="L17" s="391"/>
      <c r="M17" s="395"/>
      <c r="N17" s="391"/>
      <c r="O17" s="396">
        <f t="shared" si="0"/>
        <v>-694.062971175166</v>
      </c>
    </row>
    <row r="18" spans="1:15" ht="25.5">
      <c r="A18" s="81" t="s">
        <v>402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403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471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373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-694.062971175166</v>
      </c>
      <c r="L22" s="390"/>
      <c r="M22" s="397">
        <f>SUM(M11:M21)</f>
        <v>-694.062971175166</v>
      </c>
      <c r="N22" s="390"/>
      <c r="O22" s="450">
        <f>SUM(O11:O20)</f>
        <v>-694.062971175166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404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7"/>
      <c r="J31" s="447">
        <v>3</v>
      </c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8" t="s">
        <v>408</v>
      </c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420"/>
      <c r="Q33" s="420"/>
      <c r="R33" s="420"/>
      <c r="S33" s="420"/>
    </row>
    <row r="34" spans="1:19" ht="12.75">
      <c r="A34" s="527" t="s">
        <v>409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420"/>
      <c r="Q34" s="420"/>
      <c r="R34" s="420"/>
      <c r="S34" s="420"/>
    </row>
    <row r="35" spans="1:19" ht="12.75">
      <c r="A35" s="527" t="s">
        <v>430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420"/>
      <c r="Q35" s="420"/>
      <c r="R35" s="420"/>
      <c r="S35" s="420"/>
    </row>
    <row r="36" spans="1:19" ht="12.75">
      <c r="A36" s="527" t="s">
        <v>410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420"/>
      <c r="Q36" s="420"/>
      <c r="R36" s="420"/>
      <c r="S36" s="420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7" t="s">
        <v>459</v>
      </c>
      <c r="B74" s="527"/>
      <c r="C74" s="527"/>
      <c r="D74" s="527"/>
      <c r="E74" s="527"/>
      <c r="F74" s="527"/>
      <c r="G74" s="527"/>
      <c r="H74" s="527"/>
      <c r="I74" s="527"/>
      <c r="J74" s="527"/>
      <c r="K74" s="527"/>
      <c r="L74" s="527"/>
      <c r="M74" s="527"/>
      <c r="N74" s="527"/>
      <c r="O74" s="527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7"/>
      <c r="D92" s="527"/>
      <c r="E92" s="527"/>
      <c r="F92" s="527"/>
      <c r="G92" s="527"/>
      <c r="H92" s="527"/>
      <c r="I92" s="527"/>
      <c r="J92" s="527"/>
      <c r="K92" s="527"/>
      <c r="L92" s="527"/>
      <c r="M92" s="527"/>
      <c r="N92" s="527"/>
      <c r="O92" s="527"/>
      <c r="P92" s="527"/>
      <c r="Q92" s="527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&amp;C&amp;F &amp;A</oddHeader>
    <oddFooter>&amp;C&amp;P of &amp;N&amp;R&amp;"Arial,Bold"&amp;9&amp;A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Byron Thompson</cp:lastModifiedBy>
  <cp:lastPrinted>2012-07-30T23:07:20Z</cp:lastPrinted>
  <dcterms:created xsi:type="dcterms:W3CDTF">2001-11-07T16:15:53Z</dcterms:created>
  <dcterms:modified xsi:type="dcterms:W3CDTF">2012-08-02T03:33:00Z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