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480" windowHeight="65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'Sheet1'!$A$2:$M$54</definedName>
  </definedNames>
  <calcPr fullCalcOnLoad="1"/>
</workbook>
</file>

<file path=xl/sharedStrings.xml><?xml version="1.0" encoding="utf-8"?>
<sst xmlns="http://schemas.openxmlformats.org/spreadsheetml/2006/main" count="69" uniqueCount="58">
  <si>
    <t>Total</t>
  </si>
  <si>
    <t>Explanation Allocator</t>
  </si>
  <si>
    <t>Allocated per Class</t>
  </si>
  <si>
    <t>Revenue Requirement allocated to each Class before PILs</t>
  </si>
  <si>
    <t>Revenue Generated from Smart Meter Funding Adder</t>
  </si>
  <si>
    <t>Number of Metered Customers</t>
  </si>
  <si>
    <t>Number of Smart Meters Installed for each Class</t>
  </si>
  <si>
    <t>Total Return on Capital</t>
  </si>
  <si>
    <t>Amortization and interest Expense</t>
  </si>
  <si>
    <t>Grossed-up Taxes/PILs</t>
  </si>
  <si>
    <t>Smart Meter Disposition Rate Rider</t>
  </si>
  <si>
    <t>Net Deferred Revenue Requirement</t>
  </si>
  <si>
    <t>Large Use &gt;5000 kW</t>
  </si>
  <si>
    <t xml:space="preserve">Growth Rate in Customer Numbers </t>
  </si>
  <si>
    <t>Used</t>
  </si>
  <si>
    <t xml:space="preserve">Geomean </t>
  </si>
  <si>
    <t xml:space="preserve">Residential </t>
  </si>
  <si>
    <t>General Service &lt; 50 kW</t>
  </si>
  <si>
    <t>General Service &gt; 50 to 999 kW</t>
  </si>
  <si>
    <t>General Service &gt; 1000 to 4999 kW</t>
  </si>
  <si>
    <t xml:space="preserve">Streetlights </t>
  </si>
  <si>
    <t>Sentinel Lights</t>
  </si>
  <si>
    <t xml:space="preserve">Unmetered Scattered Loads </t>
  </si>
  <si>
    <t>Smart Meter Funding Adder Revenues</t>
  </si>
  <si>
    <t>Residential</t>
  </si>
  <si>
    <t>GS &lt; 50 kW</t>
  </si>
  <si>
    <t>Other Metered Customer Classes</t>
  </si>
  <si>
    <t>Year</t>
  </si>
  <si>
    <t>Number of customers</t>
  </si>
  <si>
    <t>SMFA Revenues directly attributable to class</t>
  </si>
  <si>
    <t>Revenues Generated from SMFA</t>
  </si>
  <si>
    <t>(2012)</t>
  </si>
  <si>
    <r>
      <t xml:space="preserve">Percentage of costs allocated to </t>
    </r>
    <r>
      <rPr>
        <b/>
        <sz val="11"/>
        <color indexed="10"/>
        <rFont val="Calibri"/>
        <family val="2"/>
      </rPr>
      <t>Residential and GS &lt; 50 kW</t>
    </r>
    <r>
      <rPr>
        <b/>
        <sz val="11"/>
        <color indexed="8"/>
        <rFont val="Calibri"/>
        <family val="2"/>
      </rPr>
      <t xml:space="preserve"> customer classes</t>
    </r>
  </si>
  <si>
    <t>Residual SMFA revenues (from other metered classes) attributed evenly</t>
  </si>
  <si>
    <t>Even allocation</t>
  </si>
  <si>
    <t>VERIDIAN CONNECTIONS - EB-2012-0247</t>
  </si>
  <si>
    <t>Operating Expenses</t>
  </si>
  <si>
    <t xml:space="preserve">Total </t>
  </si>
  <si>
    <t>Revenue Requirement from Smart Meter Model - Sheet 5.SM_Rev_Reqt</t>
  </si>
  <si>
    <t>Interest on Operating Expenses from Smart Meter Model- Sheet 9-SMFA_SMDR_SMIRR</t>
  </si>
  <si>
    <t xml:space="preserve">TOTAL   </t>
  </si>
  <si>
    <t>TOTAL</t>
  </si>
  <si>
    <t>Toal Capital Costs by Class</t>
  </si>
  <si>
    <t>Evidence Reference</t>
  </si>
  <si>
    <t>Table 12 - Page 23</t>
  </si>
  <si>
    <t>Other Metered Customer Classes (GS &gt; 50 kW, Intermediate, Large Use)</t>
  </si>
  <si>
    <t>2012 - To April 30th</t>
  </si>
  <si>
    <t>As reported in Veridian's RRR Filings (except for 2012 - based on customer counts to April 30th)</t>
  </si>
  <si>
    <t>Schedule of SMFA in effect</t>
  </si>
  <si>
    <t xml:space="preserve">Rate Year </t>
  </si>
  <si>
    <t>SMFA</t>
  </si>
  <si>
    <t>Estimated Allocation of SMFA Revenues by Rate Class</t>
  </si>
  <si>
    <t>Total Metered Customers where SMFA applied</t>
  </si>
  <si>
    <t>SMFA revenues collected from Smart Meter Model</t>
  </si>
  <si>
    <t>Allocation of 0.94% to Res and GS &lt; 50 kW</t>
  </si>
  <si>
    <t xml:space="preserve">Interest on SMFA revenues from Smart Meter Model - Sheet </t>
  </si>
  <si>
    <t>Response to Board Staff Interrogatory 13 (b)</t>
  </si>
  <si>
    <t>EB-2012-0247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</si>
</sst>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0.0000"/>
    <numFmt numFmtId="175" formatCode="#,##0.0000"/>
    <numFmt numFmtId="176" formatCode="0.00000000000000000%"/>
    <numFmt numFmtId="177" formatCode="0.000000000000000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0%"/>
    <numFmt numFmtId="188" formatCode="0.00000%"/>
    <numFmt numFmtId="189" formatCode="0.0000%"/>
    <numFmt numFmtId="190" formatCode="0.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72" fontId="2" fillId="0" borderId="0" xfId="0" applyNumberFormat="1" applyFont="1" applyAlignment="1">
      <alignment/>
    </xf>
    <xf numFmtId="172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10" fontId="0" fillId="34" borderId="0" xfId="0" applyNumberFormat="1" applyFill="1" applyAlignment="1">
      <alignment/>
    </xf>
    <xf numFmtId="172" fontId="0" fillId="34" borderId="11" xfId="0" applyNumberFormat="1" applyFill="1" applyBorder="1" applyAlignment="1">
      <alignment/>
    </xf>
    <xf numFmtId="9" fontId="4" fillId="35" borderId="12" xfId="57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 wrapText="1"/>
    </xf>
    <xf numFmtId="172" fontId="0" fillId="34" borderId="13" xfId="0" applyNumberFormat="1" applyFill="1" applyBorder="1" applyAlignment="1">
      <alignment/>
    </xf>
    <xf numFmtId="3" fontId="0" fillId="0" borderId="13" xfId="0" applyNumberFormat="1" applyBorder="1" applyAlignment="1">
      <alignment wrapText="1"/>
    </xf>
    <xf numFmtId="172" fontId="0" fillId="0" borderId="13" xfId="0" applyNumberFormat="1" applyFill="1" applyBorder="1" applyAlignment="1">
      <alignment/>
    </xf>
    <xf numFmtId="9" fontId="4" fillId="35" borderId="14" xfId="57" applyFont="1" applyFill="1" applyBorder="1" applyAlignment="1">
      <alignment horizontal="center" vertical="center"/>
    </xf>
    <xf numFmtId="41" fontId="3" fillId="35" borderId="12" xfId="0" applyNumberFormat="1" applyFont="1" applyFill="1" applyBorder="1" applyAlignment="1">
      <alignment horizontal="center" vertical="center" wrapText="1"/>
    </xf>
    <xf numFmtId="172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1" fontId="3" fillId="35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/>
    </xf>
    <xf numFmtId="0" fontId="0" fillId="0" borderId="15" xfId="0" applyBorder="1" applyAlignment="1">
      <alignment horizontal="center"/>
    </xf>
    <xf numFmtId="172" fontId="0" fillId="33" borderId="13" xfId="0" applyNumberFormat="1" applyFill="1" applyBorder="1" applyAlignment="1">
      <alignment/>
    </xf>
    <xf numFmtId="172" fontId="0" fillId="0" borderId="13" xfId="0" applyNumberFormat="1" applyBorder="1" applyAlignment="1">
      <alignment wrapText="1"/>
    </xf>
    <xf numFmtId="172" fontId="0" fillId="0" borderId="13" xfId="0" applyNumberFormat="1" applyBorder="1" applyAlignment="1" applyProtection="1">
      <alignment/>
      <protection/>
    </xf>
    <xf numFmtId="172" fontId="0" fillId="0" borderId="13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33" borderId="13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172" fontId="5" fillId="36" borderId="19" xfId="0" applyNumberFormat="1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/>
    </xf>
    <xf numFmtId="10" fontId="0" fillId="0" borderId="15" xfId="0" applyNumberFormat="1" applyBorder="1" applyAlignment="1">
      <alignment/>
    </xf>
    <xf numFmtId="0" fontId="2" fillId="37" borderId="15" xfId="0" applyFont="1" applyFill="1" applyBorder="1" applyAlignment="1">
      <alignment horizontal="center" wrapText="1"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right"/>
    </xf>
    <xf numFmtId="172" fontId="2" fillId="38" borderId="0" xfId="0" applyNumberFormat="1" applyFont="1" applyFill="1" applyAlignment="1">
      <alignment/>
    </xf>
    <xf numFmtId="0" fontId="0" fillId="38" borderId="0" xfId="0" applyFill="1" applyAlignment="1">
      <alignment wrapText="1"/>
    </xf>
    <xf numFmtId="3" fontId="7" fillId="0" borderId="0" xfId="0" applyNumberFormat="1" applyFont="1" applyAlignment="1">
      <alignment horizontal="center" wrapText="1"/>
    </xf>
    <xf numFmtId="3" fontId="8" fillId="38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8" fillId="38" borderId="0" xfId="0" applyNumberFormat="1" applyFont="1" applyFill="1" applyAlignment="1">
      <alignment horizontal="center"/>
    </xf>
    <xf numFmtId="3" fontId="9" fillId="0" borderId="20" xfId="0" applyNumberFormat="1" applyFont="1" applyBorder="1" applyAlignment="1">
      <alignment horizontal="left"/>
    </xf>
    <xf numFmtId="3" fontId="0" fillId="38" borderId="0" xfId="0" applyNumberFormat="1" applyFill="1" applyAlignment="1">
      <alignment horizontal="center"/>
    </xf>
    <xf numFmtId="3" fontId="0" fillId="39" borderId="0" xfId="0" applyNumberFormat="1" applyFill="1" applyAlignment="1">
      <alignment horizontal="center"/>
    </xf>
    <xf numFmtId="3" fontId="0" fillId="39" borderId="0" xfId="0" applyNumberFormat="1" applyFill="1" applyAlignment="1">
      <alignment horizontal="center"/>
    </xf>
    <xf numFmtId="0" fontId="3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0" fontId="0" fillId="0" borderId="0" xfId="44" applyFont="1" applyAlignment="1">
      <alignment wrapText="1"/>
    </xf>
    <xf numFmtId="170" fontId="0" fillId="0" borderId="0" xfId="44" applyFont="1" applyAlignment="1">
      <alignment/>
    </xf>
    <xf numFmtId="10" fontId="2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Alignment="1">
      <alignment wrapText="1"/>
    </xf>
    <xf numFmtId="10" fontId="10" fillId="0" borderId="0" xfId="0" applyNumberFormat="1" applyFont="1" applyAlignment="1">
      <alignment/>
    </xf>
    <xf numFmtId="10" fontId="10" fillId="0" borderId="0" xfId="0" applyNumberFormat="1" applyFont="1" applyAlignment="1">
      <alignment wrapText="1"/>
    </xf>
    <xf numFmtId="10" fontId="0" fillId="38" borderId="13" xfId="57" applyNumberFormat="1" applyFont="1" applyFill="1" applyBorder="1" applyAlignment="1">
      <alignment/>
    </xf>
    <xf numFmtId="10" fontId="0" fillId="38" borderId="13" xfId="57" applyNumberFormat="1" applyFont="1" applyFill="1" applyBorder="1" applyAlignment="1">
      <alignment/>
    </xf>
    <xf numFmtId="172" fontId="0" fillId="38" borderId="13" xfId="0" applyNumberFormat="1" applyFill="1" applyBorder="1" applyAlignment="1">
      <alignment/>
    </xf>
    <xf numFmtId="10" fontId="0" fillId="38" borderId="21" xfId="57" applyNumberFormat="1" applyFont="1" applyFill="1" applyBorder="1" applyAlignment="1">
      <alignment/>
    </xf>
    <xf numFmtId="170" fontId="0" fillId="38" borderId="13" xfId="44" applyFont="1" applyFill="1" applyBorder="1" applyAlignment="1">
      <alignment/>
    </xf>
    <xf numFmtId="0" fontId="0" fillId="0" borderId="0" xfId="0" applyAlignment="1" quotePrefix="1">
      <alignment/>
    </xf>
    <xf numFmtId="190" fontId="2" fillId="0" borderId="22" xfId="0" applyNumberFormat="1" applyFont="1" applyBorder="1" applyAlignment="1">
      <alignment/>
    </xf>
    <xf numFmtId="190" fontId="0" fillId="0" borderId="22" xfId="0" applyNumberFormat="1" applyBorder="1" applyAlignment="1">
      <alignment wrapText="1"/>
    </xf>
    <xf numFmtId="0" fontId="0" fillId="0" borderId="0" xfId="0" applyAlignment="1">
      <alignment wrapText="1"/>
    </xf>
    <xf numFmtId="17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33" borderId="13" xfId="0" applyFont="1" applyFill="1" applyBorder="1" applyAlignment="1">
      <alignment horizontal="center" wrapText="1"/>
    </xf>
    <xf numFmtId="172" fontId="0" fillId="33" borderId="17" xfId="0" applyNumberForma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172" fontId="43" fillId="33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170" fontId="43" fillId="0" borderId="0" xfId="0" applyNumberFormat="1" applyFont="1" applyAlignment="1">
      <alignment/>
    </xf>
    <xf numFmtId="44" fontId="43" fillId="0" borderId="0" xfId="0" applyNumberFormat="1" applyFont="1" applyAlignment="1">
      <alignment/>
    </xf>
    <xf numFmtId="170" fontId="43" fillId="0" borderId="23" xfId="0" applyNumberFormat="1" applyFont="1" applyBorder="1" applyAlignment="1">
      <alignment/>
    </xf>
    <xf numFmtId="44" fontId="0" fillId="0" borderId="23" xfId="0" applyNumberFormat="1" applyBorder="1" applyAlignment="1">
      <alignment/>
    </xf>
    <xf numFmtId="0" fontId="4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24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17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38" borderId="0" xfId="0" applyFill="1" applyAlignment="1">
      <alignment wrapText="1"/>
    </xf>
    <xf numFmtId="0" fontId="0" fillId="0" borderId="25" xfId="0" applyBorder="1" applyAlignment="1">
      <alignment wrapText="1"/>
    </xf>
    <xf numFmtId="0" fontId="0" fillId="38" borderId="22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0" fontId="0" fillId="38" borderId="0" xfId="0" applyFill="1" applyBorder="1" applyAlignment="1">
      <alignment horizontal="left"/>
    </xf>
    <xf numFmtId="17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%20Planning\2012%20SM%20Final%20Disposition%20Application\Working%20Model%20Versions\2012_smart_meter_model-v1-0325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%20Planning\PBR\2011\Veridian%20PBR%20Data%202011%20(2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stomer%20Count%20Stats%202011%20to%20CURRE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  <sheetName val="Sheet1"/>
    </sheetNames>
    <sheetDataSet>
      <sheetData sheetId="4">
        <row r="47">
          <cell r="M47">
            <v>157056.23264348</v>
          </cell>
          <cell r="O47">
            <v>364229.61109399</v>
          </cell>
          <cell r="Q47">
            <v>463651.91600935673</v>
          </cell>
          <cell r="S47">
            <v>456500.47316043125</v>
          </cell>
        </row>
        <row r="50">
          <cell r="M50">
            <v>1083531.6600000001</v>
          </cell>
          <cell r="O50">
            <v>876480.4400000003</v>
          </cell>
          <cell r="Q50">
            <v>616995.5300000008</v>
          </cell>
          <cell r="S50">
            <v>727102.0649943537</v>
          </cell>
        </row>
        <row r="58">
          <cell r="M58">
            <v>159692.25133333332</v>
          </cell>
          <cell r="O58">
            <v>422057.77033333335</v>
          </cell>
          <cell r="Q58">
            <v>564234.21</v>
          </cell>
          <cell r="S58">
            <v>603737.382</v>
          </cell>
        </row>
        <row r="68">
          <cell r="M68">
            <v>-56489.66068445522</v>
          </cell>
          <cell r="O68">
            <v>-5341.934312146525</v>
          </cell>
          <cell r="Q68">
            <v>110694.81606856582</v>
          </cell>
          <cell r="S68">
            <v>114155.31489059294</v>
          </cell>
        </row>
        <row r="70">
          <cell r="M70">
            <v>1343790.4832923582</v>
          </cell>
          <cell r="O70">
            <v>1657425.887115177</v>
          </cell>
          <cell r="Q70">
            <v>1755576.4720779234</v>
          </cell>
          <cell r="S70">
            <v>1901495.235045378</v>
          </cell>
        </row>
      </sheetData>
      <sheetData sheetId="7">
        <row r="60">
          <cell r="K60">
            <v>75365.94</v>
          </cell>
        </row>
        <row r="61">
          <cell r="K61">
            <v>89421.68</v>
          </cell>
          <cell r="M61">
            <v>153.87</v>
          </cell>
        </row>
        <row r="62">
          <cell r="K62">
            <v>81447.98999999999</v>
          </cell>
          <cell r="M62">
            <v>336.44</v>
          </cell>
        </row>
        <row r="63">
          <cell r="K63">
            <v>70324.75000000001</v>
          </cell>
          <cell r="M63">
            <v>205.2</v>
          </cell>
        </row>
        <row r="64">
          <cell r="K64">
            <v>91533.16</v>
          </cell>
          <cell r="M64">
            <v>263.8</v>
          </cell>
        </row>
        <row r="65">
          <cell r="K65">
            <v>80028.36</v>
          </cell>
          <cell r="M65">
            <v>340.08</v>
          </cell>
        </row>
        <row r="66">
          <cell r="K66">
            <v>77146.39</v>
          </cell>
          <cell r="M66">
            <v>223.72</v>
          </cell>
        </row>
        <row r="67">
          <cell r="K67">
            <v>88517.16</v>
          </cell>
          <cell r="M67">
            <v>259.08</v>
          </cell>
        </row>
        <row r="68">
          <cell r="K68">
            <v>82313.54000000001</v>
          </cell>
          <cell r="M68">
            <v>299.65</v>
          </cell>
        </row>
        <row r="69">
          <cell r="K69">
            <v>69762.01000000001</v>
          </cell>
          <cell r="M69">
            <v>337.38</v>
          </cell>
        </row>
        <row r="70">
          <cell r="K70">
            <v>94017.66</v>
          </cell>
          <cell r="M70">
            <v>369.35</v>
          </cell>
        </row>
        <row r="71">
          <cell r="K71">
            <v>77206.34</v>
          </cell>
          <cell r="M71">
            <v>412.44</v>
          </cell>
        </row>
        <row r="72">
          <cell r="K72">
            <v>76055.10999999999</v>
          </cell>
          <cell r="M72">
            <v>447.83</v>
          </cell>
        </row>
        <row r="73">
          <cell r="K73">
            <v>89710.28000000001</v>
          </cell>
          <cell r="M73">
            <v>482.69</v>
          </cell>
        </row>
        <row r="74">
          <cell r="K74">
            <v>89537.95999999999</v>
          </cell>
          <cell r="M74">
            <v>523.81</v>
          </cell>
        </row>
        <row r="75">
          <cell r="K75">
            <v>65213.61</v>
          </cell>
          <cell r="M75">
            <v>564.84</v>
          </cell>
        </row>
        <row r="76">
          <cell r="K76">
            <v>93886.49</v>
          </cell>
          <cell r="M76">
            <v>594.73</v>
          </cell>
        </row>
        <row r="77">
          <cell r="K77">
            <v>84741.24</v>
          </cell>
          <cell r="M77">
            <v>637.77</v>
          </cell>
        </row>
        <row r="78">
          <cell r="K78">
            <v>87831.77</v>
          </cell>
          <cell r="M78">
            <v>1094.87</v>
          </cell>
        </row>
        <row r="79">
          <cell r="K79">
            <v>181722.31</v>
          </cell>
          <cell r="M79">
            <v>1160.01</v>
          </cell>
        </row>
        <row r="80">
          <cell r="K80">
            <v>62827.19</v>
          </cell>
          <cell r="M80">
            <v>1294.79</v>
          </cell>
        </row>
        <row r="81">
          <cell r="K81">
            <v>141525.78</v>
          </cell>
          <cell r="M81">
            <v>1808.61</v>
          </cell>
        </row>
        <row r="82">
          <cell r="K82">
            <v>122122.73</v>
          </cell>
          <cell r="M82">
            <v>1950.14</v>
          </cell>
        </row>
        <row r="83">
          <cell r="K83">
            <v>102648.89</v>
          </cell>
          <cell r="M83">
            <v>2072.26</v>
          </cell>
        </row>
        <row r="84">
          <cell r="K84">
            <v>116267.56</v>
          </cell>
          <cell r="M84">
            <v>2664.26</v>
          </cell>
        </row>
        <row r="85">
          <cell r="K85">
            <v>143933.36</v>
          </cell>
          <cell r="M85">
            <v>2806.69</v>
          </cell>
        </row>
        <row r="86">
          <cell r="K86">
            <v>93050.18</v>
          </cell>
          <cell r="M86">
            <v>2983.01</v>
          </cell>
        </row>
        <row r="87">
          <cell r="K87">
            <v>132786.62</v>
          </cell>
          <cell r="M87">
            <v>3097</v>
          </cell>
        </row>
        <row r="88">
          <cell r="K88">
            <v>95192.66</v>
          </cell>
          <cell r="M88">
            <v>3259.66</v>
          </cell>
        </row>
        <row r="89">
          <cell r="K89">
            <v>114948.72</v>
          </cell>
          <cell r="M89">
            <v>3376.27</v>
          </cell>
        </row>
        <row r="90">
          <cell r="K90">
            <v>107518.20999999999</v>
          </cell>
          <cell r="M90">
            <v>3517.08</v>
          </cell>
        </row>
        <row r="91">
          <cell r="K91">
            <v>146076.2</v>
          </cell>
          <cell r="M91">
            <v>3648.79</v>
          </cell>
        </row>
        <row r="92">
          <cell r="K92">
            <v>83614.87</v>
          </cell>
          <cell r="M92">
            <v>3827.74</v>
          </cell>
        </row>
        <row r="93">
          <cell r="K93">
            <v>136597.19</v>
          </cell>
          <cell r="M93">
            <v>3930.16</v>
          </cell>
        </row>
        <row r="94">
          <cell r="K94">
            <v>94667.2</v>
          </cell>
          <cell r="M94">
            <v>4097.5</v>
          </cell>
        </row>
        <row r="95">
          <cell r="K95">
            <v>128448.25</v>
          </cell>
          <cell r="M95">
            <v>4213.46</v>
          </cell>
        </row>
        <row r="96">
          <cell r="K96">
            <v>122209.64</v>
          </cell>
          <cell r="M96">
            <v>4370.81</v>
          </cell>
        </row>
        <row r="97">
          <cell r="K97">
            <v>110019.63</v>
          </cell>
          <cell r="M97">
            <v>4520.52</v>
          </cell>
        </row>
        <row r="98">
          <cell r="K98">
            <v>115807.57</v>
          </cell>
          <cell r="M98">
            <v>4655.29</v>
          </cell>
        </row>
        <row r="99">
          <cell r="K99">
            <v>175786.56</v>
          </cell>
          <cell r="M99">
            <v>4797.16</v>
          </cell>
        </row>
        <row r="100">
          <cell r="M100">
            <v>5012.5</v>
          </cell>
        </row>
        <row r="101">
          <cell r="M101">
            <v>5012.5</v>
          </cell>
        </row>
        <row r="102">
          <cell r="M102">
            <v>5012.5</v>
          </cell>
        </row>
        <row r="103">
          <cell r="M103">
            <v>5012.5</v>
          </cell>
        </row>
        <row r="104">
          <cell r="M104">
            <v>5012.5</v>
          </cell>
        </row>
        <row r="105">
          <cell r="M105">
            <v>5012.5</v>
          </cell>
        </row>
        <row r="106">
          <cell r="M106">
            <v>5012.5</v>
          </cell>
        </row>
        <row r="107">
          <cell r="M107">
            <v>5012.5</v>
          </cell>
        </row>
        <row r="109">
          <cell r="K109">
            <v>4091832.760000001</v>
          </cell>
        </row>
      </sheetData>
      <sheetData sheetId="10">
        <row r="32">
          <cell r="M32">
            <v>7070.835995708334</v>
          </cell>
          <cell r="O32">
            <v>15092.631806587502</v>
          </cell>
          <cell r="Q32">
            <v>46045.941777500004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idian,Scugog,Gravenhurst"/>
      <sheetName val="Gravenhurst 2005"/>
    </sheetNames>
    <sheetDataSet>
      <sheetData sheetId="0">
        <row r="95">
          <cell r="P95">
            <v>101547</v>
          </cell>
          <cell r="Q95">
            <v>102929</v>
          </cell>
          <cell r="R95">
            <v>104060</v>
          </cell>
        </row>
        <row r="98">
          <cell r="P98">
            <v>8501</v>
          </cell>
          <cell r="Q98">
            <v>8578</v>
          </cell>
          <cell r="R98">
            <v>8595</v>
          </cell>
        </row>
        <row r="99">
          <cell r="P99">
            <v>1049</v>
          </cell>
          <cell r="Q99">
            <v>1055</v>
          </cell>
          <cell r="R99">
            <v>1047</v>
          </cell>
        </row>
        <row r="101">
          <cell r="P101">
            <v>5</v>
          </cell>
          <cell r="Q101">
            <v>5</v>
          </cell>
          <cell r="R101">
            <v>4</v>
          </cell>
        </row>
        <row r="111">
          <cell r="Q111">
            <v>2</v>
          </cell>
          <cell r="R111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unt 2011"/>
      <sheetName val="2011 Breakdown "/>
      <sheetName val="Customer Count 2012"/>
      <sheetName val="2012 Breakdown"/>
      <sheetName val="Breakdown Grav &amp; Pick"/>
      <sheetName val="Sheet1"/>
    </sheetNames>
    <sheetDataSet>
      <sheetData sheetId="2">
        <row r="184">
          <cell r="B184">
            <v>104651</v>
          </cell>
          <cell r="H184">
            <v>8663</v>
          </cell>
        </row>
        <row r="185">
          <cell r="H185">
            <v>1062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75" zoomScaleNormal="75" zoomScalePageLayoutView="0" workbookViewId="0" topLeftCell="A16">
      <selection activeCell="N37" sqref="N37"/>
    </sheetView>
  </sheetViews>
  <sheetFormatPr defaultColWidth="9.140625" defaultRowHeight="15"/>
  <cols>
    <col min="1" max="1" width="4.140625" style="0" customWidth="1"/>
    <col min="2" max="2" width="42.7109375" style="3" customWidth="1"/>
    <col min="3" max="3" width="14.28125" style="0" customWidth="1"/>
    <col min="4" max="4" width="17.140625" style="0" customWidth="1"/>
    <col min="5" max="5" width="18.8515625" style="0" customWidth="1"/>
    <col min="6" max="6" width="17.57421875" style="0" customWidth="1"/>
    <col min="7" max="7" width="4.140625" style="0" customWidth="1"/>
    <col min="8" max="8" width="15.140625" style="2" customWidth="1"/>
    <col min="9" max="9" width="14.57421875" style="3" customWidth="1"/>
    <col min="10" max="10" width="16.421875" style="0" customWidth="1"/>
    <col min="11" max="12" width="15.7109375" style="0" bestFit="1" customWidth="1"/>
    <col min="13" max="13" width="16.7109375" style="0" customWidth="1"/>
  </cols>
  <sheetData>
    <row r="1" spans="2:9" ht="15">
      <c r="B1" s="82"/>
      <c r="I1" s="82"/>
    </row>
    <row r="2" spans="2:13" ht="32.25">
      <c r="B2" s="94" t="s">
        <v>56</v>
      </c>
      <c r="I2" s="82"/>
      <c r="L2" s="96" t="s">
        <v>57</v>
      </c>
      <c r="M2" s="96"/>
    </row>
    <row r="3" spans="2:9" ht="15">
      <c r="B3" s="82"/>
      <c r="I3" s="82"/>
    </row>
    <row r="4" ht="15.75">
      <c r="B4" s="94" t="s">
        <v>35</v>
      </c>
    </row>
    <row r="5" ht="15.75" thickBot="1"/>
    <row r="6" spans="2:13" ht="25.5">
      <c r="B6" s="38"/>
      <c r="C6" s="26">
        <v>2009</v>
      </c>
      <c r="D6" s="26">
        <v>2010</v>
      </c>
      <c r="E6" s="26">
        <v>2011</v>
      </c>
      <c r="F6" s="26">
        <v>2012</v>
      </c>
      <c r="G6" s="26"/>
      <c r="H6" s="45" t="s">
        <v>37</v>
      </c>
      <c r="I6" s="34" t="s">
        <v>1</v>
      </c>
      <c r="J6" s="35" t="s">
        <v>43</v>
      </c>
      <c r="K6" s="13" t="s">
        <v>0</v>
      </c>
      <c r="L6" s="21" t="str">
        <f>IF('[1]I2 LDC class'!$D$20="",'[1]I2 LDC class'!$C$20,'[1]I2 LDC class'!$D$20)</f>
        <v>Residential</v>
      </c>
      <c r="M6" s="21" t="str">
        <f>IF('[1]I2 LDC class'!$D$21="",'[1]I2 LDC class'!$C$21,'[1]I2 LDC class'!$D$21)</f>
        <v>General Service Less than 50 kW</v>
      </c>
    </row>
    <row r="7" spans="2:13" ht="30">
      <c r="B7" s="39" t="s">
        <v>38</v>
      </c>
      <c r="C7" s="27">
        <f>'[2]5. SM_Rev_Reqt'!$M$70</f>
        <v>1343790.4832923582</v>
      </c>
      <c r="D7" s="27">
        <f>'[2]5. SM_Rev_Reqt'!$O$70</f>
        <v>1657425.887115177</v>
      </c>
      <c r="E7" s="27">
        <f>'[2]5. SM_Rev_Reqt'!$Q$70</f>
        <v>1755576.4720779234</v>
      </c>
      <c r="F7" s="27">
        <f>'[2]5. SM_Rev_Reqt'!$S$70/12*10</f>
        <v>1584579.3625378152</v>
      </c>
      <c r="G7" s="27"/>
      <c r="H7" s="32">
        <f>SUM(C7:F7)</f>
        <v>6341372.205023274</v>
      </c>
      <c r="I7" s="7"/>
      <c r="J7" s="14"/>
      <c r="K7" s="14"/>
      <c r="L7" s="14"/>
      <c r="M7" s="14"/>
    </row>
    <row r="8" spans="2:13" ht="30">
      <c r="B8" s="39" t="s">
        <v>39</v>
      </c>
      <c r="C8" s="27">
        <f>'[2]9. SMFA_SMDR_SMIRR'!$M$32</f>
        <v>7070.835995708334</v>
      </c>
      <c r="D8" s="27">
        <f>'[2]9. SMFA_SMDR_SMIRR'!$O$32</f>
        <v>15092.631806587502</v>
      </c>
      <c r="E8" s="27">
        <f>'[2]9. SMFA_SMDR_SMIRR'!$Q$32</f>
        <v>46045.941777500004</v>
      </c>
      <c r="F8" s="27"/>
      <c r="G8" s="28"/>
      <c r="H8" s="32">
        <f>SUM(C8:F8)</f>
        <v>68209.40957979584</v>
      </c>
      <c r="J8" s="15"/>
      <c r="K8" s="15"/>
      <c r="L8" s="15"/>
      <c r="M8" s="15"/>
    </row>
    <row r="9" spans="2:13" ht="30.75" thickBot="1">
      <c r="B9" s="39" t="s">
        <v>55</v>
      </c>
      <c r="C9" s="84">
        <f>-SUM('[2]8. Funding_Adder_Revs'!$M$61:$M$71)</f>
        <v>-3201.0099999999998</v>
      </c>
      <c r="D9" s="84">
        <f>-SUM('[2]8. Funding_Adder_Revs'!$M$72:$M$83)</f>
        <v>-12632.35</v>
      </c>
      <c r="E9" s="84">
        <f>-SUM('[2]8. Funding_Adder_Revs'!$M$84:$M$95)</f>
        <v>-41421.62</v>
      </c>
      <c r="F9" s="84">
        <f>-SUM('[2]8. Funding_Adder_Revs'!$M$96:$M$107)</f>
        <v>-58443.78</v>
      </c>
      <c r="G9" s="28"/>
      <c r="H9" s="85">
        <f>SUM(C9:F9)</f>
        <v>-115698.76000000001</v>
      </c>
      <c r="I9" s="82"/>
      <c r="J9" s="15"/>
      <c r="K9" s="15"/>
      <c r="L9" s="15"/>
      <c r="M9" s="15"/>
    </row>
    <row r="10" spans="2:13" ht="15">
      <c r="B10" s="83" t="s">
        <v>40</v>
      </c>
      <c r="C10" s="86">
        <f>SUM(C7:C9)</f>
        <v>1347660.3092880666</v>
      </c>
      <c r="D10" s="86">
        <f>SUM(D7:D9)</f>
        <v>1659886.1689217645</v>
      </c>
      <c r="E10" s="86">
        <f>SUM(E7:E9)</f>
        <v>1760200.7938554233</v>
      </c>
      <c r="F10" s="86">
        <f>SUM(F7:F9)</f>
        <v>1526135.5825378152</v>
      </c>
      <c r="G10" s="28"/>
      <c r="H10" s="32">
        <f>SUM(H7:H9)</f>
        <v>6293882.85460307</v>
      </c>
      <c r="I10" s="80"/>
      <c r="J10" s="15"/>
      <c r="K10" s="15"/>
      <c r="L10" s="15"/>
      <c r="M10" s="15"/>
    </row>
    <row r="11" spans="2:13" s="3" customFormat="1" ht="45.75" customHeight="1">
      <c r="B11" s="25" t="s">
        <v>7</v>
      </c>
      <c r="C11" s="28">
        <f>'[2]5. SM_Rev_Reqt'!$M$47</f>
        <v>157056.23264348</v>
      </c>
      <c r="D11" s="28">
        <f>'[2]5. SM_Rev_Reqt'!$O$47</f>
        <v>364229.61109399</v>
      </c>
      <c r="E11" s="28">
        <f>'[2]5. SM_Rev_Reqt'!$Q$47</f>
        <v>463651.91600935673</v>
      </c>
      <c r="F11" s="28">
        <f>'[2]5. SM_Rev_Reqt'!$S$47/12*10</f>
        <v>380417.06096702605</v>
      </c>
      <c r="G11" s="28"/>
      <c r="H11" s="32">
        <f>SUM(C11:F11)</f>
        <v>1365354.8207138528</v>
      </c>
      <c r="I11" s="80" t="s">
        <v>42</v>
      </c>
      <c r="J11" s="36" t="s">
        <v>44</v>
      </c>
      <c r="K11" s="16">
        <f aca="true" t="shared" si="0" ref="K11:K18">SUM(L11:M11)</f>
        <v>1</v>
      </c>
      <c r="L11" s="16">
        <v>0.761</v>
      </c>
      <c r="M11" s="16">
        <f>100%-L11</f>
        <v>0.239</v>
      </c>
    </row>
    <row r="12" spans="2:13" ht="15">
      <c r="B12" s="36"/>
      <c r="C12" s="22"/>
      <c r="D12" s="22"/>
      <c r="E12" s="22"/>
      <c r="F12" s="22"/>
      <c r="G12" s="22"/>
      <c r="H12" s="32" t="s">
        <v>2</v>
      </c>
      <c r="I12" s="7"/>
      <c r="J12" s="15"/>
      <c r="K12" s="17">
        <f t="shared" si="0"/>
        <v>1365354.8207138528</v>
      </c>
      <c r="L12" s="22">
        <f>L11*$H$11</f>
        <v>1039035.0185632419</v>
      </c>
      <c r="M12" s="22">
        <f>M11*$H$11</f>
        <v>326319.8021506108</v>
      </c>
    </row>
    <row r="13" spans="2:13" ht="30">
      <c r="B13" s="40" t="s">
        <v>8</v>
      </c>
      <c r="C13" s="22">
        <f>'[2]5. SM_Rev_Reqt'!$M$58+'[2]9. SMFA_SMDR_SMIRR'!$M$32+C9</f>
        <v>163562.07732904164</v>
      </c>
      <c r="D13" s="22">
        <f>'[2]5. SM_Rev_Reqt'!$O$58+'[2]9. SMFA_SMDR_SMIRR'!$O$32+D9</f>
        <v>424518.0521399209</v>
      </c>
      <c r="E13" s="19">
        <f>'[2]5. SM_Rev_Reqt'!$Q$58+'[2]9. SMFA_SMDR_SMIRR'!$Q$32+E9</f>
        <v>568858.5317775</v>
      </c>
      <c r="F13" s="19">
        <f>'[2]5. SM_Rev_Reqt'!$S$58/12*10+F9</f>
        <v>444670.70499999996</v>
      </c>
      <c r="G13" s="22"/>
      <c r="H13" s="32">
        <f>SUM(C13:F13)</f>
        <v>1601609.3662464623</v>
      </c>
      <c r="I13" s="3" t="str">
        <f>I11</f>
        <v>Toal Capital Costs by Class</v>
      </c>
      <c r="J13" s="36" t="str">
        <f>J11</f>
        <v>Table 12 - Page 23</v>
      </c>
      <c r="K13" s="16">
        <f t="shared" si="0"/>
        <v>1</v>
      </c>
      <c r="L13" s="16">
        <f>L11</f>
        <v>0.761</v>
      </c>
      <c r="M13" s="16">
        <f>M11</f>
        <v>0.239</v>
      </c>
    </row>
    <row r="14" spans="2:13" ht="15">
      <c r="B14" s="36"/>
      <c r="C14" s="22"/>
      <c r="D14" s="22"/>
      <c r="E14" s="22"/>
      <c r="F14" s="22"/>
      <c r="G14" s="22"/>
      <c r="H14" s="32" t="s">
        <v>2</v>
      </c>
      <c r="I14" s="7"/>
      <c r="J14" s="15"/>
      <c r="K14" s="17">
        <f t="shared" si="0"/>
        <v>1601609.3662464623</v>
      </c>
      <c r="L14" s="22">
        <f>$H$13*L13</f>
        <v>1218824.727713558</v>
      </c>
      <c r="M14" s="22">
        <f>$H$13*M13</f>
        <v>382784.6385329045</v>
      </c>
    </row>
    <row r="15" spans="2:13" ht="60">
      <c r="B15" s="25" t="s">
        <v>36</v>
      </c>
      <c r="C15" s="22">
        <f>'[2]5. SM_Rev_Reqt'!$M$50</f>
        <v>1083531.6600000001</v>
      </c>
      <c r="D15" s="22">
        <f>'[2]5. SM_Rev_Reqt'!$O$50</f>
        <v>876480.4400000003</v>
      </c>
      <c r="E15" s="30">
        <f>'[2]5. SM_Rev_Reqt'!$Q$50</f>
        <v>616995.5300000008</v>
      </c>
      <c r="F15" s="30">
        <f>'[2]5. SM_Rev_Reqt'!$S$50/12*10</f>
        <v>605918.3874952947</v>
      </c>
      <c r="G15" s="22"/>
      <c r="H15" s="32">
        <f>SUM(C15:F15)</f>
        <v>3182926.017495296</v>
      </c>
      <c r="I15" s="3" t="s">
        <v>6</v>
      </c>
      <c r="J15" s="36" t="s">
        <v>44</v>
      </c>
      <c r="K15" s="18">
        <f>103719+8635</f>
        <v>112354</v>
      </c>
      <c r="L15" s="23">
        <f>103719</f>
        <v>103719</v>
      </c>
      <c r="M15" s="23">
        <v>8635</v>
      </c>
    </row>
    <row r="16" spans="2:13" ht="15">
      <c r="B16" s="36"/>
      <c r="C16" s="22"/>
      <c r="D16" s="22"/>
      <c r="E16" s="22"/>
      <c r="F16" s="22"/>
      <c r="G16" s="22"/>
      <c r="H16" s="32" t="s">
        <v>2</v>
      </c>
      <c r="I16" s="7"/>
      <c r="J16" s="15"/>
      <c r="K16" s="17">
        <f t="shared" si="0"/>
        <v>3182926.017495296</v>
      </c>
      <c r="L16" s="22">
        <f>$H$15/$K$15*L15</f>
        <v>2938301.2942004255</v>
      </c>
      <c r="M16" s="22">
        <f>$H$15/$K$15*M15</f>
        <v>244624.7232948705</v>
      </c>
    </row>
    <row r="17" spans="2:13" ht="75">
      <c r="B17" s="25" t="s">
        <v>9</v>
      </c>
      <c r="C17" s="29">
        <f>'[2]5. SM_Rev_Reqt'!$M$68</f>
        <v>-56489.66068445522</v>
      </c>
      <c r="D17" s="29">
        <f>'[2]5. SM_Rev_Reqt'!$O$68</f>
        <v>-5341.934312146525</v>
      </c>
      <c r="E17" s="30">
        <f>'[2]5. SM_Rev_Reqt'!$Q$68</f>
        <v>110694.81606856582</v>
      </c>
      <c r="F17" s="30">
        <f>'[2]5. SM_Rev_Reqt'!$S$68/12*10</f>
        <v>95129.42907549412</v>
      </c>
      <c r="G17" s="22"/>
      <c r="H17" s="32">
        <f>SUM(C17:F17)</f>
        <v>143992.6501474582</v>
      </c>
      <c r="I17" s="3" t="s">
        <v>3</v>
      </c>
      <c r="J17" s="15"/>
      <c r="K17" s="19">
        <f t="shared" si="0"/>
        <v>6149890.204455611</v>
      </c>
      <c r="L17" s="22">
        <f>L12+L14+L16</f>
        <v>5196161.040477226</v>
      </c>
      <c r="M17" s="22">
        <f>M12+M14+M16</f>
        <v>953729.1639783857</v>
      </c>
    </row>
    <row r="18" spans="2:13" ht="15">
      <c r="B18" s="36"/>
      <c r="C18" s="22"/>
      <c r="D18" s="22"/>
      <c r="E18" s="22"/>
      <c r="F18" s="22"/>
      <c r="G18" s="22"/>
      <c r="H18" s="32" t="s">
        <v>2</v>
      </c>
      <c r="I18" s="7"/>
      <c r="J18" s="15"/>
      <c r="K18" s="17">
        <f t="shared" si="0"/>
        <v>143992.6501474582</v>
      </c>
      <c r="L18" s="22">
        <f>$H$17/$K$17*L17</f>
        <v>121662.17183344348</v>
      </c>
      <c r="M18" s="22">
        <f>$H$17/$K$17*M17</f>
        <v>22330.478314014705</v>
      </c>
    </row>
    <row r="19" spans="2:13" ht="26.25" thickBot="1">
      <c r="B19" s="36"/>
      <c r="C19" s="22"/>
      <c r="D19" s="22"/>
      <c r="E19" s="22"/>
      <c r="F19" s="22"/>
      <c r="G19" s="22"/>
      <c r="H19" s="33"/>
      <c r="J19" s="37"/>
      <c r="K19" s="20" t="s">
        <v>0</v>
      </c>
      <c r="L19" s="24" t="str">
        <f>IF('[1]I2 LDC class'!$D$20="",'[1]I2 LDC class'!$C$20,'[1]I2 LDC class'!$D$20)</f>
        <v>Residential</v>
      </c>
      <c r="M19" s="24" t="str">
        <f>IF('[1]I2 LDC class'!$D$21="",'[1]I2 LDC class'!$C$21,'[1]I2 LDC class'!$D$21)</f>
        <v>General Service Less than 50 kW</v>
      </c>
    </row>
    <row r="20" spans="2:13" s="2" customFormat="1" ht="15.75" thickBot="1">
      <c r="B20" s="103" t="s">
        <v>41</v>
      </c>
      <c r="C20" s="104"/>
      <c r="D20" s="104"/>
      <c r="E20" s="104"/>
      <c r="F20" s="104"/>
      <c r="G20" s="105"/>
      <c r="H20" s="31">
        <f>H11+H13+H15+H17</f>
        <v>6293882.85460307</v>
      </c>
      <c r="I20" s="8"/>
      <c r="J20" s="9"/>
      <c r="K20" s="10">
        <f>+K12+K14+K16+K18</f>
        <v>6293882.85460307</v>
      </c>
      <c r="L20" s="10">
        <f>+L12+L14+L16+L18</f>
        <v>5317823.212310669</v>
      </c>
      <c r="M20" s="10">
        <f>+M12+M14+M16+M18</f>
        <v>976059.6422924005</v>
      </c>
    </row>
    <row r="21" spans="3:13" ht="28.5" customHeight="1">
      <c r="C21" s="1"/>
      <c r="D21" s="1"/>
      <c r="E21" s="1"/>
      <c r="F21" s="1"/>
      <c r="G21" s="1"/>
      <c r="H21" s="98" t="s">
        <v>32</v>
      </c>
      <c r="I21" s="99"/>
      <c r="J21" s="99"/>
      <c r="K21" s="11">
        <f>SUM(L21:M21)</f>
        <v>0.9999999999999999</v>
      </c>
      <c r="L21" s="44">
        <f>L20/K20</f>
        <v>0.8449193185128074</v>
      </c>
      <c r="M21" s="44">
        <f>M20/K20</f>
        <v>0.15508068148719248</v>
      </c>
    </row>
    <row r="22" spans="2:13" ht="15">
      <c r="B22" s="106" t="s">
        <v>4</v>
      </c>
      <c r="C22" s="106"/>
      <c r="D22" s="106"/>
      <c r="E22" s="106"/>
      <c r="F22" s="106"/>
      <c r="G22" s="106"/>
      <c r="H22" s="4">
        <f>'[2]8. Funding_Adder_Revs'!$K$109</f>
        <v>4091832.760000001</v>
      </c>
      <c r="L22" s="22"/>
      <c r="M22" s="22"/>
    </row>
    <row r="23" spans="1:13" ht="15">
      <c r="A23" s="46"/>
      <c r="B23" s="47"/>
      <c r="C23" s="47"/>
      <c r="D23" s="47"/>
      <c r="E23" s="47"/>
      <c r="F23" s="47"/>
      <c r="G23" s="47"/>
      <c r="H23" s="48"/>
      <c r="I23" s="108" t="s">
        <v>29</v>
      </c>
      <c r="J23" s="101"/>
      <c r="K23" s="109"/>
      <c r="L23" s="72">
        <f>H42</f>
        <v>0.9146115390810116</v>
      </c>
      <c r="M23" s="72">
        <f>I42</f>
        <v>0.07600806072363851</v>
      </c>
    </row>
    <row r="24" spans="1:13" ht="30.75" customHeight="1" thickBot="1">
      <c r="A24" s="46"/>
      <c r="B24" s="47"/>
      <c r="C24" s="47"/>
      <c r="D24" s="47"/>
      <c r="E24" s="47"/>
      <c r="F24" s="47"/>
      <c r="G24" s="47"/>
      <c r="H24" s="48"/>
      <c r="I24" s="110" t="s">
        <v>33</v>
      </c>
      <c r="J24" s="111"/>
      <c r="K24" s="112"/>
      <c r="L24" s="75">
        <f>H45</f>
        <v>0.004690200097675017</v>
      </c>
      <c r="M24" s="75">
        <f>I45</f>
        <v>0.004690200097675017</v>
      </c>
    </row>
    <row r="25" spans="1:13" ht="15" customHeight="1" thickTop="1">
      <c r="A25" s="46"/>
      <c r="B25" s="47"/>
      <c r="C25" s="47"/>
      <c r="D25" s="47"/>
      <c r="E25" s="47"/>
      <c r="F25" s="47"/>
      <c r="G25" s="47"/>
      <c r="H25" s="48"/>
      <c r="I25" s="49" t="s">
        <v>0</v>
      </c>
      <c r="J25" s="49"/>
      <c r="K25" s="49"/>
      <c r="L25" s="73">
        <f>SUM(L23:L24)</f>
        <v>0.9193017391786866</v>
      </c>
      <c r="M25" s="73">
        <f>M23+M24</f>
        <v>0.08069826082131352</v>
      </c>
    </row>
    <row r="26" spans="1:13" ht="15" customHeight="1">
      <c r="A26" s="46"/>
      <c r="B26" s="47"/>
      <c r="C26" s="113" t="s">
        <v>30</v>
      </c>
      <c r="D26" s="113"/>
      <c r="E26" s="113"/>
      <c r="F26" s="113"/>
      <c r="G26" s="113"/>
      <c r="H26" s="48">
        <f>H22</f>
        <v>4091832.760000001</v>
      </c>
      <c r="I26" s="49"/>
      <c r="J26" s="49"/>
      <c r="K26" s="49"/>
      <c r="L26" s="76">
        <f>L25*H26</f>
        <v>3761628.9726963267</v>
      </c>
      <c r="M26" s="74">
        <f>H26*M25</f>
        <v>330203.78730367526</v>
      </c>
    </row>
    <row r="27" spans="2:13" ht="15">
      <c r="B27" s="107" t="s">
        <v>11</v>
      </c>
      <c r="C27" s="106"/>
      <c r="D27" s="106"/>
      <c r="E27" s="106"/>
      <c r="F27" s="106"/>
      <c r="G27" s="106"/>
      <c r="H27" s="4">
        <f>H20-H22</f>
        <v>2202050.0946030687</v>
      </c>
      <c r="L27" s="15"/>
      <c r="M27" s="15"/>
    </row>
    <row r="28" spans="3:13" ht="15">
      <c r="C28" s="1"/>
      <c r="D28" s="1"/>
      <c r="E28" s="1"/>
      <c r="F28" s="1"/>
      <c r="G28" s="1"/>
      <c r="H28" s="5" t="s">
        <v>2</v>
      </c>
      <c r="I28" s="7"/>
      <c r="J28" s="6"/>
      <c r="K28" s="1">
        <f>L28+M28</f>
        <v>2202050.0946030673</v>
      </c>
      <c r="L28" s="22">
        <f>L20-L26</f>
        <v>1556194.2396143423</v>
      </c>
      <c r="M28" s="22">
        <f>M20-M26</f>
        <v>645855.8549887252</v>
      </c>
    </row>
    <row r="29" spans="3:13" ht="15.75" thickBot="1">
      <c r="C29" s="1"/>
      <c r="D29" s="1"/>
      <c r="E29" s="1"/>
      <c r="F29" s="1"/>
      <c r="G29" s="1"/>
      <c r="H29" s="4" t="s">
        <v>5</v>
      </c>
      <c r="J29" s="77" t="s">
        <v>31</v>
      </c>
      <c r="L29" s="23">
        <v>104494</v>
      </c>
      <c r="M29" s="23">
        <v>8650</v>
      </c>
    </row>
    <row r="30" spans="3:13" ht="15.75" thickBot="1">
      <c r="C30" s="1"/>
      <c r="D30" s="1"/>
      <c r="E30" s="1"/>
      <c r="F30" s="1"/>
      <c r="G30" s="41" t="s">
        <v>10</v>
      </c>
      <c r="H30" s="42"/>
      <c r="I30" s="43"/>
      <c r="J30" s="43"/>
      <c r="K30" s="43"/>
      <c r="L30" s="12">
        <f>L28/L29/18</f>
        <v>0.8273703325945043</v>
      </c>
      <c r="M30" s="12">
        <f>M28/M29/18</f>
        <v>4.148078708983463</v>
      </c>
    </row>
    <row r="31" spans="3:8" ht="15">
      <c r="C31" s="1"/>
      <c r="D31" s="1"/>
      <c r="E31" s="1"/>
      <c r="F31" s="1"/>
      <c r="G31" s="1"/>
      <c r="H31" s="4"/>
    </row>
    <row r="32" spans="3:8" ht="15">
      <c r="C32" s="1" t="s">
        <v>47</v>
      </c>
      <c r="D32" s="1"/>
      <c r="E32" s="1"/>
      <c r="F32" s="1"/>
      <c r="G32" s="1"/>
      <c r="H32" s="4"/>
    </row>
    <row r="33" spans="2:10" ht="15">
      <c r="B33" s="3" t="s">
        <v>23</v>
      </c>
      <c r="C33" s="114" t="s">
        <v>28</v>
      </c>
      <c r="D33" s="114"/>
      <c r="E33" s="114"/>
      <c r="F33" s="81"/>
      <c r="G33" s="1"/>
      <c r="H33" s="97" t="s">
        <v>51</v>
      </c>
      <c r="I33" s="97"/>
      <c r="J33" s="97"/>
    </row>
    <row r="34" spans="2:12" ht="15">
      <c r="B34" s="3" t="s">
        <v>27</v>
      </c>
      <c r="C34" s="1" t="s">
        <v>24</v>
      </c>
      <c r="D34" s="1" t="s">
        <v>25</v>
      </c>
      <c r="E34" s="100" t="s">
        <v>45</v>
      </c>
      <c r="F34" s="100" t="s">
        <v>52</v>
      </c>
      <c r="G34" s="1"/>
      <c r="H34" s="95" t="s">
        <v>24</v>
      </c>
      <c r="I34" s="95" t="s">
        <v>25</v>
      </c>
      <c r="J34" s="95" t="s">
        <v>26</v>
      </c>
      <c r="K34" s="95" t="s">
        <v>0</v>
      </c>
      <c r="L34" s="95" t="s">
        <v>53</v>
      </c>
    </row>
    <row r="35" spans="5:12" ht="59.25" customHeight="1">
      <c r="E35" s="101"/>
      <c r="F35" s="101"/>
      <c r="H35" s="95"/>
      <c r="I35" s="95"/>
      <c r="J35" s="95"/>
      <c r="K35" s="95"/>
      <c r="L35" s="95"/>
    </row>
    <row r="36" spans="2:12" ht="15">
      <c r="B36" s="3">
        <v>2009</v>
      </c>
      <c r="C36" s="63">
        <f>'[3]Veridian,Scugog,Gravenhurst'!$P$95</f>
        <v>101547</v>
      </c>
      <c r="D36" s="63">
        <f>'[3]Veridian,Scugog,Gravenhurst'!$P$98</f>
        <v>8501</v>
      </c>
      <c r="E36" s="63">
        <f>'[3]Veridian,Scugog,Gravenhurst'!$P$99+'[3]Veridian,Scugog,Gravenhurst'!$P$101+'[3]Veridian,Scugog,Gravenhurst'!$P$111</f>
        <v>1054</v>
      </c>
      <c r="F36" s="63">
        <f>SUM(C36:E36)</f>
        <v>111102</v>
      </c>
      <c r="H36" s="64">
        <f>(L36*(C36/F36))</f>
        <v>893053.6665771994</v>
      </c>
      <c r="I36" s="64">
        <f>(L36*(D36/F36))</f>
        <v>74761.92521268745</v>
      </c>
      <c r="J36" s="64">
        <f>(L36*(E36/F36))</f>
        <v>9269.38821011323</v>
      </c>
      <c r="K36" s="90">
        <f>SUM(H36:J36)</f>
        <v>977084.9800000001</v>
      </c>
      <c r="L36" s="88">
        <f>SUM('[2]8. Funding_Adder_Revs'!$K$60:$K$71)</f>
        <v>977084.9800000001</v>
      </c>
    </row>
    <row r="37" spans="2:12" ht="15">
      <c r="B37" s="3">
        <v>2010</v>
      </c>
      <c r="C37" s="63">
        <f>'[3]Veridian,Scugog,Gravenhurst'!$Q$95</f>
        <v>102929</v>
      </c>
      <c r="D37" s="63">
        <f>'[3]Veridian,Scugog,Gravenhurst'!$Q$98</f>
        <v>8578</v>
      </c>
      <c r="E37" s="63">
        <f>'[3]Veridian,Scugog,Gravenhurst'!$Q$99+'[3]Veridian,Scugog,Gravenhurst'!$Q$101+'[3]Veridian,Scugog,Gravenhurst'!$Q$111</f>
        <v>1062</v>
      </c>
      <c r="F37" s="63">
        <f>SUM(C37:E37)</f>
        <v>112569</v>
      </c>
      <c r="H37" s="64">
        <f>(L37*(C37/F37))</f>
        <v>1095246.1212362195</v>
      </c>
      <c r="I37" s="64">
        <f>(L37*(D37/F37))</f>
        <v>91276.71723191997</v>
      </c>
      <c r="J37" s="64">
        <f>(L37*(E37/F37))</f>
        <v>11300.521531860457</v>
      </c>
      <c r="K37" s="90">
        <f>SUM(H37:J37)</f>
        <v>1197823.3599999999</v>
      </c>
      <c r="L37" s="88">
        <f>SUM('[2]8. Funding_Adder_Revs'!$K$72:$K$83)</f>
        <v>1197823.3599999999</v>
      </c>
    </row>
    <row r="38" spans="2:12" ht="15">
      <c r="B38" s="3">
        <v>2011</v>
      </c>
      <c r="C38" s="63">
        <f>'[3]Veridian,Scugog,Gravenhurst'!$R$95</f>
        <v>104060</v>
      </c>
      <c r="D38" s="63">
        <f>'[3]Veridian,Scugog,Gravenhurst'!$R$98</f>
        <v>8595</v>
      </c>
      <c r="E38" s="63">
        <f>'[3]Veridian,Scugog,Gravenhurst'!$R$99+'[3]Veridian,Scugog,Gravenhurst'!$R$101+'[3]Veridian,Scugog,Gravenhurst'!$R$111</f>
        <v>1054</v>
      </c>
      <c r="F38" s="63">
        <f>SUM(C38:E38)</f>
        <v>113709</v>
      </c>
      <c r="H38" s="64">
        <f>(L38*(C38/F38))</f>
        <v>1274886.703261835</v>
      </c>
      <c r="I38" s="64">
        <f>(L38*(D38/F38))</f>
        <v>105301.28017043506</v>
      </c>
      <c r="J38" s="64">
        <f>(L38*(E38/F38))</f>
        <v>12913.036567729907</v>
      </c>
      <c r="K38" s="90">
        <f>SUM(H38:J38)</f>
        <v>1393101.02</v>
      </c>
      <c r="L38" s="88">
        <f>SUM('[2]8. Funding_Adder_Revs'!$K$84:$K$95)</f>
        <v>1393101.02</v>
      </c>
    </row>
    <row r="39" spans="2:12" ht="15.75" thickBot="1">
      <c r="B39" s="89" t="s">
        <v>46</v>
      </c>
      <c r="C39" s="63">
        <f>'[4]Customer Count 2012'!$B$184</f>
        <v>104651</v>
      </c>
      <c r="D39" s="63">
        <f>'[4]Customer Count 2012'!$H$184</f>
        <v>8663</v>
      </c>
      <c r="E39" s="63">
        <f>'[4]Customer Count 2012'!$H$185+5+3</f>
        <v>1070</v>
      </c>
      <c r="F39" s="63">
        <f>SUM(C39:E39)</f>
        <v>114384</v>
      </c>
      <c r="H39" s="92">
        <f>(L39*(C39/F39))</f>
        <v>479250.96721044905</v>
      </c>
      <c r="I39" s="93">
        <f>(L39*(D39/F39))</f>
        <v>39672.35027801091</v>
      </c>
      <c r="J39" s="92">
        <f>(L39*(E39/F39))</f>
        <v>4900.082511540076</v>
      </c>
      <c r="K39" s="92">
        <f>SUM(H39:J39)</f>
        <v>523823.4000000001</v>
      </c>
      <c r="L39" s="93">
        <f>SUM('[2]8. Funding_Adder_Revs'!$K$96:$K$99)</f>
        <v>523823.4</v>
      </c>
    </row>
    <row r="40" spans="8:10" ht="15">
      <c r="H40" s="64"/>
      <c r="I40" s="64"/>
      <c r="J40" s="64"/>
    </row>
    <row r="41" spans="8:12" ht="15">
      <c r="H41" s="90">
        <f>SUM(H36:H39)</f>
        <v>3742437.4582857033</v>
      </c>
      <c r="I41" s="90">
        <f>SUM(I36:I39)</f>
        <v>311012.27289305336</v>
      </c>
      <c r="J41" s="90">
        <f>SUM(J36:J39)</f>
        <v>38383.028821243664</v>
      </c>
      <c r="K41" s="90">
        <f>SUM(K36:K39)</f>
        <v>4091832.76</v>
      </c>
      <c r="L41" s="91">
        <f>SUM(L36:L40)</f>
        <v>4091832.76</v>
      </c>
    </row>
    <row r="42" spans="8:11" ht="15">
      <c r="H42" s="66">
        <f>H41/$K41</f>
        <v>0.9146115390810116</v>
      </c>
      <c r="I42" s="66">
        <f>I41/$K41</f>
        <v>0.07600806072363851</v>
      </c>
      <c r="J42" s="66">
        <f>J41/$K41</f>
        <v>0.009380400195350034</v>
      </c>
      <c r="K42" s="67">
        <f>SUM(H42:J42)</f>
        <v>1.0000000000000002</v>
      </c>
    </row>
    <row r="43" spans="8:9" ht="15">
      <c r="H43" s="70">
        <f>L21</f>
        <v>0.8449193185128074</v>
      </c>
      <c r="I43" s="71">
        <f>M21</f>
        <v>0.15508068148719248</v>
      </c>
    </row>
    <row r="44" spans="3:9" ht="15">
      <c r="C44" t="s">
        <v>34</v>
      </c>
      <c r="H44" s="70">
        <v>0.5</v>
      </c>
      <c r="I44" s="71">
        <v>0.5</v>
      </c>
    </row>
    <row r="45" spans="3:9" ht="15.75" thickBot="1">
      <c r="C45" t="s">
        <v>54</v>
      </c>
      <c r="H45" s="78">
        <f>H44*J42</f>
        <v>0.004690200097675017</v>
      </c>
      <c r="I45" s="79">
        <f>I44*J42</f>
        <v>0.004690200097675017</v>
      </c>
    </row>
    <row r="46" spans="8:9" ht="15.75" thickTop="1">
      <c r="H46" s="68">
        <f>H42+H45</f>
        <v>0.9193017391786866</v>
      </c>
      <c r="I46" s="69">
        <f>I42+I45</f>
        <v>0.08069826082131352</v>
      </c>
    </row>
    <row r="47" spans="3:4" ht="17.25" customHeight="1">
      <c r="C47" s="102" t="s">
        <v>48</v>
      </c>
      <c r="D47" s="102"/>
    </row>
    <row r="49" spans="3:4" ht="15">
      <c r="C49" s="87" t="s">
        <v>49</v>
      </c>
      <c r="D49" s="87" t="s">
        <v>50</v>
      </c>
    </row>
    <row r="50" spans="3:11" ht="15">
      <c r="C50">
        <v>2008</v>
      </c>
      <c r="D50" s="65">
        <v>0.73</v>
      </c>
      <c r="J50" s="88"/>
      <c r="K50" s="88"/>
    </row>
    <row r="51" spans="3:4" ht="15">
      <c r="C51">
        <v>2009</v>
      </c>
      <c r="D51" s="65">
        <v>0.73</v>
      </c>
    </row>
    <row r="52" spans="3:11" ht="15">
      <c r="C52">
        <v>2010</v>
      </c>
      <c r="D52" s="65">
        <v>1</v>
      </c>
      <c r="K52" s="88"/>
    </row>
    <row r="53" spans="3:8" ht="15">
      <c r="C53">
        <v>2011</v>
      </c>
      <c r="D53" s="65">
        <v>1</v>
      </c>
      <c r="H53" s="4"/>
    </row>
  </sheetData>
  <sheetProtection/>
  <mergeCells count="18">
    <mergeCell ref="C47:D47"/>
    <mergeCell ref="B20:G20"/>
    <mergeCell ref="B22:G22"/>
    <mergeCell ref="B27:G27"/>
    <mergeCell ref="I23:K23"/>
    <mergeCell ref="I24:K24"/>
    <mergeCell ref="C26:G26"/>
    <mergeCell ref="E34:E35"/>
    <mergeCell ref="J34:J35"/>
    <mergeCell ref="C33:E33"/>
    <mergeCell ref="L34:L35"/>
    <mergeCell ref="L2:M2"/>
    <mergeCell ref="H33:J33"/>
    <mergeCell ref="H21:J21"/>
    <mergeCell ref="F34:F35"/>
    <mergeCell ref="I34:I35"/>
    <mergeCell ref="H34:H35"/>
    <mergeCell ref="K34:K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8" sqref="B8"/>
    </sheetView>
  </sheetViews>
  <sheetFormatPr defaultColWidth="9.140625" defaultRowHeight="15"/>
  <cols>
    <col min="2" max="10" width="14.140625" style="0" customWidth="1"/>
  </cols>
  <sheetData>
    <row r="1" spans="2:10" ht="39">
      <c r="B1" s="50" t="s">
        <v>16</v>
      </c>
      <c r="C1" s="50" t="s">
        <v>17</v>
      </c>
      <c r="D1" s="50" t="s">
        <v>18</v>
      </c>
      <c r="E1" s="50" t="s">
        <v>19</v>
      </c>
      <c r="F1" s="51" t="s">
        <v>12</v>
      </c>
      <c r="G1" s="50" t="s">
        <v>20</v>
      </c>
      <c r="H1" s="50" t="s">
        <v>21</v>
      </c>
      <c r="I1" s="50" t="s">
        <v>22</v>
      </c>
      <c r="J1" s="52" t="s">
        <v>0</v>
      </c>
    </row>
    <row r="2" spans="1:10" ht="15">
      <c r="A2" s="53">
        <v>2000</v>
      </c>
      <c r="B2" s="54"/>
      <c r="C2" s="55"/>
      <c r="D2" s="54"/>
      <c r="E2" s="54"/>
      <c r="F2" s="54"/>
      <c r="G2" s="54"/>
      <c r="H2" s="54"/>
      <c r="I2" s="54"/>
      <c r="J2" s="56"/>
    </row>
    <row r="3" spans="1:10" ht="15">
      <c r="A3" s="53">
        <v>2001</v>
      </c>
      <c r="B3" s="56"/>
      <c r="C3" s="56"/>
      <c r="D3" s="56"/>
      <c r="E3" s="54"/>
      <c r="F3" s="54"/>
      <c r="G3" s="54"/>
      <c r="H3" s="54"/>
      <c r="I3" s="56"/>
      <c r="J3" s="56"/>
    </row>
    <row r="4" spans="1:10" ht="15">
      <c r="A4" s="53">
        <v>2002</v>
      </c>
      <c r="B4" s="54"/>
      <c r="C4" s="54"/>
      <c r="D4" s="54"/>
      <c r="E4" s="54"/>
      <c r="F4" s="54"/>
      <c r="G4" s="54"/>
      <c r="H4" s="54"/>
      <c r="I4" s="54"/>
      <c r="J4" s="56"/>
    </row>
    <row r="5" spans="1:10" ht="15">
      <c r="A5" s="53">
        <v>2003</v>
      </c>
      <c r="B5" s="54">
        <v>38064.333333333336</v>
      </c>
      <c r="C5" s="54">
        <v>3248.6666666666665</v>
      </c>
      <c r="D5" s="54">
        <v>461</v>
      </c>
      <c r="E5" s="54">
        <v>36.833333333333336</v>
      </c>
      <c r="F5" s="54">
        <v>4</v>
      </c>
      <c r="G5" s="54">
        <v>10876</v>
      </c>
      <c r="H5" s="54">
        <v>29.666666666666668</v>
      </c>
      <c r="I5" s="54">
        <v>587.6666666666666</v>
      </c>
      <c r="J5" s="56">
        <v>53308.166666666664</v>
      </c>
    </row>
    <row r="6" spans="1:10" ht="15">
      <c r="A6" s="53">
        <v>2004</v>
      </c>
      <c r="B6" s="54">
        <v>39400.5</v>
      </c>
      <c r="C6" s="54">
        <v>3323.8333333333335</v>
      </c>
      <c r="D6" s="54">
        <v>487.8333333333333</v>
      </c>
      <c r="E6" s="54">
        <v>38</v>
      </c>
      <c r="F6" s="54">
        <v>4</v>
      </c>
      <c r="G6" s="54">
        <v>11253</v>
      </c>
      <c r="H6" s="54">
        <v>29.416666666666668</v>
      </c>
      <c r="I6" s="54">
        <v>601.5</v>
      </c>
      <c r="J6" s="56">
        <v>55138.083333333336</v>
      </c>
    </row>
    <row r="7" spans="1:10" ht="15">
      <c r="A7" s="53">
        <v>2005</v>
      </c>
      <c r="B7" s="54">
        <v>40692.083333333336</v>
      </c>
      <c r="C7" s="54">
        <v>3421.9166666666665</v>
      </c>
      <c r="D7" s="54">
        <v>497.6666666666667</v>
      </c>
      <c r="E7" s="54">
        <v>38.666666666666664</v>
      </c>
      <c r="F7" s="54">
        <v>4</v>
      </c>
      <c r="G7" s="54">
        <v>11838</v>
      </c>
      <c r="H7" s="54">
        <v>31</v>
      </c>
      <c r="I7" s="54">
        <v>595.1666666666666</v>
      </c>
      <c r="J7" s="56">
        <v>57118.5</v>
      </c>
    </row>
    <row r="8" spans="1:10" ht="15">
      <c r="A8" s="53">
        <v>2006</v>
      </c>
      <c r="B8" s="54">
        <v>41642.5</v>
      </c>
      <c r="C8" s="54">
        <v>3468.416666666667</v>
      </c>
      <c r="D8" s="54">
        <v>509.8333333333333</v>
      </c>
      <c r="E8" s="54">
        <v>40</v>
      </c>
      <c r="F8" s="54">
        <v>4</v>
      </c>
      <c r="G8" s="54">
        <v>12237</v>
      </c>
      <c r="H8" s="54">
        <v>30.583333333333332</v>
      </c>
      <c r="I8" s="54">
        <v>580.8333333333334</v>
      </c>
      <c r="J8" s="56">
        <v>58513.16666666667</v>
      </c>
    </row>
    <row r="9" spans="1:10" ht="15">
      <c r="A9" s="53">
        <v>2007</v>
      </c>
      <c r="B9" s="54">
        <v>42728.25</v>
      </c>
      <c r="C9" s="54">
        <v>3533.916666666667</v>
      </c>
      <c r="D9" s="54">
        <v>520.8333333333334</v>
      </c>
      <c r="E9" s="54">
        <v>40.833333333333336</v>
      </c>
      <c r="F9" s="54">
        <v>4</v>
      </c>
      <c r="G9" s="54">
        <v>12574</v>
      </c>
      <c r="H9" s="54">
        <v>29</v>
      </c>
      <c r="I9" s="54">
        <v>579.3333333333334</v>
      </c>
      <c r="J9" s="56">
        <v>60010.16666666667</v>
      </c>
    </row>
    <row r="10" spans="1:10" ht="15">
      <c r="A10" s="53">
        <v>2008</v>
      </c>
      <c r="B10" s="54">
        <v>43746.91666666667</v>
      </c>
      <c r="C10" s="54">
        <v>3580.8333333333335</v>
      </c>
      <c r="D10" s="54">
        <v>539.0833333333334</v>
      </c>
      <c r="E10" s="54">
        <v>40.916666666666664</v>
      </c>
      <c r="F10" s="54">
        <v>4</v>
      </c>
      <c r="G10" s="54">
        <v>12781</v>
      </c>
      <c r="H10" s="54">
        <v>27.833333333333332</v>
      </c>
      <c r="I10" s="54">
        <v>580.1666666666666</v>
      </c>
      <c r="J10" s="56">
        <v>61300.75</v>
      </c>
    </row>
    <row r="11" spans="1:10" ht="15">
      <c r="A11" s="53">
        <v>2009</v>
      </c>
      <c r="B11" s="54">
        <v>44583.5</v>
      </c>
      <c r="C11" s="54">
        <v>3623.75</v>
      </c>
      <c r="D11" s="54">
        <v>537.5</v>
      </c>
      <c r="E11" s="54">
        <v>41</v>
      </c>
      <c r="F11" s="54">
        <v>4</v>
      </c>
      <c r="G11" s="54">
        <v>12860</v>
      </c>
      <c r="H11" s="54">
        <v>28.083333333333332</v>
      </c>
      <c r="I11" s="54">
        <v>582.25</v>
      </c>
      <c r="J11" s="56">
        <v>62260.083333333336</v>
      </c>
    </row>
    <row r="12" spans="1:10" ht="15">
      <c r="A12" s="53">
        <v>2010</v>
      </c>
      <c r="B12" s="54">
        <v>45476.583333333336</v>
      </c>
      <c r="C12" s="54">
        <v>3660.75</v>
      </c>
      <c r="D12" s="54">
        <v>543.1666666666666</v>
      </c>
      <c r="E12" s="54">
        <v>42</v>
      </c>
      <c r="F12" s="54">
        <v>4</v>
      </c>
      <c r="G12" s="54">
        <v>12947.5</v>
      </c>
      <c r="H12" s="54">
        <v>26.583333333333332</v>
      </c>
      <c r="I12" s="54">
        <v>583.9166666666666</v>
      </c>
      <c r="J12" s="56">
        <v>63284.5</v>
      </c>
    </row>
    <row r="13" spans="1:10" ht="15">
      <c r="A13" s="53">
        <v>2011</v>
      </c>
      <c r="B13" s="57">
        <v>46647.28191664726</v>
      </c>
      <c r="C13" s="57">
        <v>3723.739958950999</v>
      </c>
      <c r="D13" s="57">
        <v>556.0439713406029</v>
      </c>
      <c r="E13" s="57">
        <v>42.795029349079286</v>
      </c>
      <c r="F13" s="57">
        <v>4</v>
      </c>
      <c r="G13" s="57">
        <v>13274.023864191058</v>
      </c>
      <c r="H13" s="57">
        <v>26.169833735475972</v>
      </c>
      <c r="I13" s="57">
        <v>583.3829093719154</v>
      </c>
      <c r="J13" s="58">
        <v>64857.43748358639</v>
      </c>
    </row>
    <row r="14" spans="1:10" ht="15">
      <c r="A14" s="53">
        <v>2012</v>
      </c>
      <c r="B14" s="57">
        <v>47848.117662265744</v>
      </c>
      <c r="C14" s="57">
        <v>3787.813776381449</v>
      </c>
      <c r="D14" s="57">
        <v>569.2265690044109</v>
      </c>
      <c r="E14" s="57">
        <v>43.60510802353708</v>
      </c>
      <c r="F14" s="57">
        <v>4</v>
      </c>
      <c r="G14" s="57">
        <v>13608.782355444195</v>
      </c>
      <c r="H14" s="57">
        <v>25.762766059277354</v>
      </c>
      <c r="I14" s="57">
        <v>582.849639983857</v>
      </c>
      <c r="J14" s="57">
        <v>66470.15787716248</v>
      </c>
    </row>
    <row r="15" spans="1:10" ht="15">
      <c r="A15" s="59" t="s">
        <v>13</v>
      </c>
      <c r="B15" s="60"/>
      <c r="C15" s="60"/>
      <c r="D15" s="60"/>
      <c r="E15" s="60"/>
      <c r="F15" s="60"/>
      <c r="G15" s="60"/>
      <c r="H15" s="60"/>
      <c r="I15" s="60"/>
      <c r="J15" s="52"/>
    </row>
    <row r="16" spans="1:10" ht="15">
      <c r="A16" s="53">
        <v>2000</v>
      </c>
      <c r="B16" s="61"/>
      <c r="C16" s="61"/>
      <c r="D16" s="61"/>
      <c r="E16" s="61"/>
      <c r="F16" s="61"/>
      <c r="G16" s="61"/>
      <c r="H16" s="61"/>
      <c r="I16" s="61"/>
      <c r="J16" s="52"/>
    </row>
    <row r="17" spans="1:10" ht="15">
      <c r="A17" s="53">
        <v>2001</v>
      </c>
      <c r="B17" s="61"/>
      <c r="C17" s="61"/>
      <c r="D17" s="61"/>
      <c r="E17" s="61"/>
      <c r="F17" s="61"/>
      <c r="G17" s="61"/>
      <c r="H17" s="61"/>
      <c r="I17" s="61"/>
      <c r="J17" s="52"/>
    </row>
    <row r="18" spans="1:10" ht="15">
      <c r="A18" s="53">
        <v>2002</v>
      </c>
      <c r="B18" s="61"/>
      <c r="C18" s="61"/>
      <c r="D18" s="61"/>
      <c r="E18" s="61"/>
      <c r="F18" s="61"/>
      <c r="G18" s="61"/>
      <c r="H18" s="61"/>
      <c r="I18" s="61"/>
      <c r="J18" s="52"/>
    </row>
    <row r="19" spans="1:10" ht="15">
      <c r="A19" s="53">
        <v>2003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15">
      <c r="A20" s="53">
        <v>2004</v>
      </c>
      <c r="B20" s="61">
        <v>1.0351028521888381</v>
      </c>
      <c r="C20" s="61">
        <v>1.0231376975169302</v>
      </c>
      <c r="D20" s="61">
        <v>1.0582067968185105</v>
      </c>
      <c r="E20" s="61">
        <v>1.0316742081447963</v>
      </c>
      <c r="F20" s="61">
        <v>1</v>
      </c>
      <c r="G20" s="61">
        <v>1.0346634792203016</v>
      </c>
      <c r="H20" s="61">
        <v>0.9915730337078652</v>
      </c>
      <c r="I20" s="61">
        <v>1.023539421440726</v>
      </c>
      <c r="J20" s="61">
        <v>1.0343271356171195</v>
      </c>
    </row>
    <row r="21" spans="1:10" ht="15">
      <c r="A21" s="53">
        <v>2005</v>
      </c>
      <c r="B21" s="61">
        <v>1.032780886875378</v>
      </c>
      <c r="C21" s="61">
        <v>1.0295091009376722</v>
      </c>
      <c r="D21" s="61">
        <v>1.020157157499146</v>
      </c>
      <c r="E21" s="61">
        <v>1.0175438596491226</v>
      </c>
      <c r="F21" s="61">
        <v>1</v>
      </c>
      <c r="G21" s="61">
        <v>1.0519861370301253</v>
      </c>
      <c r="H21" s="61">
        <v>1.0538243626062322</v>
      </c>
      <c r="I21" s="61">
        <v>0.9894707675256303</v>
      </c>
      <c r="J21" s="61">
        <v>1.0359174013121601</v>
      </c>
    </row>
    <row r="22" spans="1:10" ht="15">
      <c r="A22" s="53">
        <v>2006</v>
      </c>
      <c r="B22" s="61">
        <v>1.0233563039493758</v>
      </c>
      <c r="C22" s="61">
        <v>1.0135888756301294</v>
      </c>
      <c r="D22" s="61">
        <v>1.024447421299397</v>
      </c>
      <c r="E22" s="61">
        <v>1.0344827586206897</v>
      </c>
      <c r="F22" s="61">
        <v>1</v>
      </c>
      <c r="G22" s="61">
        <v>1.033705017739483</v>
      </c>
      <c r="H22" s="61">
        <v>0.9865591397849462</v>
      </c>
      <c r="I22" s="61">
        <v>0.9759171100532065</v>
      </c>
      <c r="J22" s="61">
        <v>1.024417074444649</v>
      </c>
    </row>
    <row r="23" spans="1:10" ht="15">
      <c r="A23" s="53">
        <v>2007</v>
      </c>
      <c r="B23" s="61">
        <v>1.0260731224109985</v>
      </c>
      <c r="C23" s="61">
        <v>1.018884697628601</v>
      </c>
      <c r="D23" s="61">
        <v>1.0215756783262506</v>
      </c>
      <c r="E23" s="61">
        <v>1.0208333333333335</v>
      </c>
      <c r="F23" s="61">
        <v>1</v>
      </c>
      <c r="G23" s="61">
        <v>1.0275394295987579</v>
      </c>
      <c r="H23" s="61">
        <v>0.9482288828337875</v>
      </c>
      <c r="I23" s="61">
        <v>0.9974175035868006</v>
      </c>
      <c r="J23" s="61">
        <v>1.025583985370814</v>
      </c>
    </row>
    <row r="24" spans="1:10" ht="15">
      <c r="A24" s="53">
        <v>2008</v>
      </c>
      <c r="B24" s="61">
        <v>1.023840589461695</v>
      </c>
      <c r="C24" s="61">
        <v>1.0132761100761667</v>
      </c>
      <c r="D24" s="61">
        <v>1.03504</v>
      </c>
      <c r="E24" s="61">
        <v>1.0020408163265304</v>
      </c>
      <c r="F24" s="61">
        <v>1</v>
      </c>
      <c r="G24" s="61">
        <v>1.0164625417528232</v>
      </c>
      <c r="H24" s="61">
        <v>0.9597701149425287</v>
      </c>
      <c r="I24" s="61">
        <v>1.0014384349827385</v>
      </c>
      <c r="J24" s="61">
        <v>1.0215060781367602</v>
      </c>
    </row>
    <row r="25" spans="1:10" ht="15">
      <c r="A25" s="53">
        <v>2009</v>
      </c>
      <c r="B25" s="61">
        <v>1.01912325249589</v>
      </c>
      <c r="C25" s="61">
        <v>1.0119851058878286</v>
      </c>
      <c r="D25" s="61">
        <v>0.9970629154428814</v>
      </c>
      <c r="E25" s="61">
        <v>1.0020366598778006</v>
      </c>
      <c r="F25" s="61">
        <v>1</v>
      </c>
      <c r="G25" s="61">
        <v>1.006181049996088</v>
      </c>
      <c r="H25" s="61">
        <v>1.0089820359281436</v>
      </c>
      <c r="I25" s="61">
        <v>1.003590922148808</v>
      </c>
      <c r="J25" s="61">
        <v>1.0156496182074988</v>
      </c>
    </row>
    <row r="26" spans="1:10" ht="15">
      <c r="A26" s="53">
        <v>2010</v>
      </c>
      <c r="B26" s="61">
        <v>1.0200317008160718</v>
      </c>
      <c r="C26" s="61">
        <v>1.0102104173853053</v>
      </c>
      <c r="D26" s="61">
        <v>1.0105426356589147</v>
      </c>
      <c r="E26" s="61">
        <v>1.024390243902439</v>
      </c>
      <c r="F26" s="61">
        <v>1</v>
      </c>
      <c r="G26" s="61">
        <v>1.0068040435458787</v>
      </c>
      <c r="H26" s="61">
        <v>0.9465875370919882</v>
      </c>
      <c r="I26" s="61">
        <v>1.002862458852154</v>
      </c>
      <c r="J26" s="61">
        <v>1.0164538274255441</v>
      </c>
    </row>
    <row r="27" spans="1:10" ht="15">
      <c r="A27" t="s">
        <v>14</v>
      </c>
      <c r="B27" s="62">
        <v>1.0257428878227937</v>
      </c>
      <c r="C27" s="62">
        <v>1.0172068453051968</v>
      </c>
      <c r="D27" s="62">
        <v>1.0237078330910148</v>
      </c>
      <c r="E27" s="62">
        <v>1.0189292702161734</v>
      </c>
      <c r="F27" s="62">
        <v>1</v>
      </c>
      <c r="G27" s="62">
        <v>1.0252190665526981</v>
      </c>
      <c r="H27" s="62">
        <v>0.9844451561934535</v>
      </c>
      <c r="I27" s="62">
        <v>0.999085901593119</v>
      </c>
      <c r="J27" s="62">
        <v>1.0248100419247985</v>
      </c>
    </row>
    <row r="28" spans="2:10" ht="15"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15">
      <c r="A29" t="s">
        <v>15</v>
      </c>
      <c r="B29" s="62">
        <v>1.0257428878227937</v>
      </c>
      <c r="C29" s="62">
        <v>1.0172068453051968</v>
      </c>
      <c r="D29" s="62">
        <v>1.0237078330910148</v>
      </c>
      <c r="E29" s="62">
        <v>1.0189292702161734</v>
      </c>
      <c r="F29" s="62">
        <v>1</v>
      </c>
      <c r="G29" s="62">
        <v>1.0252190665526981</v>
      </c>
      <c r="H29" s="62">
        <v>0.9844451561934535</v>
      </c>
      <c r="I29" s="62">
        <v>0.999085901593119</v>
      </c>
      <c r="J29" s="62">
        <v>1.0248100419247985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birceanu</dc:creator>
  <cp:keywords/>
  <dc:description/>
  <cp:lastModifiedBy>Laurie Mclorg</cp:lastModifiedBy>
  <cp:lastPrinted>2012-07-27T17:46:44Z</cp:lastPrinted>
  <dcterms:created xsi:type="dcterms:W3CDTF">2011-11-02T13:19:14Z</dcterms:created>
  <dcterms:modified xsi:type="dcterms:W3CDTF">2012-07-27T18:00:09Z</dcterms:modified>
  <cp:category/>
  <cp:version/>
  <cp:contentType/>
  <cp:contentStatus/>
</cp:coreProperties>
</file>