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40" tabRatio="787" firstSheet="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<sst xmlns="http://schemas.openxmlformats.org/spreadsheetml/2006/main" count="888" uniqueCount="501">
  <si>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</si>
  <si>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</si>
  <si>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</si>
  <si>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</si>
  <si>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</si>
  <si>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</si>
  <si>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</si>
  <si>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</si>
  <si>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</si>
  <si>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</si>
  <si>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</si>
  <si>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</si>
  <si>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</si>
  <si>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</si>
  <si>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</si>
  <si>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</si>
  <si>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</si>
  <si>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</si>
  <si>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</si>
  <si>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</si>
  <si>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</si>
  <si>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</si>
  <si>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</si>
  <si>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</si>
  <si>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</si>
  <si>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</si>
  <si>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</si>
  <si>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</si>
  <si>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</si>
  <si>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</si>
  <si>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</si>
  <si>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</si>
  <si>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</si>
  <si>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</si>
  <si>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</si>
  <si>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</si>
  <si>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</si>
  <si>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</si>
  <si>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</si>
  <si>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</si>
  <si>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</si>
  <si>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</si>
  <si>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</si>
  <si>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</si>
  <si>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</si>
  <si>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</si>
  <si>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</si>
  <si>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</si>
  <si>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</si>
  <si>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</si>
  <si>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</si>
  <si>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</si>
  <si>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</si>
  <si>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</si>
  <si>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</si>
  <si>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</si>
  <si>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</si>
  <si>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</si>
  <si>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</si>
  <si>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</si>
  <si>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</si>
  <si>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</si>
  <si>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</si>
  <si>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</si>
  <si>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</si>
  <si>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</si>
  <si>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</si>
  <si>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</si>
  <si>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</si>
  <si>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</si>
  <si>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</si>
  <si>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</si>
  <si>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</si>
  <si>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</si>
  <si>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</si>
  <si>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</si>
  <si>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</si>
  <si>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</si>
  <si>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</si>
  <si>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</si>
  <si>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</si>
  <si>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</si>
  <si>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</si>
  <si>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</si>
  <si>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</si>
  <si>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</si>
  <si>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</si>
  <si>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</si>
  <si>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</si>
  <si>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</si>
  <si>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</si>
  <si>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</si>
  <si>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</si>
  <si>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</si>
  <si>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</si>
  <si>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</si>
  <si>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</si>
  <si>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</si>
  <si>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</si>
  <si>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</si>
  <si>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</si>
  <si>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</si>
  <si>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</si>
  <si>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</si>
  <si>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</si>
  <si>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</si>
  <si>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</si>
  <si>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</si>
  <si>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</si>
  <si>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</si>
  <si>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</si>
  <si>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</si>
  <si>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</si>
  <si>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</si>
  <si>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</si>
  <si>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</si>
  <si>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</si>
  <si>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</si>
  <si>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</si>
  <si>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</si>
  <si>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</si>
  <si>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</si>
  <si>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</si>
  <si>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</si>
  <si>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</si>
  <si>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</si>
  <si>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</si>
  <si>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</si>
  <si>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</si>
  <si>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</si>
  <si>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</si>
  <si>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</si>
  <si>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</si>
  <si>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</si>
  <si>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</si>
  <si>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</si>
  <si>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</si>
  <si>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</si>
  <si>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</si>
  <si>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</si>
  <si>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</si>
  <si>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</si>
  <si>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</si>
  <si>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</si>
  <si>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</si>
  <si>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</si>
  <si>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</si>
  <si>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</si>
  <si>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</si>
  <si>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</si>
  <si>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</si>
  <si>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</si>
  <si>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</si>
  <si>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</si>
  <si>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</si>
  <si>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</si>
  <si>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</si>
  <si>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</si>
  <si>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</si>
  <si>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</si>
  <si>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</si>
  <si>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</si>
  <si>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</si>
  <si>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</si>
  <si>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</si>
  <si>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</si>
  <si>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</si>
  <si>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</si>
  <si>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</si>
  <si>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</si>
  <si>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</si>
  <si>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</si>
  <si>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</si>
  <si>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</si>
  <si>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</si>
  <si>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</si>
  <si>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</si>
  <si>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</si>
  <si>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</si>
  <si>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</si>
  <si>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</si>
  <si>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</si>
  <si>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</si>
  <si>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</si>
  <si>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</si>
  <si>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</si>
  <si>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</si>
  <si>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</si>
  <si>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</si>
  <si>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</si>
  <si>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</si>
  <si>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</si>
  <si>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</si>
  <si>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</si>
  <si>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</si>
  <si>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</si>
  <si>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</si>
  <si>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</si>
  <si>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</si>
  <si>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</si>
  <si>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</si>
  <si>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</si>
  <si>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</si>
  <si>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</si>
  <si>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</si>
  <si>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</si>
  <si>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</si>
  <si>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</si>
  <si>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</si>
  <si>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</si>
  <si>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</si>
  <si>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</si>
  <si>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</si>
  <si>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</si>
  <si>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</si>
  <si>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</si>
  <si>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</si>
  <si>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</si>
  <si>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</si>
  <si>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</si>
  <si>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</si>
  <si>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</si>
  <si>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</si>
  <si>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</si>
  <si>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</si>
  <si>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</si>
  <si>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</si>
  <si>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</si>
  <si>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</si>
  <si>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</si>
  <si>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</si>
  <si>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</si>
  <si>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</si>
  <si>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</si>
  <si>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</si>
  <si>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</si>
  <si>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</si>
  <si>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</si>
  <si>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</si>
  <si>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</si>
  <si>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</si>
  <si>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</si>
  <si>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</si>
  <si>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</si>
  <si>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</si>
  <si>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</si>
  <si>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</si>
  <si>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</si>
  <si>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</si>
  <si>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</si>
  <si>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</si>
  <si>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</si>
  <si>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</si>
  <si>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</si>
  <si>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</si>
  <si>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</si>
  <si>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</si>
  <si>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</si>
  <si>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</si>
  <si>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</si>
  <si>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</si>
  <si>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</si>
  <si>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</si>
  <si>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</si>
  <si>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</si>
  <si>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</si>
  <si>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</si>
  <si>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</si>
  <si>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</si>
  <si>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</si>
  <si>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</si>
  <si>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</si>
  <si>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</si>
  <si>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</si>
  <si>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</si>
  <si>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</si>
  <si>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</si>
  <si>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</si>
  <si>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</si>
  <si>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</si>
  <si>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</si>
  <si>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</si>
  <si>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</si>
  <si>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</si>
  <si>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</si>
  <si>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</si>
  <si>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</si>
  <si>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</si>
  <si>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</si>
  <si>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</si>
  <si>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</si>
  <si>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</si>
  <si>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</si>
  <si>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</si>
  <si>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</si>
  <si>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</si>
  <si>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</si>
  <si>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</si>
  <si>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</si>
  <si>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</si>
  <si>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</si>
  <si>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</si>
  <si>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</si>
  <si>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</si>
  <si>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</si>
  <si>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</si>
  <si>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</si>
  <si>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</si>
  <si>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</si>
  <si>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</si>
  <si>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</si>
  <si>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</si>
  <si>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</si>
  <si>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</si>
  <si>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</si>
  <si>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</si>
  <si>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</si>
  <si>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</si>
  <si>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</si>
  <si>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</si>
  <si>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</si>
  <si>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</si>
  <si>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</si>
  <si>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</si>
  <si>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</si>
  <si>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</si>
  <si>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</si>
  <si>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</si>
  <si>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</si>
  <si>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</si>
  <si>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</si>
  <si>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</si>
  <si>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</si>
  <si>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</si>
  <si>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</si>
  <si>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</si>
  <si>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</si>
  <si>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</si>
  <si>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</si>
  <si>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</si>
  <si>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</si>
  <si>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</si>
  <si>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</si>
  <si>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</si>
  <si>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</si>
  <si>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</si>
  <si>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</si>
  <si>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</si>
  <si>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</si>
  <si>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</si>
  <si>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</si>
  <si>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</si>
  <si>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</si>
  <si>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</si>
  <si>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</si>
  <si>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</si>
  <si>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</si>
  <si>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</si>
  <si>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</si>
  <si>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</si>
  <si>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</si>
  <si>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</si>
  <si>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</si>
  <si>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</si>
  <si>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</si>
  <si>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</si>
  <si>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</si>
  <si>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</si>
  <si>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</si>
  <si>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</si>
  <si>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</si>
  <si>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</si>
  <si>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</si>
  <si>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</si>
  <si>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</si>
  <si>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</si>
  <si>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</si>
  <si>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</si>
  <si>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</si>
  <si>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</si>
  <si>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</si>
  <si>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</si>
  <si>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</si>
  <si>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</si>
  <si>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</si>
  <si>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</si>
  <si>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</si>
  <si>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</si>
  <si>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</si>
  <si>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</si>
  <si>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</si>
  <si>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</si>
  <si>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</si>
  <si>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</si>
  <si>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</si>
  <si>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</si>
  <si>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</si>
  <si>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</si>
  <si>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</si>
  <si>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</si>
  <si>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</si>
  <si>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</si>
  <si>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</si>
  <si>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</si>
  <si>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</si>
  <si>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</si>
  <si>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</si>
  <si>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</si>
  <si>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</si>
  <si>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</si>
  <si>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</si>
  <si>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</si>
  <si>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</si>
  <si>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</si>
  <si>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</si>
  <si>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</si>
  <si>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</si>
  <si>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</si>
  <si>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</si>
  <si>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</si>
  <si>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</si>
  <si>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</si>
  <si>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</si>
  <si>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</si>
  <si>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</si>
  <si>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</si>
  <si>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</si>
  <si>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</si>
  <si>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</si>
  <si>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</si>
  <si>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</si>
  <si>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</si>
  <si>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</si>
  <si>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</si>
  <si>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</si>
  <si>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</si>
  <si>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</si>
  <si>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</si>
  <si>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</si>
  <si>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</si>
  <si>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</si>
  <si>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</si>
  <si>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</si>
  <si>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</si>
  <si>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</si>
  <si>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</si>
  <si>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</si>
  <si>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</si>
  <si>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</si>
  <si>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</si>
  <si>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</si>
  <si>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</si>
  <si>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</si>
  <si>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</si>
  <si>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</si>
  <si>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</si>
  <si>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</si>
  <si>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</si>
  <si>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</si>
  <si>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</si>
  <si>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</si>
  <si>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</si>
  <si>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</si>
  <si>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</si>
  <si>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</si>
  <si>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</si>
  <si>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</si>
  <si>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</si>
  <si>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</si>
  <si>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</si>
  <si>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</si>
  <si>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</si>
  <si>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</si>
  <si>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</si>
  <si>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</si>
  <si>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</si>
  <si>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</si>
  <si>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</si>
  <si>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</si>
  <si>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</si>
  <si>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</si>
  <si>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</si>
  <si>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</si>
  <si>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</si>
  <si>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</si>
  <si>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</si>
  <si>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</si>
  <si>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</si>
  <si>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</si>
  <si>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</si>
  <si>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</si>
  <si>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</si>
  <si>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</si>
  <si>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</si>
  <si>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</si>
  <si>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Utility Name: Niagara Falls Hydro</t>
  </si>
  <si>
    <t>Yes</t>
  </si>
  <si>
    <t>No</t>
  </si>
  <si>
    <t>Reassessment 2011/02/23</t>
  </si>
  <si>
    <t>Statement of Adjustments March 17, 2011</t>
  </si>
  <si>
    <t>Deemed Interest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</si>
</sst>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4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6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4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8" borderId="14" xfId="0" applyNumberFormat="1" applyFill="1" applyBorder="1" applyAlignment="1">
      <alignment vertical="top"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7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6" borderId="44" xfId="0" applyNumberFormat="1" applyFill="1" applyBorder="1" applyAlignment="1" applyProtection="1">
      <alignment horizontal="center" vertical="top"/>
      <protection locked="0"/>
    </xf>
    <xf numFmtId="10" fontId="0" fillId="26" borderId="51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40" xfId="0" applyNumberFormat="1" applyFill="1" applyBorder="1" applyAlignment="1" applyProtection="1">
      <alignment horizontal="center" vertical="top"/>
      <protection locked="0"/>
    </xf>
    <xf numFmtId="10" fontId="0" fillId="26" borderId="42" xfId="0" applyNumberFormat="1" applyFill="1" applyBorder="1" applyAlignment="1" applyProtection="1">
      <alignment horizontal="center" vertical="top"/>
      <protection locked="0"/>
    </xf>
    <xf numFmtId="178" fontId="0" fillId="26" borderId="44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6" xfId="0" applyFill="1" applyBorder="1" applyAlignment="1" applyProtection="1">
      <alignment horizontal="center" vertical="top"/>
      <protection locked="0"/>
    </xf>
    <xf numFmtId="0" fontId="0" fillId="2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4" xfId="0" applyNumberFormat="1" applyFill="1" applyBorder="1" applyAlignment="1" applyProtection="1">
      <alignment horizontal="center" vertical="top"/>
      <protection locked="0"/>
    </xf>
    <xf numFmtId="10" fontId="0" fillId="28" borderId="51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4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6" xfId="0" applyNumberFormat="1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top"/>
      <protection locked="0"/>
    </xf>
    <xf numFmtId="0" fontId="0" fillId="28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6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8" borderId="14" xfId="0" applyNumberFormat="1" applyFill="1" applyBorder="1" applyAlignment="1">
      <alignment vertical="top"/>
    </xf>
    <xf numFmtId="10" fontId="0" fillId="2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1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8" borderId="0" xfId="0" applyNumberFormat="1" applyFill="1" applyAlignment="1">
      <alignment vertical="top"/>
    </xf>
    <xf numFmtId="10" fontId="0" fillId="28" borderId="0" xfId="0" applyNumberFormat="1" applyFill="1" applyAlignment="1">
      <alignment vertical="top"/>
    </xf>
    <xf numFmtId="9" fontId="0" fillId="28" borderId="0" xfId="0" applyNumberFormat="1" applyFill="1" applyAlignment="1">
      <alignment horizontal="center" vertical="top"/>
    </xf>
    <xf numFmtId="16" fontId="0" fillId="28" borderId="0" xfId="0" applyNumberFormat="1" applyFill="1" applyAlignment="1">
      <alignment horizontal="center" vertical="top"/>
    </xf>
    <xf numFmtId="3" fontId="0" fillId="28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8" xfId="0" applyFont="1" applyFill="1" applyBorder="1" applyAlignment="1">
      <alignment horizontal="center" vertical="top"/>
    </xf>
    <xf numFmtId="0" fontId="3" fillId="26" borderId="49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0" borderId="14" xfId="0" applyNumberFormat="1" applyFill="1" applyBorder="1" applyAlignment="1" applyProtection="1" quotePrefix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10" fontId="0" fillId="30" borderId="14" xfId="0" applyNumberFormat="1" applyFill="1" applyBorder="1" applyAlignment="1" applyProtection="1" quotePrefix="1">
      <alignment vertical="top"/>
      <protection/>
    </xf>
    <xf numFmtId="37" fontId="0" fillId="30" borderId="14" xfId="0" applyNumberFormat="1" applyFill="1" applyBorder="1" applyAlignment="1" applyProtection="1">
      <alignment/>
      <protection/>
    </xf>
    <xf numFmtId="3" fontId="0" fillId="28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" fontId="0" fillId="28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0" fillId="3" borderId="14" xfId="0" applyNumberForma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40">
      <selection activeCell="D72" sqref="D7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460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478</v>
      </c>
      <c r="C4" s="8"/>
      <c r="D4" s="454" t="s">
        <v>441</v>
      </c>
      <c r="E4" s="428"/>
      <c r="H4" s="8"/>
    </row>
    <row r="5" spans="1:8" ht="12.75">
      <c r="A5" s="51"/>
      <c r="C5" s="8"/>
      <c r="D5" s="453" t="s">
        <v>442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496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497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 t="s">
        <v>497</v>
      </c>
    </row>
    <row r="18" spans="1:4" ht="15" customHeight="1">
      <c r="A18" s="389" t="s">
        <v>314</v>
      </c>
      <c r="C18" s="8"/>
      <c r="D18" s="8"/>
    </row>
    <row r="19" spans="1:4" ht="15" customHeight="1">
      <c r="A19" s="490" t="s">
        <v>315</v>
      </c>
      <c r="B19" s="8" t="s">
        <v>312</v>
      </c>
      <c r="C19" s="8" t="s">
        <v>64</v>
      </c>
      <c r="D19" s="388" t="s">
        <v>497</v>
      </c>
    </row>
    <row r="20" spans="1:4" ht="13.5" thickBot="1">
      <c r="A20" s="491"/>
      <c r="B20" s="8" t="s">
        <v>313</v>
      </c>
      <c r="C20" s="8" t="s">
        <v>64</v>
      </c>
      <c r="D20" s="257" t="s">
        <v>497</v>
      </c>
    </row>
    <row r="21" spans="1:4" ht="12.75">
      <c r="A21" s="490" t="s">
        <v>311</v>
      </c>
      <c r="B21" s="8" t="s">
        <v>312</v>
      </c>
      <c r="C21" s="8"/>
      <c r="D21" s="423">
        <v>1</v>
      </c>
    </row>
    <row r="22" spans="1:4" ht="12.75">
      <c r="A22" s="490"/>
      <c r="B22" s="8" t="s">
        <v>313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4" t="s">
        <v>479</v>
      </c>
    </row>
    <row r="25" ht="6.75" customHeight="1" thickBot="1">
      <c r="A25" s="12"/>
    </row>
    <row r="26" spans="1:5" ht="12.75">
      <c r="A26" s="254" t="s">
        <v>67</v>
      </c>
      <c r="C26" s="8"/>
      <c r="E26" s="443" t="s">
        <v>296</v>
      </c>
    </row>
    <row r="27" spans="1:5" ht="12.75">
      <c r="A27" s="255" t="s">
        <v>68</v>
      </c>
      <c r="C27" s="8"/>
      <c r="E27" s="444" t="s">
        <v>297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286</v>
      </c>
      <c r="D31" s="421">
        <v>54089445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4632760.96425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1932549</v>
      </c>
      <c r="E43" s="387">
        <f>D43</f>
        <v>1932549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2700211.96425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6">
        <v>900071</v>
      </c>
      <c r="E47" s="387">
        <f aca="true" t="shared" si="0" ref="E47:E53">D47</f>
        <v>900071</v>
      </c>
      <c r="H47" s="40"/>
      <c r="J47" s="5"/>
      <c r="K47" s="5"/>
    </row>
    <row r="48" spans="1:11" ht="12.75">
      <c r="A48" t="s">
        <v>289</v>
      </c>
      <c r="D48" s="426">
        <v>900071</v>
      </c>
      <c r="E48" s="387">
        <f>D48</f>
        <v>900071</v>
      </c>
      <c r="F48" s="22"/>
      <c r="H48" s="40"/>
      <c r="J48" s="5"/>
      <c r="K48" s="5"/>
    </row>
    <row r="49" spans="1:11" ht="12.75">
      <c r="A49" t="s">
        <v>290</v>
      </c>
      <c r="D49" s="427">
        <v>0</v>
      </c>
      <c r="E49" s="387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438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462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3732691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27044722.5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2672018.583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27044722.5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1">
        <f>D60*D39</f>
        <v>1960742.3812499999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1198861.354349095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1579802.0869819028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1579802.0869819028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2">
        <f>D62</f>
        <v>1960742.3812499999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50"/>
  <sheetViews>
    <sheetView tabSelected="1" zoomScale="75" zoomScaleNormal="75" zoomScalePageLayoutView="0" workbookViewId="0" topLeftCell="A181">
      <selection activeCell="E201" sqref="E201"/>
    </sheetView>
  </sheetViews>
  <sheetFormatPr defaultColWidth="9.140625" defaultRowHeight="12.75"/>
  <cols>
    <col min="1" max="1" width="60.8515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</cols>
  <sheetData>
    <row r="1" spans="1:8" ht="12.75">
      <c r="A1" s="202" t="str">
        <f>REGINFO!A1</f>
        <v>PILs TAXES - EB-2008-381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464</v>
      </c>
      <c r="H1" s="209"/>
    </row>
    <row r="2" spans="1:8" ht="12.75">
      <c r="A2" s="210" t="s">
        <v>463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465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Niagara Falls Hydro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65"/>
    </row>
    <row r="8" spans="2:8" ht="12.75">
      <c r="B8" s="221"/>
      <c r="C8" s="229"/>
      <c r="D8" s="213"/>
      <c r="E8" s="136"/>
      <c r="F8" s="219"/>
      <c r="G8" s="182" t="s">
        <v>87</v>
      </c>
      <c r="H8" s="216"/>
    </row>
    <row r="9" spans="1:8" ht="12.75">
      <c r="A9" s="210" t="s">
        <v>126</v>
      </c>
      <c r="B9" s="429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255</v>
      </c>
      <c r="B10" s="429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9">
        <f>REGINFO!E54</f>
        <v>3732691</v>
      </c>
      <c r="D16" s="17"/>
      <c r="E16" s="267">
        <f>G16-C16</f>
        <v>851197</v>
      </c>
      <c r="F16" s="3"/>
      <c r="G16" s="267">
        <f>TAXREC!E50</f>
        <v>4583888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v>2664137</v>
      </c>
      <c r="D20" s="18"/>
      <c r="E20" s="267">
        <f>G20-C20</f>
        <v>879710</v>
      </c>
      <c r="F20" s="6"/>
      <c r="G20" s="267">
        <f>TAXREC!E61</f>
        <v>3543847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157954</v>
      </c>
      <c r="F21" s="6"/>
      <c r="G21" s="267">
        <f>TAXREC!E62</f>
        <v>157954</v>
      </c>
      <c r="H21" s="150"/>
    </row>
    <row r="22" spans="1:8" ht="12.75">
      <c r="A22" s="157" t="s">
        <v>263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262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264</v>
      </c>
      <c r="B24" s="126">
        <v>5</v>
      </c>
      <c r="C24" s="261">
        <v>561306</v>
      </c>
      <c r="D24" s="18"/>
      <c r="E24" s="267">
        <f>G24-C24</f>
        <v>-561306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158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157</v>
      </c>
      <c r="B28" s="126">
        <v>6</v>
      </c>
      <c r="C28" s="261"/>
      <c r="D28" s="18"/>
      <c r="E28" s="267">
        <f>G28-C28</f>
        <v>109974</v>
      </c>
      <c r="F28" s="6"/>
      <c r="G28" s="267">
        <f>TAXREC!E67</f>
        <v>109974</v>
      </c>
      <c r="H28" s="150"/>
    </row>
    <row r="29" spans="1:8" ht="12.75">
      <c r="A29" s="157" t="s">
        <v>156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5.75">
      <c r="A30" s="481" t="s">
        <v>394</v>
      </c>
      <c r="B30" s="126"/>
      <c r="C30" s="259"/>
      <c r="D30" s="18"/>
      <c r="E30" s="267">
        <f>G30-C30</f>
        <v>1405699</v>
      </c>
      <c r="F30" s="6"/>
      <c r="G30" s="267">
        <f>TAXREC!E66</f>
        <v>1405699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1">
        <v>2664137</v>
      </c>
      <c r="D33" s="131"/>
      <c r="E33" s="267">
        <f aca="true" t="shared" si="0" ref="E33:E42">G33-C33</f>
        <v>325199</v>
      </c>
      <c r="F33" s="6"/>
      <c r="G33" s="267">
        <f>TAXREC!E97+TAXREC!E98</f>
        <v>2989336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265</v>
      </c>
      <c r="B36" s="126">
        <v>10</v>
      </c>
      <c r="C36" s="261">
        <v>108104</v>
      </c>
      <c r="D36" s="131"/>
      <c r="E36" s="267">
        <f t="shared" si="0"/>
        <v>-108104</v>
      </c>
      <c r="F36" s="6"/>
      <c r="G36" s="267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60">
        <f>REGINFO!D66</f>
        <v>1579802.0869819028</v>
      </c>
      <c r="D37" s="131"/>
      <c r="E37" s="267">
        <f t="shared" si="0"/>
        <v>287819.91301809717</v>
      </c>
      <c r="F37" s="6"/>
      <c r="G37" s="267">
        <f>TAXREC!E51</f>
        <v>1867622</v>
      </c>
      <c r="H37" s="150"/>
    </row>
    <row r="38" spans="1:8" ht="12.75">
      <c r="A38" s="154" t="s">
        <v>261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260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183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1"/>
      <c r="D46" s="131"/>
      <c r="E46" s="267">
        <f>G46-C46</f>
        <v>628609</v>
      </c>
      <c r="F46" s="6"/>
      <c r="G46" s="250">
        <f>TAXREC!E110</f>
        <v>628609</v>
      </c>
      <c r="H46" s="150"/>
    </row>
    <row r="47" spans="1:8" ht="12.75">
      <c r="A47" s="157" t="s">
        <v>153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5.75">
      <c r="A48" s="481" t="s">
        <v>394</v>
      </c>
      <c r="B48" s="126"/>
      <c r="C48" s="259"/>
      <c r="D48" s="131"/>
      <c r="E48" s="267">
        <f>G48-C48</f>
        <v>214818</v>
      </c>
      <c r="F48" s="6"/>
      <c r="G48" s="250">
        <f>TAXREC!E108</f>
        <v>214818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327</v>
      </c>
      <c r="B50" s="124"/>
      <c r="C50" s="263">
        <f>C16+SUM(C20:C30)-SUM(C33:C48)</f>
        <v>2606090.913018097</v>
      </c>
      <c r="D50" s="101"/>
      <c r="E50" s="263">
        <f>E16+SUM(E20:E30)-SUM(E33:E48)</f>
        <v>1494886.0869819028</v>
      </c>
      <c r="F50" s="431" t="s">
        <v>366</v>
      </c>
      <c r="G50" s="263">
        <f>G16+SUM(G20:G30)-SUM(G33:G48)</f>
        <v>4100977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335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339</v>
      </c>
      <c r="B53" s="126">
        <v>13</v>
      </c>
      <c r="C53" s="262">
        <f>IF($C$50&gt;'Tax Rates'!$E$11,'Tax Rates'!$F$16,IF($C$50&gt;'Tax Rates'!$C$11,'Tax Rates'!$E$16,'Tax Rates'!$C$16))</f>
        <v>0.3862</v>
      </c>
      <c r="D53" s="101"/>
      <c r="E53" s="268">
        <f>+G53-C53</f>
        <v>-0.08868431044602298</v>
      </c>
      <c r="F53" s="113"/>
      <c r="G53" s="473">
        <f>TAXREC!E151</f>
        <v>0.297515689553977</v>
      </c>
      <c r="H53" s="150"/>
      <c r="I53" s="470" t="s">
        <v>102</v>
      </c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1006472.3106075891</v>
      </c>
      <c r="D55" s="101"/>
      <c r="E55" s="267">
        <f>G55-C55</f>
        <v>213632.68939241092</v>
      </c>
      <c r="F55" s="431" t="s">
        <v>367</v>
      </c>
      <c r="G55" s="264">
        <f>TAXREC!E144</f>
        <v>1220105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1" t="s">
        <v>367</v>
      </c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1006472.3106075891</v>
      </c>
      <c r="D60" s="132"/>
      <c r="E60" s="269">
        <f>+E55-E58</f>
        <v>213632.68939241092</v>
      </c>
      <c r="F60" s="431" t="s">
        <v>367</v>
      </c>
      <c r="G60" s="269">
        <f>+G55-G58</f>
        <v>1220105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54089445</v>
      </c>
      <c r="D66" s="101"/>
      <c r="E66" s="267">
        <f>G66-C66</f>
        <v>11536392</v>
      </c>
      <c r="F66" s="6"/>
      <c r="G66" s="475">
        <v>65625837</v>
      </c>
      <c r="H66" s="150"/>
      <c r="I66" s="489" t="s">
        <v>498</v>
      </c>
    </row>
    <row r="67" spans="1:9" ht="12.75">
      <c r="A67" s="151" t="s">
        <v>359</v>
      </c>
      <c r="B67" s="124">
        <v>16</v>
      </c>
      <c r="C67" s="260">
        <f>IF(C66&gt;0,'Tax Rates'!C21,0)</f>
        <v>5000000</v>
      </c>
      <c r="D67" s="101"/>
      <c r="E67" s="267">
        <f>G67-C67</f>
        <v>-44830</v>
      </c>
      <c r="F67" s="6"/>
      <c r="G67" s="267">
        <f>'Tax Rates'!C57</f>
        <v>4955170</v>
      </c>
      <c r="H67" s="150"/>
      <c r="I67" s="476" t="s">
        <v>102</v>
      </c>
    </row>
    <row r="68" spans="1:8" ht="12.75">
      <c r="A68" s="151" t="s">
        <v>42</v>
      </c>
      <c r="B68" s="124"/>
      <c r="C68" s="264">
        <f>IF((C66-C67)&gt;0,C66-C67,0)</f>
        <v>49089445</v>
      </c>
      <c r="D68" s="101"/>
      <c r="E68" s="267">
        <f>SUM(E66:E67)</f>
        <v>11491562</v>
      </c>
      <c r="F68" s="113"/>
      <c r="G68" s="264">
        <f>G66-G67</f>
        <v>60670667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360</v>
      </c>
      <c r="B70" s="124">
        <v>17</v>
      </c>
      <c r="C70" s="301">
        <f>'Tax Rates'!C18</f>
        <v>0.003</v>
      </c>
      <c r="D70" s="101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316</v>
      </c>
      <c r="B72" s="124"/>
      <c r="C72" s="264">
        <f>IF(C68&gt;0,C68*C70,0)*REGINFO!$B$6/REGINFO!$B$7</f>
        <v>147268.335</v>
      </c>
      <c r="D72" s="100"/>
      <c r="E72" s="267">
        <f>+G72-C72</f>
        <v>34743.666</v>
      </c>
      <c r="F72" s="477"/>
      <c r="G72" s="264">
        <f>IF(G68&gt;0,G68*G70,0)*REGINFO!$B$6/REGINFO!$B$7</f>
        <v>182012.001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54089445</v>
      </c>
      <c r="D75" s="101"/>
      <c r="E75" s="267">
        <f>+G75-C75</f>
        <v>-9117890</v>
      </c>
      <c r="F75" s="6"/>
      <c r="G75" s="475">
        <v>44971555</v>
      </c>
      <c r="H75" s="150"/>
      <c r="I75" s="489" t="s">
        <v>498</v>
      </c>
    </row>
    <row r="76" spans="1:9" ht="12.75">
      <c r="A76" s="151" t="s">
        <v>359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0"/>
      <c r="I76" s="476" t="s">
        <v>102</v>
      </c>
    </row>
    <row r="77" spans="1:8" ht="12.75">
      <c r="A77" s="151" t="s">
        <v>42</v>
      </c>
      <c r="B77" s="124"/>
      <c r="C77" s="264">
        <f>IF((C75-C76)&gt;0,C75-C76,0)</f>
        <v>44089445</v>
      </c>
      <c r="D77" s="19"/>
      <c r="E77" s="267">
        <f>SUM(E75:E76)</f>
        <v>-9117890</v>
      </c>
      <c r="F77" s="113"/>
      <c r="G77" s="264">
        <f>G75-G76</f>
        <v>34971555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360</v>
      </c>
      <c r="B79" s="124">
        <v>20</v>
      </c>
      <c r="C79" s="301">
        <f>'Tax Rates'!C19</f>
        <v>0.00225</v>
      </c>
      <c r="D79" s="101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317</v>
      </c>
      <c r="B81" s="124"/>
      <c r="C81" s="264">
        <f>IF(C77&gt;0,C77*C79,0)*REGINFO!$B$6/REGINFO!$B$7</f>
        <v>99201.25124999999</v>
      </c>
      <c r="D81" s="101"/>
      <c r="E81" s="267">
        <f>+G81-C81</f>
        <v>-20515.252499999988</v>
      </c>
      <c r="F81" s="6"/>
      <c r="G81" s="264">
        <f>G77*G79*B9/B10</f>
        <v>78685.99875</v>
      </c>
      <c r="H81" s="150"/>
    </row>
    <row r="82" spans="1:8" ht="12.75">
      <c r="A82" s="151" t="s">
        <v>318</v>
      </c>
      <c r="B82" s="124">
        <v>21</v>
      </c>
      <c r="C82" s="300">
        <f>IF(C77&gt;0,IF(C60&gt;0,C50*'Tax Rates'!C20,0),0)</f>
        <v>29188.218225802688</v>
      </c>
      <c r="D82" s="101"/>
      <c r="E82" s="267">
        <f>+G82-C82</f>
        <v>-29188.218225802688</v>
      </c>
      <c r="F82" s="6"/>
      <c r="G82" s="300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9" ht="12.75">
      <c r="A84" s="151" t="s">
        <v>32</v>
      </c>
      <c r="B84" s="124"/>
      <c r="C84" s="264">
        <f>C81-C82</f>
        <v>70013.0330241973</v>
      </c>
      <c r="D84" s="16"/>
      <c r="E84" s="267">
        <f>E81-E82</f>
        <v>8672.9657258027</v>
      </c>
      <c r="F84" s="102"/>
      <c r="G84" s="264">
        <f>G81-G82</f>
        <v>78685.99875</v>
      </c>
      <c r="H84" s="160"/>
      <c r="I84" s="489" t="s">
        <v>498</v>
      </c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2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9" ht="12.75">
      <c r="A90" s="157" t="s">
        <v>368</v>
      </c>
      <c r="B90" s="126">
        <v>22</v>
      </c>
      <c r="C90" s="264">
        <f>C60/(1-C88)</f>
        <v>1610355.6969721424</v>
      </c>
      <c r="D90" s="20"/>
      <c r="E90" s="138"/>
      <c r="F90" s="430" t="s">
        <v>480</v>
      </c>
      <c r="G90" s="270">
        <f>TAXREC!E156</f>
        <v>1220105</v>
      </c>
      <c r="H90" s="150"/>
      <c r="I90" s="489" t="s">
        <v>498</v>
      </c>
    </row>
    <row r="91" spans="1:9" ht="12.75">
      <c r="A91" s="157" t="s">
        <v>369</v>
      </c>
      <c r="B91" s="126">
        <v>23</v>
      </c>
      <c r="C91" s="264">
        <f>C84/(1-C88)</f>
        <v>112020.85283871568</v>
      </c>
      <c r="D91" s="20"/>
      <c r="E91" s="138"/>
      <c r="F91" s="430" t="s">
        <v>480</v>
      </c>
      <c r="G91" s="270">
        <f>TAXREC!E158</f>
        <v>78686</v>
      </c>
      <c r="H91" s="150"/>
      <c r="I91" s="489" t="s">
        <v>498</v>
      </c>
    </row>
    <row r="92" spans="1:9" ht="12.75">
      <c r="A92" s="157" t="s">
        <v>347</v>
      </c>
      <c r="B92" s="126">
        <v>24</v>
      </c>
      <c r="C92" s="264">
        <f>C72</f>
        <v>147268.335</v>
      </c>
      <c r="D92" s="20"/>
      <c r="E92" s="138"/>
      <c r="F92" s="430" t="s">
        <v>480</v>
      </c>
      <c r="G92" s="270">
        <f>TAXREC!E157</f>
        <v>182012</v>
      </c>
      <c r="H92" s="150"/>
      <c r="I92" s="489" t="s">
        <v>498</v>
      </c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9" ht="13.5" thickBot="1">
      <c r="A95" s="155" t="s">
        <v>481</v>
      </c>
      <c r="B95" s="124">
        <v>25</v>
      </c>
      <c r="C95" s="269">
        <f>SUM(C90:C93)</f>
        <v>1869644.8848108582</v>
      </c>
      <c r="D95" s="6"/>
      <c r="E95" s="138"/>
      <c r="F95" s="430" t="s">
        <v>480</v>
      </c>
      <c r="G95" s="413">
        <f>SUM(G90:G94)</f>
        <v>1480803</v>
      </c>
      <c r="H95" s="163"/>
      <c r="I95" s="489" t="s">
        <v>498</v>
      </c>
    </row>
    <row r="96" spans="1:8" ht="12.75">
      <c r="A96" s="403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345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157954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-561306</v>
      </c>
      <c r="F105" s="37"/>
      <c r="G105" s="200"/>
      <c r="H105" s="163"/>
    </row>
    <row r="106" spans="1:8" ht="12.75">
      <c r="A106" s="157" t="s">
        <v>362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363</v>
      </c>
      <c r="B107" s="126">
        <v>6</v>
      </c>
      <c r="C107" s="111"/>
      <c r="D107" s="3"/>
      <c r="E107" s="250">
        <f>E28</f>
        <v>109974</v>
      </c>
      <c r="F107" s="37"/>
      <c r="G107" s="200"/>
      <c r="H107" s="163"/>
    </row>
    <row r="108" spans="1:8" ht="12.75">
      <c r="A108" s="155" t="s">
        <v>361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-108104</v>
      </c>
      <c r="F111" s="37"/>
      <c r="G111" s="200"/>
      <c r="H111" s="163"/>
    </row>
    <row r="112" spans="1:8" ht="12.75">
      <c r="A112" s="154" t="s">
        <v>490</v>
      </c>
      <c r="B112" s="126">
        <v>11</v>
      </c>
      <c r="C112" s="111"/>
      <c r="D112" s="3"/>
      <c r="E112" s="472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364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365</v>
      </c>
      <c r="B118" s="126">
        <v>12</v>
      </c>
      <c r="C118" s="111"/>
      <c r="D118" s="3"/>
      <c r="E118" s="250">
        <f>E46</f>
        <v>628609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4">
        <f>SUM(E102:E107)-SUM(E109:E118)</f>
        <v>-813883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482</v>
      </c>
      <c r="B122" s="126"/>
      <c r="C122" s="111"/>
      <c r="D122" s="3" t="s">
        <v>230</v>
      </c>
      <c r="E122" s="469">
        <f>+'Tax Rates'!F52</f>
        <v>0.36619999999999997</v>
      </c>
      <c r="F122" s="470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4">
        <f>E120*E122</f>
        <v>-298043.9546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4">
        <f>E124-E126</f>
        <v>-298043.9546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469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351</v>
      </c>
      <c r="B132" s="129"/>
      <c r="C132" s="111"/>
      <c r="D132" s="3"/>
      <c r="E132" s="485">
        <f>E128/(1-E130)</f>
        <v>-462083.65054263565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354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2">
        <f>C50</f>
        <v>2606090.913018097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469">
        <f>IF((E120+E136)&gt;'Tax Rates'!E47,'Tax Rates'!F52,IF((E120+E136)&gt;'Tax Rates'!D47,'Tax Rates'!E52,IF((E120+E136)&gt;'Tax Rates'!C47,'Tax Rates'!D52,'Tax Rates'!C52)))</f>
        <v>0.36619999999999997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3">
        <f>IF(E136&gt;0,E136*E138,0)</f>
        <v>954350.4923472271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2">
        <f>E140-E142</f>
        <v>954350.4923472271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238</v>
      </c>
      <c r="B146" s="129"/>
      <c r="C146" s="111"/>
      <c r="D146" s="117" t="s">
        <v>187</v>
      </c>
      <c r="E146" s="302">
        <f>C60</f>
        <v>1006472.3106075891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2">
        <f>E144-E146</f>
        <v>-52121.81826036202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6" t="s">
        <v>20</v>
      </c>
      <c r="B150" s="129"/>
      <c r="C150" s="111"/>
      <c r="D150" s="118"/>
      <c r="E150" s="480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2">
        <f>C66</f>
        <v>54089445</v>
      </c>
      <c r="F151" s="37"/>
      <c r="G151" s="200"/>
      <c r="H151" s="163"/>
    </row>
    <row r="152" spans="1:8" ht="12.75">
      <c r="A152" s="170" t="s">
        <v>357</v>
      </c>
      <c r="B152" s="129"/>
      <c r="C152" s="111"/>
      <c r="D152" s="117" t="s">
        <v>187</v>
      </c>
      <c r="E152" s="305">
        <f>IF(E151&gt;0,'Tax Rates'!C39,0)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2">
        <f>E151-E152</f>
        <v>49089445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358</v>
      </c>
      <c r="B155" s="129"/>
      <c r="C155" s="111"/>
      <c r="D155" s="118" t="s">
        <v>230</v>
      </c>
      <c r="E155" s="306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2">
        <f>IF(E153&gt;0,E153*E155*B9/B10,0)</f>
        <v>147268.335</v>
      </c>
      <c r="F157" s="37"/>
      <c r="G157" s="200"/>
      <c r="H157" s="163"/>
    </row>
    <row r="158" spans="1:8" ht="25.5">
      <c r="A158" s="170" t="s">
        <v>308</v>
      </c>
      <c r="B158" s="129"/>
      <c r="C158" s="111"/>
      <c r="D158" s="117" t="s">
        <v>187</v>
      </c>
      <c r="E158" s="305">
        <f>C72</f>
        <v>147268.335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74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6" t="s">
        <v>235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54089445</v>
      </c>
      <c r="F162" s="37"/>
      <c r="G162" s="200"/>
      <c r="H162" s="163"/>
    </row>
    <row r="163" spans="1:8" ht="12.75">
      <c r="A163" s="170" t="s">
        <v>356</v>
      </c>
      <c r="B163" s="129"/>
      <c r="C163" s="111"/>
      <c r="D163" s="117" t="s">
        <v>187</v>
      </c>
      <c r="E163" s="305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2">
        <f>E162-E163</f>
        <v>44089445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309</v>
      </c>
      <c r="B166" s="129"/>
      <c r="C166" s="111"/>
      <c r="D166" s="118"/>
      <c r="E166" s="306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2">
        <f>IF(E164&gt;0,E164*E166*B9/B10,0)</f>
        <v>99201.25124999999</v>
      </c>
      <c r="F168" s="37"/>
      <c r="G168" s="200"/>
      <c r="H168" s="163"/>
    </row>
    <row r="169" spans="1:8" ht="12.75">
      <c r="A169" s="170" t="s">
        <v>319</v>
      </c>
      <c r="B169" s="129"/>
      <c r="C169" s="111"/>
      <c r="D169" s="117" t="s">
        <v>187</v>
      </c>
      <c r="E169" s="307">
        <f>IF(E164&gt;0,IF(E144&gt;0,E136*'Tax Rates'!C56,0),0)</f>
        <v>29188.218225802688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2">
        <f>E168-E169</f>
        <v>70013.0330241973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4" t="s">
        <v>346</v>
      </c>
      <c r="B172" s="129"/>
      <c r="C172" s="111"/>
      <c r="D172" s="117" t="s">
        <v>187</v>
      </c>
      <c r="E172" s="305">
        <f>C84</f>
        <v>70013.0330241973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74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344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0.355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2">
        <f>E148/(1-E175)</f>
        <v>-80809.02055870081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2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2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352</v>
      </c>
      <c r="B181" s="129"/>
      <c r="C181" s="111"/>
      <c r="D181" s="118" t="s">
        <v>188</v>
      </c>
      <c r="E181" s="484">
        <f>SUM(E177:E179)</f>
        <v>-80809.02055870081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489</v>
      </c>
      <c r="B183" s="129"/>
      <c r="C183" s="111"/>
      <c r="D183" s="118" t="s">
        <v>186</v>
      </c>
      <c r="E183" s="484">
        <f>E132</f>
        <v>-462083.65054263565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353</v>
      </c>
      <c r="B185" s="129"/>
      <c r="C185" s="111"/>
      <c r="D185" s="118" t="s">
        <v>188</v>
      </c>
      <c r="E185" s="484">
        <f>E181+E183</f>
        <v>-542892.6711013365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8">
        <f>REGINFO!D62</f>
        <v>1960742.3812499999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8">
        <f>REGINFO!D66</f>
        <v>1579802.0869819028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111"/>
      <c r="D196" s="119"/>
      <c r="E196" s="308">
        <f>E193-E194</f>
        <v>380940.29426809703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86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154" t="s">
        <v>251</v>
      </c>
      <c r="B201" s="126"/>
      <c r="C201" s="111"/>
      <c r="D201" s="119"/>
      <c r="E201" s="506">
        <v>1890207</v>
      </c>
      <c r="F201" s="3"/>
      <c r="G201" s="486"/>
      <c r="H201" s="163"/>
    </row>
    <row r="202" spans="1:8" ht="12.75">
      <c r="A202" s="154" t="s">
        <v>500</v>
      </c>
      <c r="B202" s="126"/>
      <c r="C202" s="111"/>
      <c r="D202" s="119"/>
      <c r="E202" s="308">
        <f>E193</f>
        <v>1960742.3812499999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491</v>
      </c>
      <c r="B206" s="126"/>
      <c r="C206" s="111"/>
      <c r="D206" s="119"/>
      <c r="E206" s="471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9">
        <f>+E196-E204</f>
        <v>380940.29426809703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36" right="0.03937007874015748" top="0.7" bottom="0.34" header="0.19" footer="0"/>
  <pageSetup fitToHeight="2" horizontalDpi="600" verticalDpi="600" orientation="portrait" scale="50" r:id="rId1"/>
  <rowBreaks count="3" manualBreakCount="3">
    <brk id="85" max="255" man="1"/>
    <brk id="149" max="255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63"/>
  <sheetViews>
    <sheetView zoomScale="75" zoomScaleNormal="75" zoomScalePageLayoutView="0" workbookViewId="0" topLeftCell="A112">
      <selection activeCell="G144" sqref="G1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2.140625" style="0" bestFit="1" customWidth="1"/>
    <col min="8" max="8" width="11.7109375" style="0" customWidth="1"/>
    <col min="9" max="10" width="10.7109375" style="0" customWidth="1"/>
  </cols>
  <sheetData>
    <row r="1" spans="1:8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8"/>
    </row>
    <row r="2" spans="1:8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8"/>
    </row>
    <row r="3" spans="1:8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8"/>
    </row>
    <row r="4" spans="1:8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</row>
    <row r="5" spans="1:8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</row>
    <row r="6" spans="1:7" ht="13.5" thickTop="1">
      <c r="A6" s="14" t="s">
        <v>177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Niagara Falls Hydro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2003</v>
      </c>
      <c r="B8" s="20"/>
      <c r="C8" s="25"/>
      <c r="D8" s="25"/>
      <c r="E8" s="25"/>
      <c r="F8" s="20"/>
      <c r="G8" s="3"/>
    </row>
    <row r="9" spans="1:7" ht="12.75">
      <c r="A9" s="2" t="s">
        <v>214</v>
      </c>
      <c r="B9" s="20"/>
      <c r="C9" s="25"/>
      <c r="D9" s="25"/>
      <c r="E9" s="25"/>
      <c r="F9" s="20"/>
      <c r="G9" s="3"/>
    </row>
    <row r="10" spans="1:7" ht="12.75">
      <c r="A10" s="2" t="s">
        <v>215</v>
      </c>
      <c r="B10" s="20"/>
      <c r="C10" s="25"/>
      <c r="D10" s="25"/>
      <c r="E10" s="25"/>
      <c r="F10" s="20"/>
      <c r="G10" s="3"/>
    </row>
    <row r="11" spans="1:7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216</v>
      </c>
      <c r="C13" s="258">
        <v>0</v>
      </c>
      <c r="D13" s="82" t="s">
        <v>185</v>
      </c>
      <c r="E13" s="25"/>
      <c r="F13" s="20"/>
      <c r="G13" s="3"/>
    </row>
    <row r="14" spans="1:7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</row>
    <row r="15" spans="1:7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</row>
    <row r="16" spans="1:7" ht="12.75">
      <c r="A16" s="299" t="s">
        <v>227</v>
      </c>
      <c r="B16" s="20" t="s">
        <v>64</v>
      </c>
      <c r="C16" s="8"/>
      <c r="D16" s="25"/>
      <c r="E16" s="25"/>
      <c r="F16" s="20"/>
      <c r="G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149</v>
      </c>
      <c r="B22" s="23"/>
      <c r="C22" s="27"/>
      <c r="D22" s="28"/>
      <c r="E22" s="28"/>
      <c r="F22" s="11"/>
      <c r="G22" s="11"/>
    </row>
    <row r="23" spans="1:7" ht="12.75">
      <c r="A23" s="399" t="s">
        <v>325</v>
      </c>
      <c r="B23" s="400"/>
      <c r="C23" s="401"/>
      <c r="D23" s="402"/>
      <c r="E23" s="28"/>
      <c r="F23" s="11"/>
      <c r="G23" s="11"/>
    </row>
    <row r="24" spans="1:7" ht="12.75">
      <c r="A24" s="399" t="s">
        <v>258</v>
      </c>
      <c r="B24" s="400"/>
      <c r="C24" s="401"/>
      <c r="D24" s="402"/>
      <c r="E24" s="28"/>
      <c r="F24" s="11"/>
      <c r="G24" s="11"/>
    </row>
    <row r="25" spans="1:7" ht="12.75">
      <c r="A25" s="399" t="s">
        <v>222</v>
      </c>
      <c r="B25" s="400"/>
      <c r="C25" s="401"/>
      <c r="D25" s="402"/>
      <c r="E25" s="28"/>
      <c r="F25" s="11"/>
      <c r="G25" s="11"/>
    </row>
    <row r="26" spans="1:7" ht="12.75">
      <c r="A26" s="58"/>
      <c r="B26" s="23"/>
      <c r="C26" s="27"/>
      <c r="D26" s="28"/>
      <c r="E26" s="28"/>
      <c r="F26" s="11"/>
      <c r="G26" s="11"/>
    </row>
    <row r="27" spans="1:7" ht="12.75">
      <c r="A27" s="399" t="s">
        <v>323</v>
      </c>
      <c r="B27" s="400"/>
      <c r="C27" s="401"/>
      <c r="D27" s="402"/>
      <c r="E27" s="28"/>
      <c r="F27" s="11"/>
      <c r="G27" s="11"/>
    </row>
    <row r="28" spans="1:7" ht="12.75">
      <c r="A28" s="399" t="s">
        <v>324</v>
      </c>
      <c r="B28" s="400"/>
      <c r="C28" s="401"/>
      <c r="D28" s="402"/>
      <c r="E28" s="28"/>
      <c r="F28" s="11"/>
      <c r="G28" s="11"/>
    </row>
    <row r="29" spans="1:7" ht="12.75">
      <c r="A29" s="15"/>
      <c r="B29" s="23"/>
      <c r="C29" s="27"/>
      <c r="D29" s="28"/>
      <c r="E29" s="28"/>
      <c r="F29" s="11"/>
      <c r="G29" s="11"/>
    </row>
    <row r="30" spans="1:7" ht="12.75">
      <c r="A30" s="2" t="s">
        <v>178</v>
      </c>
      <c r="B30" s="23"/>
      <c r="C30" s="27"/>
      <c r="D30" s="28"/>
      <c r="E30" s="28"/>
      <c r="F30" s="11"/>
      <c r="G30" s="11"/>
    </row>
    <row r="31" spans="1:7" ht="12.75">
      <c r="A31" s="247" t="s">
        <v>273</v>
      </c>
      <c r="B31" s="23" t="s">
        <v>186</v>
      </c>
      <c r="C31" s="285">
        <v>51920853</v>
      </c>
      <c r="D31" s="286"/>
      <c r="E31" s="284">
        <f>C31-D31</f>
        <v>51920853</v>
      </c>
      <c r="F31" s="11"/>
      <c r="G31" s="11"/>
    </row>
    <row r="32" spans="1:7" ht="12.75">
      <c r="A32" s="4" t="s">
        <v>220</v>
      </c>
      <c r="B32" s="23" t="s">
        <v>186</v>
      </c>
      <c r="C32" s="285">
        <v>13997678</v>
      </c>
      <c r="D32" s="286"/>
      <c r="E32" s="284">
        <f>C32-D32</f>
        <v>13997678</v>
      </c>
      <c r="F32" s="11"/>
      <c r="G32" s="11"/>
    </row>
    <row r="33" spans="1:7" ht="12.75">
      <c r="A33" s="4" t="s">
        <v>210</v>
      </c>
      <c r="B33" s="23" t="s">
        <v>186</v>
      </c>
      <c r="C33" s="285">
        <v>1404608</v>
      </c>
      <c r="D33" s="286"/>
      <c r="E33" s="284">
        <f>C33-D33</f>
        <v>1404608</v>
      </c>
      <c r="F33" s="11"/>
      <c r="G33" s="11"/>
    </row>
    <row r="34" spans="1:7" ht="12.75">
      <c r="A34" s="4" t="s">
        <v>225</v>
      </c>
      <c r="B34" s="23" t="s">
        <v>186</v>
      </c>
      <c r="C34" s="285"/>
      <c r="D34" s="286"/>
      <c r="E34" s="284">
        <f>C34-D34</f>
        <v>0</v>
      </c>
      <c r="F34" s="11"/>
      <c r="G34" s="11"/>
    </row>
    <row r="35" spans="1:7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</row>
    <row r="36" spans="1:7" ht="12.75">
      <c r="A36" s="56" t="s">
        <v>180</v>
      </c>
      <c r="B36" s="23"/>
      <c r="C36" s="42"/>
      <c r="D36" s="42"/>
      <c r="E36" s="233"/>
      <c r="F36" s="11"/>
      <c r="G36" s="11"/>
    </row>
    <row r="37" spans="1:7" ht="12.75">
      <c r="A37" s="12"/>
      <c r="B37" s="23"/>
      <c r="C37" s="42"/>
      <c r="D37" s="42"/>
      <c r="E37" s="89"/>
      <c r="F37" s="11"/>
      <c r="G37" s="11"/>
    </row>
    <row r="38" spans="1:7" ht="12.75">
      <c r="A38" s="2" t="s">
        <v>285</v>
      </c>
      <c r="B38" s="23"/>
      <c r="C38" s="42"/>
      <c r="D38" s="42"/>
      <c r="E38" s="89"/>
      <c r="F38" s="11"/>
      <c r="G38" s="11"/>
    </row>
    <row r="39" spans="1:7" ht="12.75">
      <c r="A39" s="46" t="s">
        <v>208</v>
      </c>
      <c r="B39" s="23" t="s">
        <v>187</v>
      </c>
      <c r="C39" s="285">
        <v>51920853</v>
      </c>
      <c r="D39" s="286"/>
      <c r="E39" s="284">
        <f>C39-D39</f>
        <v>51920853</v>
      </c>
      <c r="F39" s="11"/>
      <c r="G39" s="11"/>
    </row>
    <row r="40" spans="1:7" ht="12.75">
      <c r="A40" s="46" t="s">
        <v>209</v>
      </c>
      <c r="B40" s="23" t="s">
        <v>187</v>
      </c>
      <c r="C40" s="285">
        <v>1937763</v>
      </c>
      <c r="D40" s="286"/>
      <c r="E40" s="284">
        <f aca="true" t="shared" si="0" ref="E40:E48">C40-D40</f>
        <v>1937763</v>
      </c>
      <c r="F40" s="11"/>
      <c r="G40" s="11"/>
    </row>
    <row r="41" spans="1:7" ht="12.75">
      <c r="A41" s="4" t="s">
        <v>274</v>
      </c>
      <c r="B41" s="23" t="s">
        <v>187</v>
      </c>
      <c r="C41" s="285">
        <v>1991878</v>
      </c>
      <c r="D41" s="286"/>
      <c r="E41" s="284">
        <f t="shared" si="0"/>
        <v>1991878</v>
      </c>
      <c r="F41" s="11"/>
      <c r="G41" s="11"/>
    </row>
    <row r="42" spans="1:7" ht="12.75">
      <c r="A42" s="4" t="s">
        <v>275</v>
      </c>
      <c r="B42" s="23" t="s">
        <v>187</v>
      </c>
      <c r="C42" s="285">
        <v>3164387</v>
      </c>
      <c r="D42" s="286"/>
      <c r="E42" s="284">
        <f t="shared" si="0"/>
        <v>3164387</v>
      </c>
      <c r="F42" s="11"/>
      <c r="G42" s="11"/>
    </row>
    <row r="43" spans="1:7" ht="12.75">
      <c r="A43" s="4" t="s">
        <v>276</v>
      </c>
      <c r="B43" s="23" t="s">
        <v>187</v>
      </c>
      <c r="C43" s="285">
        <v>3543847</v>
      </c>
      <c r="D43" s="286"/>
      <c r="E43" s="284">
        <f t="shared" si="0"/>
        <v>3543847</v>
      </c>
      <c r="F43" s="11"/>
      <c r="G43" s="11"/>
    </row>
    <row r="44" spans="1:7" ht="12.75">
      <c r="A44" s="4" t="s">
        <v>277</v>
      </c>
      <c r="B44" s="23" t="s">
        <v>187</v>
      </c>
      <c r="C44" s="285">
        <v>180523</v>
      </c>
      <c r="D44" s="286"/>
      <c r="E44" s="284">
        <f t="shared" si="0"/>
        <v>180523</v>
      </c>
      <c r="F44" s="11"/>
      <c r="G44" s="11"/>
    </row>
    <row r="45" spans="1:8" ht="12.75">
      <c r="A45" s="415" t="s">
        <v>493</v>
      </c>
      <c r="B45" s="23" t="s">
        <v>187</v>
      </c>
      <c r="C45" s="285">
        <v>0</v>
      </c>
      <c r="D45" s="286"/>
      <c r="E45" s="284">
        <f t="shared" si="0"/>
        <v>0</v>
      </c>
      <c r="F45" s="11"/>
      <c r="G45" s="11"/>
      <c r="H45" s="32"/>
    </row>
    <row r="46" spans="2:8" ht="12.75">
      <c r="B46" s="23" t="s">
        <v>187</v>
      </c>
      <c r="C46" s="285"/>
      <c r="D46" s="286"/>
      <c r="E46" s="284">
        <f t="shared" si="0"/>
        <v>0</v>
      </c>
      <c r="F46" s="11"/>
      <c r="G46" s="83"/>
      <c r="H46" s="32"/>
    </row>
    <row r="47" spans="1:8" ht="12.75">
      <c r="A47" s="47"/>
      <c r="B47" s="23" t="s">
        <v>187</v>
      </c>
      <c r="C47" s="285"/>
      <c r="D47" s="286"/>
      <c r="E47" s="284">
        <f t="shared" si="0"/>
        <v>0</v>
      </c>
      <c r="F47" s="11"/>
      <c r="G47" s="11"/>
      <c r="H47" s="32"/>
    </row>
    <row r="48" spans="1:8" ht="13.5" thickBot="1">
      <c r="A48" s="47"/>
      <c r="B48" s="23" t="s">
        <v>187</v>
      </c>
      <c r="C48" s="285"/>
      <c r="D48" s="286"/>
      <c r="E48" s="284">
        <f t="shared" si="0"/>
        <v>0</v>
      </c>
      <c r="F48" s="11"/>
      <c r="G48" s="11"/>
      <c r="H48" s="32"/>
    </row>
    <row r="49" spans="1:7" ht="12.75">
      <c r="A49" s="56"/>
      <c r="B49" s="23"/>
      <c r="C49" s="42"/>
      <c r="D49" s="43"/>
      <c r="E49" s="62"/>
      <c r="F49" s="11"/>
      <c r="G49" s="11"/>
    </row>
    <row r="50" spans="1:7" ht="12.75">
      <c r="A50" s="2" t="s">
        <v>82</v>
      </c>
      <c r="B50" s="23" t="s">
        <v>188</v>
      </c>
      <c r="C50" s="281">
        <f>SUM(C31:C36)-SUM(C39:C49)</f>
        <v>4583888</v>
      </c>
      <c r="D50" s="281">
        <f>SUM(D31:D36)-SUM(D39:D49)</f>
        <v>0</v>
      </c>
      <c r="E50" s="281">
        <f>SUM(E31:E35)-SUM(E39:E48)</f>
        <v>4583888</v>
      </c>
      <c r="F50" s="11"/>
      <c r="G50" s="11"/>
    </row>
    <row r="51" spans="1:7" ht="12.75">
      <c r="A51" s="4" t="s">
        <v>91</v>
      </c>
      <c r="B51" s="23" t="s">
        <v>187</v>
      </c>
      <c r="C51" s="285">
        <v>1867622</v>
      </c>
      <c r="D51" s="285"/>
      <c r="E51" s="282">
        <f>+C51-D51</f>
        <v>1867622</v>
      </c>
      <c r="F51" s="11"/>
      <c r="G51" s="11"/>
    </row>
    <row r="52" spans="1:7" ht="12.75">
      <c r="A52" t="s">
        <v>181</v>
      </c>
      <c r="B52" s="8" t="s">
        <v>187</v>
      </c>
      <c r="C52" s="285">
        <v>1737894</v>
      </c>
      <c r="D52" s="285"/>
      <c r="E52" s="283">
        <f>+C52-D52</f>
        <v>1737894</v>
      </c>
      <c r="F52" s="8"/>
      <c r="G52" s="415" t="s">
        <v>102</v>
      </c>
    </row>
    <row r="53" spans="1:6" ht="12.75">
      <c r="A53" s="2" t="s">
        <v>130</v>
      </c>
      <c r="B53" s="8" t="s">
        <v>188</v>
      </c>
      <c r="C53" s="281">
        <f>C50-C51-C52</f>
        <v>978372</v>
      </c>
      <c r="D53" s="281">
        <f>D50-D51-D52</f>
        <v>0</v>
      </c>
      <c r="E53" s="281">
        <f>E50-E51-E52</f>
        <v>978372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7">
        <f>C52</f>
        <v>1737894</v>
      </c>
      <c r="D59" s="287">
        <f>D52</f>
        <v>0</v>
      </c>
      <c r="E59" s="272">
        <f>+C59-D59</f>
        <v>1737894</v>
      </c>
      <c r="F59" s="8"/>
      <c r="G59" s="415" t="s">
        <v>102</v>
      </c>
    </row>
    <row r="60" spans="1:7" ht="12.75">
      <c r="A60" s="4" t="s">
        <v>326</v>
      </c>
      <c r="B60" s="8" t="s">
        <v>186</v>
      </c>
      <c r="C60" s="317">
        <v>0</v>
      </c>
      <c r="D60" s="317"/>
      <c r="E60" s="272">
        <f>+C60-D60</f>
        <v>0</v>
      </c>
      <c r="F60" s="8"/>
      <c r="G60" t="s">
        <v>102</v>
      </c>
    </row>
    <row r="61" spans="1:7" ht="12.75">
      <c r="A61" t="s">
        <v>4</v>
      </c>
      <c r="B61" s="8" t="s">
        <v>186</v>
      </c>
      <c r="C61" s="287">
        <f>C43</f>
        <v>3543847</v>
      </c>
      <c r="D61" s="287">
        <f>D43</f>
        <v>0</v>
      </c>
      <c r="E61" s="272">
        <f>+C61-D61</f>
        <v>3543847</v>
      </c>
      <c r="F61" s="8"/>
      <c r="G61" s="415"/>
    </row>
    <row r="62" spans="1:6" ht="12.75">
      <c r="A62" t="s">
        <v>6</v>
      </c>
      <c r="B62" s="8" t="s">
        <v>186</v>
      </c>
      <c r="C62" s="317">
        <v>157954</v>
      </c>
      <c r="D62" s="287">
        <v>0</v>
      </c>
      <c r="E62" s="272">
        <f>+C62-D62</f>
        <v>157954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186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443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7" t="s">
        <v>394</v>
      </c>
      <c r="B66" s="8"/>
      <c r="C66" s="446">
        <f>'TAXREC 3 No True-up'!C47</f>
        <v>1405699</v>
      </c>
      <c r="D66" s="446">
        <f>'TAXREC 3 No True-up'!D47</f>
        <v>0</v>
      </c>
      <c r="E66" s="272">
        <f>+C66-D66</f>
        <v>1405699</v>
      </c>
      <c r="F66" s="8"/>
    </row>
    <row r="67" spans="1:6" ht="12.75">
      <c r="A67" t="s">
        <v>159</v>
      </c>
      <c r="B67" s="8" t="s">
        <v>186</v>
      </c>
      <c r="C67" s="250">
        <f>'TAXREC 2'!C77</f>
        <v>109974</v>
      </c>
      <c r="D67" s="250">
        <f>'TAXREC 2'!D77</f>
        <v>0</v>
      </c>
      <c r="E67" s="272">
        <f>+C67-D67</f>
        <v>109974</v>
      </c>
      <c r="F67" s="8"/>
    </row>
    <row r="68" spans="1:8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74"/>
    </row>
    <row r="69" spans="3:8" ht="12.75">
      <c r="C69" s="22"/>
      <c r="D69" s="22"/>
      <c r="E69" s="297"/>
      <c r="F69" s="8"/>
      <c r="G69" s="45"/>
      <c r="H69" s="74"/>
    </row>
    <row r="70" spans="1:8" ht="12.75">
      <c r="A70" s="10" t="s">
        <v>106</v>
      </c>
      <c r="B70" s="8"/>
      <c r="C70" s="272">
        <f>SUM(C59:C68)</f>
        <v>6955368</v>
      </c>
      <c r="D70" s="272">
        <f>SUM(D59:D68)</f>
        <v>0</v>
      </c>
      <c r="E70" s="272">
        <f>SUM(E59:E68)</f>
        <v>6955368</v>
      </c>
      <c r="F70" s="8"/>
      <c r="G70" s="45"/>
      <c r="H70" s="74"/>
    </row>
    <row r="71" spans="1:8" ht="12.75">
      <c r="A71" s="10"/>
      <c r="B71" s="8"/>
      <c r="C71" s="42"/>
      <c r="D71" s="42"/>
      <c r="E71" s="42"/>
      <c r="F71" s="8"/>
      <c r="G71" s="45"/>
      <c r="H71" s="23"/>
    </row>
    <row r="72" spans="1:8" ht="12.75">
      <c r="A72" s="10" t="s">
        <v>206</v>
      </c>
      <c r="B72" s="8"/>
      <c r="C72" s="5"/>
      <c r="D72" s="5"/>
      <c r="E72" s="5"/>
      <c r="F72" s="8"/>
      <c r="G72" s="45"/>
      <c r="H72" s="23"/>
    </row>
    <row r="73" spans="1:8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5"/>
      <c r="H73" s="77"/>
    </row>
    <row r="74" spans="1:8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5"/>
      <c r="H74" s="76"/>
    </row>
    <row r="75" spans="1:8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5"/>
      <c r="H75" s="76"/>
    </row>
    <row r="76" spans="1:8" ht="12.75">
      <c r="A76" s="64"/>
      <c r="B76" s="8" t="s">
        <v>186</v>
      </c>
      <c r="C76" s="482">
        <v>0</v>
      </c>
      <c r="D76" s="294"/>
      <c r="E76" s="478">
        <f t="shared" si="1"/>
        <v>0</v>
      </c>
      <c r="F76" s="8"/>
      <c r="G76" s="75"/>
      <c r="H76" s="76"/>
    </row>
    <row r="77" spans="1:8" ht="12.75">
      <c r="A77" s="67"/>
      <c r="B77" s="8" t="s">
        <v>186</v>
      </c>
      <c r="C77" s="294"/>
      <c r="D77" s="294"/>
      <c r="E77" s="272">
        <f t="shared" si="1"/>
        <v>0</v>
      </c>
      <c r="F77" s="8"/>
      <c r="G77" s="75"/>
      <c r="H77" s="76"/>
    </row>
    <row r="78" spans="1:8" ht="12.75">
      <c r="A78" s="64"/>
      <c r="B78" s="8" t="s">
        <v>186</v>
      </c>
      <c r="C78" s="294"/>
      <c r="D78" s="294"/>
      <c r="E78" s="272">
        <f t="shared" si="1"/>
        <v>0</v>
      </c>
      <c r="F78" s="8"/>
      <c r="G78" s="75"/>
      <c r="H78" s="76"/>
    </row>
    <row r="79" spans="1:8" ht="12.75">
      <c r="A79" s="68"/>
      <c r="B79" s="8" t="s">
        <v>186</v>
      </c>
      <c r="C79" s="294"/>
      <c r="D79" s="294"/>
      <c r="E79" s="272">
        <f t="shared" si="1"/>
        <v>0</v>
      </c>
      <c r="F79" s="8"/>
      <c r="G79" s="75"/>
      <c r="H79" s="76"/>
    </row>
    <row r="80" spans="1:8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</row>
    <row r="81" spans="1:8" ht="12.75">
      <c r="A81" s="10"/>
      <c r="C81" s="22"/>
      <c r="D81" s="22"/>
      <c r="E81" s="22"/>
      <c r="F81" s="8"/>
      <c r="G81" s="76"/>
      <c r="H81" s="72"/>
    </row>
    <row r="82" spans="1:8" ht="12.75">
      <c r="A82" s="4" t="s">
        <v>18</v>
      </c>
      <c r="B82" s="8" t="s">
        <v>188</v>
      </c>
      <c r="C82" s="250">
        <f>C70+C80</f>
        <v>6955368</v>
      </c>
      <c r="D82" s="250">
        <f>D70+D80</f>
        <v>0</v>
      </c>
      <c r="E82" s="250">
        <f>E70+E80</f>
        <v>6955368</v>
      </c>
      <c r="F82" s="8"/>
      <c r="G82" s="45"/>
      <c r="H82" s="45"/>
    </row>
    <row r="83" spans="1:8" ht="12.75">
      <c r="A83" s="4"/>
      <c r="B83" s="8"/>
      <c r="C83" s="72"/>
      <c r="D83" s="72"/>
      <c r="E83" s="72"/>
      <c r="F83" s="8"/>
      <c r="G83" s="45"/>
      <c r="H83" s="45"/>
    </row>
    <row r="84" spans="1:8" ht="12.75">
      <c r="A84" s="280" t="s">
        <v>174</v>
      </c>
      <c r="B84" s="45"/>
      <c r="C84" s="23"/>
      <c r="D84" s="23"/>
      <c r="E84" s="23"/>
      <c r="F84" s="8"/>
      <c r="G84" s="45"/>
      <c r="H84" s="45"/>
    </row>
    <row r="85" spans="1:8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</row>
    <row r="86" spans="1:8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</row>
    <row r="87" spans="1:8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</row>
    <row r="88" spans="1:8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</row>
    <row r="89" spans="1:8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</row>
    <row r="90" spans="1:8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</row>
    <row r="91" spans="1:8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</row>
    <row r="92" spans="1:8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</row>
    <row r="93" spans="1:8" ht="12.75">
      <c r="A93" s="273" t="s">
        <v>431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</row>
    <row r="94" spans="1:8" ht="12.75">
      <c r="A94" s="273" t="s">
        <v>196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</row>
    <row r="95" spans="1:8" ht="12.75">
      <c r="A95" s="2"/>
      <c r="B95" s="8"/>
      <c r="C95" s="5"/>
      <c r="D95" s="5"/>
      <c r="E95" s="5"/>
      <c r="F95" s="8"/>
      <c r="G95" s="45"/>
      <c r="H95" s="45"/>
    </row>
    <row r="96" spans="1:8" ht="12.75">
      <c r="A96" s="12" t="s">
        <v>55</v>
      </c>
      <c r="B96" s="8"/>
      <c r="C96" s="5"/>
      <c r="D96" s="5"/>
      <c r="E96" s="5"/>
      <c r="F96" s="8"/>
      <c r="G96" s="45"/>
      <c r="H96" s="45"/>
    </row>
    <row r="97" spans="1:8" ht="12.75">
      <c r="A97" t="s">
        <v>27</v>
      </c>
      <c r="B97" s="8" t="s">
        <v>187</v>
      </c>
      <c r="C97" s="294">
        <v>2989336</v>
      </c>
      <c r="D97" s="294"/>
      <c r="E97" s="272">
        <f>+C97-D97</f>
        <v>2989336</v>
      </c>
      <c r="F97" s="8"/>
      <c r="G97" s="45" t="s">
        <v>102</v>
      </c>
      <c r="H97" s="45"/>
    </row>
    <row r="98" spans="1:8" ht="12.75">
      <c r="A98" t="s">
        <v>14</v>
      </c>
      <c r="B98" s="8" t="s">
        <v>187</v>
      </c>
      <c r="C98" s="294">
        <v>0</v>
      </c>
      <c r="D98" s="294"/>
      <c r="E98" s="272">
        <f>+C98-D98</f>
        <v>0</v>
      </c>
      <c r="F98" s="8"/>
      <c r="G98" s="45"/>
      <c r="H98" s="45"/>
    </row>
    <row r="99" spans="1:8" ht="12.75">
      <c r="A99" t="s">
        <v>11</v>
      </c>
      <c r="B99" s="8" t="s">
        <v>187</v>
      </c>
      <c r="C99" s="294">
        <v>0</v>
      </c>
      <c r="D99" s="294"/>
      <c r="E99" s="272">
        <f>+C99-D99</f>
        <v>0</v>
      </c>
      <c r="F99" s="8"/>
      <c r="G99" s="45"/>
      <c r="H99" s="45"/>
    </row>
    <row r="100" spans="1:8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</row>
    <row r="101" spans="1:8" ht="12.75">
      <c r="A101" s="10" t="s">
        <v>92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</row>
    <row r="102" spans="1:8" ht="12.75">
      <c r="A102" s="10" t="s">
        <v>93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</row>
    <row r="103" spans="1:8" ht="12.75">
      <c r="A103" s="10" t="s">
        <v>94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</row>
    <row r="104" spans="1:8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</row>
    <row r="105" spans="1:8" ht="12.75">
      <c r="A105" s="10" t="s">
        <v>279</v>
      </c>
      <c r="B105" s="8" t="s">
        <v>187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</row>
    <row r="106" spans="1:8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</row>
    <row r="107" spans="1:8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</row>
    <row r="108" spans="1:8" ht="15">
      <c r="A108" s="467" t="s">
        <v>394</v>
      </c>
      <c r="B108" s="8"/>
      <c r="C108" s="253">
        <f>'TAXREC 3 No True-up'!C73</f>
        <v>214818</v>
      </c>
      <c r="D108" s="253">
        <f>'TAXREC 3 No True-up'!D73</f>
        <v>0</v>
      </c>
      <c r="E108" s="272">
        <f t="shared" si="5"/>
        <v>214818</v>
      </c>
      <c r="F108" s="8"/>
      <c r="G108" s="45"/>
      <c r="H108" s="45"/>
    </row>
    <row r="109" spans="1:8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</row>
    <row r="110" spans="1:8" ht="12.75">
      <c r="A110" t="s">
        <v>161</v>
      </c>
      <c r="B110" s="8" t="s">
        <v>187</v>
      </c>
      <c r="C110" s="250">
        <f>'TAXREC 2'!C119</f>
        <v>628609</v>
      </c>
      <c r="D110" s="250">
        <f>'TAXREC 2'!D119</f>
        <v>0</v>
      </c>
      <c r="E110" s="250">
        <f>'TAXREC 2'!E119</f>
        <v>628609</v>
      </c>
      <c r="F110" s="8"/>
      <c r="G110" s="45"/>
      <c r="H110" s="45"/>
    </row>
    <row r="111" spans="1:8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74"/>
    </row>
    <row r="112" spans="1:8" ht="12.75">
      <c r="A112" s="4"/>
      <c r="B112" s="8"/>
      <c r="C112" s="22"/>
      <c r="D112" s="22"/>
      <c r="E112" s="296"/>
      <c r="F112" s="8"/>
      <c r="G112" s="45"/>
      <c r="H112" s="74"/>
    </row>
    <row r="113" spans="1:8" ht="12.75">
      <c r="A113" s="4" t="s">
        <v>163</v>
      </c>
      <c r="B113" s="8" t="s">
        <v>188</v>
      </c>
      <c r="C113" s="250">
        <f>SUM(C97:C111)</f>
        <v>3832763</v>
      </c>
      <c r="D113" s="250">
        <f>SUM(D97:D111)</f>
        <v>0</v>
      </c>
      <c r="E113" s="250">
        <f>SUM(E97:E111)</f>
        <v>3832763</v>
      </c>
      <c r="F113" s="8"/>
      <c r="G113" s="45"/>
      <c r="H113" s="23"/>
    </row>
    <row r="114" spans="1:8" ht="12.75">
      <c r="A114" s="10" t="s">
        <v>205</v>
      </c>
      <c r="B114" s="8"/>
      <c r="C114" s="5"/>
      <c r="D114" s="5"/>
      <c r="E114" s="5"/>
      <c r="F114" s="8"/>
      <c r="G114" s="45"/>
      <c r="H114" s="23"/>
    </row>
    <row r="115" spans="1:8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5"/>
      <c r="H115" s="77"/>
    </row>
    <row r="116" spans="1:8" ht="12.75">
      <c r="A116" s="67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5"/>
      <c r="H116" s="76"/>
    </row>
    <row r="117" spans="1:8" ht="12.75">
      <c r="A117" s="67"/>
      <c r="B117" s="8" t="s">
        <v>187</v>
      </c>
      <c r="C117" s="294"/>
      <c r="D117" s="294"/>
      <c r="E117" s="272">
        <f>+C117-D117</f>
        <v>0</v>
      </c>
      <c r="F117" s="8"/>
      <c r="G117" s="75"/>
      <c r="H117" s="76"/>
    </row>
    <row r="118" spans="1:8" ht="12.75">
      <c r="A118" s="67"/>
      <c r="B118" s="8"/>
      <c r="C118" s="294"/>
      <c r="D118" s="294"/>
      <c r="E118" s="272">
        <f>+C118-D118</f>
        <v>0</v>
      </c>
      <c r="F118" s="8"/>
      <c r="G118" s="75"/>
      <c r="H118" s="76"/>
    </row>
    <row r="119" spans="1:8" ht="12.75">
      <c r="A119" s="68"/>
      <c r="B119" s="8" t="s">
        <v>187</v>
      </c>
      <c r="C119" s="294"/>
      <c r="D119" s="294"/>
      <c r="E119" s="272">
        <f>+C119-D119</f>
        <v>0</v>
      </c>
      <c r="F119" s="8"/>
      <c r="G119" s="75"/>
      <c r="H119" s="76"/>
    </row>
    <row r="120" spans="1:8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8"/>
      <c r="H120" s="76"/>
    </row>
    <row r="121" spans="2:8" ht="12.75">
      <c r="B121" s="8"/>
      <c r="C121" s="22"/>
      <c r="D121" s="22"/>
      <c r="E121" s="22"/>
      <c r="F121" s="8"/>
      <c r="G121" s="76"/>
      <c r="H121" s="72"/>
    </row>
    <row r="122" spans="1:8" ht="12.75">
      <c r="A122" s="4" t="s">
        <v>19</v>
      </c>
      <c r="B122" s="8" t="s">
        <v>188</v>
      </c>
      <c r="C122" s="250">
        <f>C113+C120</f>
        <v>3832763</v>
      </c>
      <c r="D122" s="250">
        <f>D113+D120</f>
        <v>0</v>
      </c>
      <c r="E122" s="250">
        <f>+E113+E120</f>
        <v>3832763</v>
      </c>
      <c r="F122" s="8"/>
      <c r="G122" s="45"/>
      <c r="H122" s="45"/>
    </row>
    <row r="123" spans="2:8" ht="12.75">
      <c r="B123" s="8"/>
      <c r="C123" s="22"/>
      <c r="D123" s="22"/>
      <c r="E123" s="22"/>
      <c r="F123" s="8"/>
      <c r="G123" s="45"/>
      <c r="H123" s="45"/>
    </row>
    <row r="124" spans="1:8" ht="12.75">
      <c r="A124" s="291" t="s">
        <v>175</v>
      </c>
      <c r="C124" s="8"/>
      <c r="D124" s="8"/>
      <c r="E124" s="8"/>
      <c r="F124" s="8"/>
      <c r="G124" s="45"/>
      <c r="H124" s="45"/>
    </row>
    <row r="125" spans="1:8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</row>
    <row r="126" spans="1:8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</row>
    <row r="127" spans="1:8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</row>
    <row r="128" spans="1:8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</row>
    <row r="129" spans="1:8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</row>
    <row r="130" spans="1:8" ht="12.75">
      <c r="A130" s="289" t="s">
        <v>198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</row>
    <row r="131" spans="1:8" ht="12.75">
      <c r="A131" s="273" t="s">
        <v>199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</row>
    <row r="132" spans="1:8" ht="12.75">
      <c r="A132" s="273" t="s">
        <v>197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</row>
    <row r="133" spans="2:8" ht="12.75">
      <c r="B133" s="8"/>
      <c r="C133" s="22"/>
      <c r="D133" s="22"/>
      <c r="E133" s="22"/>
      <c r="F133" s="8"/>
      <c r="G133" s="45"/>
      <c r="H133" s="45"/>
    </row>
    <row r="134" spans="1:8" ht="12.75">
      <c r="A134" s="13" t="s">
        <v>81</v>
      </c>
      <c r="B134" s="8" t="s">
        <v>188</v>
      </c>
      <c r="C134" s="250">
        <f>+C53+C82-C122</f>
        <v>4100977</v>
      </c>
      <c r="D134" s="250">
        <f>D53+D82-D122</f>
        <v>0</v>
      </c>
      <c r="E134" s="250">
        <f>E53+E82-E122</f>
        <v>4100977</v>
      </c>
      <c r="F134" s="8"/>
      <c r="G134" s="45"/>
      <c r="H134" s="45"/>
    </row>
    <row r="135" spans="1:8" ht="12.75">
      <c r="A135" s="12" t="s">
        <v>46</v>
      </c>
      <c r="B135" s="8"/>
      <c r="D135" s="30"/>
      <c r="E135" s="30"/>
      <c r="F135" s="8"/>
      <c r="G135" s="45"/>
      <c r="H135" s="45"/>
    </row>
    <row r="136" spans="1:8" ht="12.75">
      <c r="A136" s="12" t="s">
        <v>374</v>
      </c>
      <c r="B136" s="8" t="s">
        <v>187</v>
      </c>
      <c r="C136" s="294">
        <v>0</v>
      </c>
      <c r="D136" s="294"/>
      <c r="E136" s="264">
        <f>C136-D136</f>
        <v>0</v>
      </c>
      <c r="F136" s="8"/>
      <c r="G136" s="45"/>
      <c r="H136" s="45"/>
    </row>
    <row r="137" spans="1:8" ht="12.75">
      <c r="A137" s="46" t="s">
        <v>375</v>
      </c>
      <c r="B137" s="8" t="s">
        <v>187</v>
      </c>
      <c r="C137" s="310"/>
      <c r="D137" s="310"/>
      <c r="E137" s="393">
        <f>C137-D137</f>
        <v>0</v>
      </c>
      <c r="F137" s="8"/>
      <c r="G137" s="45"/>
      <c r="H137" s="45"/>
    </row>
    <row r="138" spans="1:8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</row>
    <row r="139" spans="1:8" ht="12.75">
      <c r="A139" s="46" t="s">
        <v>97</v>
      </c>
      <c r="B139" s="8" t="s">
        <v>188</v>
      </c>
      <c r="C139" s="251">
        <f>C134-C136-C137-C138</f>
        <v>4100977</v>
      </c>
      <c r="D139" s="251">
        <f>D134-D136-D137-D138</f>
        <v>0</v>
      </c>
      <c r="E139" s="251">
        <f>E134-E136-E137-E138</f>
        <v>4100977</v>
      </c>
      <c r="F139" s="8"/>
      <c r="G139" s="45"/>
      <c r="H139" s="45"/>
    </row>
    <row r="140" spans="1:8" ht="12.75">
      <c r="A140" s="46"/>
      <c r="B140" s="8"/>
      <c r="C140" s="87"/>
      <c r="D140" s="87"/>
      <c r="E140" s="87"/>
      <c r="F140" s="8"/>
      <c r="G140" s="45"/>
      <c r="H140" s="45"/>
    </row>
    <row r="141" spans="1:8" ht="12.75">
      <c r="A141" s="319" t="s">
        <v>305</v>
      </c>
      <c r="B141" s="8"/>
      <c r="C141" s="5"/>
      <c r="D141" s="5"/>
      <c r="E141" s="5"/>
      <c r="F141" s="8"/>
      <c r="G141" s="45"/>
      <c r="H141" s="45"/>
    </row>
    <row r="142" spans="1:8" ht="12.75">
      <c r="A142" s="46" t="s">
        <v>322</v>
      </c>
      <c r="B142" s="8" t="s">
        <v>186</v>
      </c>
      <c r="C142" s="298">
        <v>744155</v>
      </c>
      <c r="D142" s="298"/>
      <c r="E142" s="251">
        <f>C142-D142</f>
        <v>744155</v>
      </c>
      <c r="F142" s="8"/>
      <c r="G142" s="45"/>
      <c r="H142" s="45"/>
    </row>
    <row r="143" spans="1:8" ht="12.75">
      <c r="A143" s="46" t="s">
        <v>321</v>
      </c>
      <c r="B143" s="8" t="s">
        <v>186</v>
      </c>
      <c r="C143" s="298">
        <v>475950</v>
      </c>
      <c r="D143" s="298"/>
      <c r="E143" s="292">
        <f>C143-D143</f>
        <v>475950</v>
      </c>
      <c r="F143" s="8"/>
      <c r="G143" t="s">
        <v>499</v>
      </c>
      <c r="H143" s="45"/>
    </row>
    <row r="144" spans="1:8" ht="12.75">
      <c r="A144" s="46" t="s">
        <v>172</v>
      </c>
      <c r="B144" s="8" t="s">
        <v>188</v>
      </c>
      <c r="C144" s="251">
        <f>C142+C143</f>
        <v>1220105</v>
      </c>
      <c r="D144" s="251">
        <f>D142+D143</f>
        <v>0</v>
      </c>
      <c r="E144" s="251">
        <f>E142+E143</f>
        <v>1220105</v>
      </c>
      <c r="F144" s="8"/>
      <c r="G144" s="45"/>
      <c r="H144" s="45"/>
    </row>
    <row r="145" spans="1:8" ht="12.75">
      <c r="A145" s="46" t="s">
        <v>333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45"/>
    </row>
    <row r="146" spans="1:8" ht="12.75">
      <c r="A146" s="319" t="s">
        <v>99</v>
      </c>
      <c r="B146" s="8" t="s">
        <v>188</v>
      </c>
      <c r="C146" s="251">
        <f>C144-C145</f>
        <v>1220105</v>
      </c>
      <c r="D146" s="251">
        <f>D144-D145</f>
        <v>0</v>
      </c>
      <c r="E146" s="251">
        <f>E144-E145</f>
        <v>1220105</v>
      </c>
      <c r="F146" s="8"/>
      <c r="G146" s="45"/>
      <c r="H146" s="45"/>
    </row>
    <row r="147" spans="2:8" ht="12.75">
      <c r="B147" s="8"/>
      <c r="C147" s="5"/>
      <c r="D147" s="5"/>
      <c r="E147" s="5"/>
      <c r="F147" s="8"/>
      <c r="G147" s="45"/>
      <c r="H147" s="45"/>
    </row>
    <row r="148" spans="1:8" ht="12.75">
      <c r="A148" s="319" t="s">
        <v>305</v>
      </c>
      <c r="B148" s="8"/>
      <c r="C148" s="5"/>
      <c r="D148" s="5"/>
      <c r="E148" s="5"/>
      <c r="F148" s="8"/>
      <c r="G148" s="45"/>
      <c r="H148" s="45"/>
    </row>
    <row r="149" spans="1:8" ht="12.75">
      <c r="A149" s="46" t="s">
        <v>328</v>
      </c>
      <c r="B149" s="8"/>
      <c r="C149" s="404">
        <f>C142/C139</f>
        <v>0.1814579794034446</v>
      </c>
      <c r="D149" s="5"/>
      <c r="E149" s="405">
        <f>C149</f>
        <v>0.1814579794034446</v>
      </c>
      <c r="F149" s="8"/>
      <c r="G149" s="483" t="s">
        <v>469</v>
      </c>
      <c r="H149" s="45"/>
    </row>
    <row r="150" spans="1:8" ht="12.75">
      <c r="A150" s="46" t="s">
        <v>329</v>
      </c>
      <c r="B150" s="8"/>
      <c r="C150" s="404">
        <f>C143/C139</f>
        <v>0.11605771015053243</v>
      </c>
      <c r="D150" s="488"/>
      <c r="E150" s="405">
        <f>C150</f>
        <v>0.11605771015053243</v>
      </c>
      <c r="F150" s="8"/>
      <c r="G150" s="483" t="s">
        <v>470</v>
      </c>
      <c r="H150" s="45"/>
    </row>
    <row r="151" spans="1:8" ht="12.75">
      <c r="A151" t="s">
        <v>330</v>
      </c>
      <c r="B151" s="8"/>
      <c r="C151" s="405">
        <f>SUM(C149:C150)</f>
        <v>0.297515689553977</v>
      </c>
      <c r="D151" s="5"/>
      <c r="E151" s="405">
        <f>SUM(E149:E150)</f>
        <v>0.297515689553977</v>
      </c>
      <c r="F151" s="8"/>
      <c r="G151" s="45"/>
      <c r="H151" s="45"/>
    </row>
    <row r="152" spans="2:8" ht="12.75">
      <c r="B152" s="8"/>
      <c r="C152" s="5"/>
      <c r="D152" s="5"/>
      <c r="E152" s="5"/>
      <c r="F152" s="8"/>
      <c r="G152" s="45"/>
      <c r="H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7" ht="12.75">
      <c r="A156" t="s">
        <v>218</v>
      </c>
      <c r="B156" s="85" t="s">
        <v>186</v>
      </c>
      <c r="C156" s="250">
        <f>C146</f>
        <v>1220105</v>
      </c>
      <c r="D156" s="250">
        <f>D146</f>
        <v>0</v>
      </c>
      <c r="E156" s="250">
        <f>E146</f>
        <v>1220105</v>
      </c>
      <c r="G156" t="s">
        <v>498</v>
      </c>
    </row>
    <row r="157" spans="1:7" ht="12.75">
      <c r="A157" t="s">
        <v>20</v>
      </c>
      <c r="B157" s="85" t="s">
        <v>186</v>
      </c>
      <c r="C157" s="479">
        <v>182012</v>
      </c>
      <c r="D157" s="250"/>
      <c r="E157" s="250">
        <f>C157+D157</f>
        <v>182012</v>
      </c>
      <c r="G157" t="s">
        <v>498</v>
      </c>
    </row>
    <row r="158" spans="1:7" ht="12.75">
      <c r="A158" t="s">
        <v>217</v>
      </c>
      <c r="B158" s="85" t="s">
        <v>186</v>
      </c>
      <c r="C158" s="479">
        <v>78686</v>
      </c>
      <c r="D158" s="250"/>
      <c r="E158" s="250">
        <f>C158+D158</f>
        <v>78686</v>
      </c>
      <c r="G158" t="s">
        <v>498</v>
      </c>
    </row>
    <row r="159" ht="12.75">
      <c r="B159" s="8"/>
    </row>
    <row r="160" spans="1:7" ht="12.75">
      <c r="A160" s="2" t="s">
        <v>302</v>
      </c>
      <c r="B160" s="65" t="s">
        <v>188</v>
      </c>
      <c r="C160" s="250">
        <f>C156+C157+C158</f>
        <v>1480803</v>
      </c>
      <c r="D160" s="250">
        <f>D156+D157+D158</f>
        <v>0</v>
      </c>
      <c r="E160" s="250">
        <f>E156+E157+E158</f>
        <v>1480803</v>
      </c>
      <c r="G160" t="s">
        <v>498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3" fitToWidth="1" horizontalDpi="600" verticalDpi="600" orientation="portrait" scale="61" r:id="rId1"/>
  <rowBreaks count="1" manualBreakCount="1"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72" sqref="D7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 Falls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0"/>
      <c r="C12" s="311"/>
      <c r="D12" s="311"/>
      <c r="E12" s="60"/>
    </row>
    <row r="13" spans="1:5" ht="12.75">
      <c r="A13" s="60"/>
      <c r="B13" s="60"/>
      <c r="C13" s="294"/>
      <c r="D13" s="294"/>
      <c r="E13" s="250">
        <f>C13-D13</f>
        <v>0</v>
      </c>
    </row>
    <row r="14" spans="1:5" ht="12.75">
      <c r="A14" s="60" t="s">
        <v>280</v>
      </c>
      <c r="B14" s="60"/>
      <c r="C14" s="294"/>
      <c r="D14" s="294"/>
      <c r="E14" s="250">
        <f aca="true" t="shared" si="0" ref="E14:E21">C14-D14</f>
        <v>0</v>
      </c>
    </row>
    <row r="15" spans="1:5" ht="12.75">
      <c r="A15" s="60" t="s">
        <v>281</v>
      </c>
      <c r="B15" s="60"/>
      <c r="C15" s="294"/>
      <c r="D15" s="294"/>
      <c r="E15" s="250">
        <f t="shared" si="0"/>
        <v>0</v>
      </c>
    </row>
    <row r="16" spans="1:5" ht="12.75">
      <c r="A16" s="60" t="s">
        <v>282</v>
      </c>
      <c r="B16" s="60"/>
      <c r="C16" s="294"/>
      <c r="D16" s="294"/>
      <c r="E16" s="250">
        <f t="shared" si="0"/>
        <v>0</v>
      </c>
    </row>
    <row r="17" spans="1:5" ht="12.75">
      <c r="A17" s="60" t="s">
        <v>283</v>
      </c>
      <c r="B17" s="60"/>
      <c r="C17" s="294"/>
      <c r="D17" s="294"/>
      <c r="E17" s="250">
        <f t="shared" si="0"/>
        <v>0</v>
      </c>
    </row>
    <row r="18" spans="1:5" ht="12.75">
      <c r="A18" s="60" t="s">
        <v>448</v>
      </c>
      <c r="B18" s="60"/>
      <c r="C18" s="294"/>
      <c r="D18" s="294"/>
      <c r="E18" s="250">
        <f t="shared" si="0"/>
        <v>0</v>
      </c>
    </row>
    <row r="19" spans="1:5" ht="12.75">
      <c r="A19" s="60" t="s">
        <v>448</v>
      </c>
      <c r="B19" s="60"/>
      <c r="C19" s="294"/>
      <c r="D19" s="294"/>
      <c r="E19" s="250">
        <f t="shared" si="0"/>
        <v>0</v>
      </c>
    </row>
    <row r="20" spans="1:5" ht="12.75">
      <c r="A20" s="60"/>
      <c r="B20" s="60"/>
      <c r="C20" s="294"/>
      <c r="D20" s="294"/>
      <c r="E20" s="250">
        <f t="shared" si="0"/>
        <v>0</v>
      </c>
    </row>
    <row r="21" spans="1:5" ht="12.75">
      <c r="A21" s="60"/>
      <c r="B21" s="60"/>
      <c r="C21" s="310"/>
      <c r="D21" s="310"/>
      <c r="E21" s="279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0"/>
      <c r="C24" s="90"/>
      <c r="D24" s="90"/>
      <c r="E24" s="90"/>
    </row>
    <row r="25" spans="1:5" ht="12.75">
      <c r="A25" s="60"/>
      <c r="B25" s="60"/>
      <c r="C25" s="294"/>
      <c r="D25" s="294"/>
      <c r="E25" s="250">
        <f>C25-D25</f>
        <v>0</v>
      </c>
    </row>
    <row r="26" spans="1:5" ht="12.75">
      <c r="A26" s="60" t="s">
        <v>280</v>
      </c>
      <c r="B26" s="60"/>
      <c r="C26" s="294"/>
      <c r="D26" s="294"/>
      <c r="E26" s="250">
        <f aca="true" t="shared" si="1" ref="E26:E33">C26-D26</f>
        <v>0</v>
      </c>
    </row>
    <row r="27" spans="1:5" ht="12.75">
      <c r="A27" s="60" t="s">
        <v>281</v>
      </c>
      <c r="B27" s="60"/>
      <c r="C27" s="294"/>
      <c r="D27" s="294"/>
      <c r="E27" s="250">
        <f t="shared" si="1"/>
        <v>0</v>
      </c>
    </row>
    <row r="28" spans="1:5" ht="12.75">
      <c r="A28" s="60" t="s">
        <v>282</v>
      </c>
      <c r="B28" s="60"/>
      <c r="C28" s="294"/>
      <c r="D28" s="294"/>
      <c r="E28" s="250">
        <f t="shared" si="1"/>
        <v>0</v>
      </c>
    </row>
    <row r="29" spans="1:5" ht="12.75">
      <c r="A29" s="60" t="s">
        <v>283</v>
      </c>
      <c r="B29" s="60"/>
      <c r="C29" s="294"/>
      <c r="D29" s="294"/>
      <c r="E29" s="250">
        <f t="shared" si="1"/>
        <v>0</v>
      </c>
    </row>
    <row r="30" spans="1:5" ht="12.75">
      <c r="A30" s="60" t="s">
        <v>448</v>
      </c>
      <c r="B30" s="60"/>
      <c r="C30" s="294"/>
      <c r="D30" s="294"/>
      <c r="E30" s="250">
        <f t="shared" si="1"/>
        <v>0</v>
      </c>
    </row>
    <row r="31" spans="1:5" ht="12.75">
      <c r="A31" s="60" t="s">
        <v>448</v>
      </c>
      <c r="B31" s="60"/>
      <c r="C31" s="294"/>
      <c r="D31" s="294"/>
      <c r="E31" s="250">
        <f t="shared" si="1"/>
        <v>0</v>
      </c>
    </row>
    <row r="32" spans="1:5" ht="12.75">
      <c r="A32" s="60"/>
      <c r="B32" s="60"/>
      <c r="C32" s="294"/>
      <c r="D32" s="294"/>
      <c r="E32" s="250">
        <f t="shared" si="1"/>
        <v>0</v>
      </c>
    </row>
    <row r="33" spans="1:5" ht="13.5" thickBot="1">
      <c r="A33" s="61"/>
      <c r="B33" s="60"/>
      <c r="C33" s="294"/>
      <c r="D33" s="294"/>
      <c r="E33" s="250">
        <f t="shared" si="1"/>
        <v>0</v>
      </c>
    </row>
    <row r="34" spans="1:5" ht="12.75">
      <c r="A34" s="55" t="s">
        <v>131</v>
      </c>
      <c r="C34" s="22"/>
      <c r="D34" s="22"/>
      <c r="E34" s="279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0"/>
      <c r="C40" s="90"/>
      <c r="D40" s="90"/>
      <c r="E40" s="90"/>
    </row>
    <row r="41" spans="1:5" ht="12.75">
      <c r="A41" s="60"/>
      <c r="B41" s="60"/>
      <c r="C41" s="294"/>
      <c r="D41" s="294"/>
      <c r="E41" s="250">
        <f>C41-D41</f>
        <v>0</v>
      </c>
    </row>
    <row r="42" spans="1:5" ht="12.75">
      <c r="A42" s="60"/>
      <c r="B42" s="60"/>
      <c r="C42" s="294"/>
      <c r="D42" s="294"/>
      <c r="E42" s="250">
        <f aca="true" t="shared" si="2" ref="E42:E49">C42-D42</f>
        <v>0</v>
      </c>
    </row>
    <row r="43" spans="1:5" ht="12.75">
      <c r="A43" s="60" t="s">
        <v>266</v>
      </c>
      <c r="B43" s="60"/>
      <c r="C43" s="294"/>
      <c r="D43" s="294"/>
      <c r="E43" s="250">
        <f t="shared" si="2"/>
        <v>0</v>
      </c>
    </row>
    <row r="44" spans="1:5" ht="12.75">
      <c r="A44" s="60" t="s">
        <v>267</v>
      </c>
      <c r="B44" s="60"/>
      <c r="C44" s="294"/>
      <c r="D44" s="294"/>
      <c r="E44" s="250">
        <f t="shared" si="2"/>
        <v>0</v>
      </c>
    </row>
    <row r="45" spans="1:5" ht="12.75">
      <c r="A45" s="60" t="s">
        <v>268</v>
      </c>
      <c r="B45" s="60"/>
      <c r="C45" s="294"/>
      <c r="D45" s="294"/>
      <c r="E45" s="250">
        <f t="shared" si="2"/>
        <v>0</v>
      </c>
    </row>
    <row r="46" spans="1:5" ht="12.75">
      <c r="A46" s="60" t="s">
        <v>269</v>
      </c>
      <c r="B46" s="60"/>
      <c r="C46" s="294"/>
      <c r="D46" s="294"/>
      <c r="E46" s="250">
        <f t="shared" si="2"/>
        <v>0</v>
      </c>
    </row>
    <row r="47" spans="1:5" ht="12.75">
      <c r="A47" s="60" t="s">
        <v>448</v>
      </c>
      <c r="B47" s="60"/>
      <c r="C47" s="294"/>
      <c r="D47" s="294"/>
      <c r="E47" s="250">
        <f t="shared" si="2"/>
        <v>0</v>
      </c>
    </row>
    <row r="48" spans="1:5" ht="12.75">
      <c r="A48" s="60" t="s">
        <v>448</v>
      </c>
      <c r="B48" s="60"/>
      <c r="C48" s="294"/>
      <c r="D48" s="294"/>
      <c r="E48" s="250">
        <f t="shared" si="2"/>
        <v>0</v>
      </c>
    </row>
    <row r="49" spans="1:5" ht="12.75">
      <c r="A49" s="60"/>
      <c r="B49" s="60"/>
      <c r="C49" s="310"/>
      <c r="D49" s="310"/>
      <c r="E49" s="279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0"/>
      <c r="C52" s="90"/>
      <c r="D52" s="90"/>
      <c r="E52" s="90"/>
    </row>
    <row r="53" spans="1:5" ht="12.75">
      <c r="A53" s="60"/>
      <c r="B53" s="60"/>
      <c r="C53" s="294"/>
      <c r="D53" s="294"/>
      <c r="E53" s="250">
        <f>C53-D53</f>
        <v>0</v>
      </c>
    </row>
    <row r="54" spans="1:5" ht="12.75">
      <c r="A54" s="245"/>
      <c r="B54" s="60"/>
      <c r="C54" s="294"/>
      <c r="D54" s="294"/>
      <c r="E54" s="250">
        <f aca="true" t="shared" si="3" ref="E54:E61">C54-D54</f>
        <v>0</v>
      </c>
    </row>
    <row r="55" spans="1:5" ht="12.75">
      <c r="A55" s="245" t="s">
        <v>266</v>
      </c>
      <c r="B55" s="60"/>
      <c r="C55" s="294"/>
      <c r="D55" s="294"/>
      <c r="E55" s="250">
        <f t="shared" si="3"/>
        <v>0</v>
      </c>
    </row>
    <row r="56" spans="1:5" ht="12.75">
      <c r="A56" s="245" t="s">
        <v>267</v>
      </c>
      <c r="B56" s="60"/>
      <c r="C56" s="294"/>
      <c r="D56" s="294"/>
      <c r="E56" s="250">
        <f t="shared" si="3"/>
        <v>0</v>
      </c>
    </row>
    <row r="57" spans="1:5" ht="12.75">
      <c r="A57" s="245" t="s">
        <v>268</v>
      </c>
      <c r="B57" s="60"/>
      <c r="C57" s="294"/>
      <c r="D57" s="294"/>
      <c r="E57" s="250">
        <f t="shared" si="3"/>
        <v>0</v>
      </c>
    </row>
    <row r="58" spans="1:5" ht="12.75">
      <c r="A58" s="245" t="s">
        <v>269</v>
      </c>
      <c r="B58" s="60"/>
      <c r="C58" s="294"/>
      <c r="D58" s="294"/>
      <c r="E58" s="250">
        <f t="shared" si="3"/>
        <v>0</v>
      </c>
    </row>
    <row r="59" spans="1:5" ht="12.75">
      <c r="A59" s="60" t="s">
        <v>448</v>
      </c>
      <c r="B59" s="60"/>
      <c r="C59" s="294"/>
      <c r="D59" s="294"/>
      <c r="E59" s="250">
        <f t="shared" si="3"/>
        <v>0</v>
      </c>
    </row>
    <row r="60" spans="1:5" ht="12.75">
      <c r="A60" s="60" t="s">
        <v>448</v>
      </c>
      <c r="B60" s="60"/>
      <c r="C60" s="294"/>
      <c r="D60" s="294"/>
      <c r="E60" s="250">
        <f t="shared" si="3"/>
        <v>0</v>
      </c>
    </row>
    <row r="61" spans="1:5" ht="13.5" thickBot="1">
      <c r="A61" s="61"/>
      <c r="B61" s="60"/>
      <c r="C61" s="294"/>
      <c r="D61" s="294"/>
      <c r="E61" s="250">
        <f t="shared" si="3"/>
        <v>0</v>
      </c>
    </row>
    <row r="62" spans="1:5" ht="12.75">
      <c r="A62" s="55" t="s">
        <v>131</v>
      </c>
      <c r="C62" s="22"/>
      <c r="D62" s="22"/>
      <c r="E62" s="279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D72" sqref="D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 Falls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5"/>
      <c r="D17" s="295"/>
      <c r="E17" s="312">
        <f>C17-D17</f>
        <v>0</v>
      </c>
    </row>
    <row r="18" spans="1:5" ht="12.75">
      <c r="A18" s="66" t="s">
        <v>252</v>
      </c>
      <c r="B18" t="s">
        <v>186</v>
      </c>
      <c r="C18" s="295"/>
      <c r="D18" s="295"/>
      <c r="E18" s="312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5"/>
      <c r="D19" s="295"/>
      <c r="E19" s="312">
        <f t="shared" si="0"/>
        <v>0</v>
      </c>
    </row>
    <row r="20" spans="1:5" ht="12.75">
      <c r="A20" s="66" t="s">
        <v>449</v>
      </c>
      <c r="B20" t="s">
        <v>186</v>
      </c>
      <c r="C20" s="295"/>
      <c r="D20" s="313"/>
      <c r="E20" s="312">
        <f t="shared" si="0"/>
        <v>0</v>
      </c>
    </row>
    <row r="21" spans="1:5" ht="12.75">
      <c r="A21" s="66" t="s">
        <v>8</v>
      </c>
      <c r="B21" t="s">
        <v>186</v>
      </c>
      <c r="C21" s="295"/>
      <c r="D21" s="295"/>
      <c r="E21" s="312">
        <f t="shared" si="0"/>
        <v>0</v>
      </c>
    </row>
    <row r="22" spans="1:5" ht="12.75">
      <c r="A22" s="66"/>
      <c r="B22" t="s">
        <v>186</v>
      </c>
      <c r="C22" s="295"/>
      <c r="D22" s="295"/>
      <c r="E22" s="312">
        <f t="shared" si="0"/>
        <v>0</v>
      </c>
    </row>
    <row r="23" spans="1:5" ht="12.75">
      <c r="A23" s="66" t="s">
        <v>136</v>
      </c>
      <c r="B23" t="s">
        <v>186</v>
      </c>
      <c r="C23" s="295"/>
      <c r="D23" s="295"/>
      <c r="E23" s="312">
        <f t="shared" si="0"/>
        <v>0</v>
      </c>
    </row>
    <row r="24" spans="1:5" ht="12.75">
      <c r="A24" s="66" t="s">
        <v>137</v>
      </c>
      <c r="B24" t="s">
        <v>186</v>
      </c>
      <c r="C24" s="295"/>
      <c r="D24" s="295"/>
      <c r="E24" s="312">
        <f t="shared" si="0"/>
        <v>0</v>
      </c>
    </row>
    <row r="25" spans="1:5" ht="12.75">
      <c r="A25" s="66" t="s">
        <v>9</v>
      </c>
      <c r="B25" t="s">
        <v>186</v>
      </c>
      <c r="C25" s="295"/>
      <c r="D25" s="295"/>
      <c r="E25" s="312">
        <f t="shared" si="0"/>
        <v>0</v>
      </c>
    </row>
    <row r="26" spans="1:5" ht="12.75">
      <c r="A26" s="66" t="s">
        <v>190</v>
      </c>
      <c r="B26" t="s">
        <v>186</v>
      </c>
      <c r="C26" s="295"/>
      <c r="D26" s="295"/>
      <c r="E26" s="312">
        <f t="shared" si="0"/>
        <v>0</v>
      </c>
    </row>
    <row r="27" spans="1:5" ht="12.75">
      <c r="A27" s="66" t="s">
        <v>7</v>
      </c>
      <c r="B27" t="s">
        <v>186</v>
      </c>
      <c r="C27" s="295"/>
      <c r="D27" s="295"/>
      <c r="E27" s="312">
        <f t="shared" si="0"/>
        <v>0</v>
      </c>
    </row>
    <row r="28" spans="1:5" ht="12.75">
      <c r="A28" s="66" t="s">
        <v>124</v>
      </c>
      <c r="B28" t="s">
        <v>186</v>
      </c>
      <c r="C28" s="295"/>
      <c r="D28" s="295"/>
      <c r="E28" s="312">
        <f t="shared" si="0"/>
        <v>0</v>
      </c>
    </row>
    <row r="29" spans="1:5" ht="12.75">
      <c r="A29" s="66" t="s">
        <v>138</v>
      </c>
      <c r="B29" t="s">
        <v>186</v>
      </c>
      <c r="C29" s="295"/>
      <c r="D29" s="295"/>
      <c r="E29" s="312">
        <f t="shared" si="0"/>
        <v>0</v>
      </c>
    </row>
    <row r="30" spans="1:5" ht="12.75">
      <c r="A30" s="66" t="s">
        <v>139</v>
      </c>
      <c r="B30" t="s">
        <v>186</v>
      </c>
      <c r="C30" s="295"/>
      <c r="D30" s="295"/>
      <c r="E30" s="312">
        <f t="shared" si="0"/>
        <v>0</v>
      </c>
    </row>
    <row r="31" spans="1:5" ht="12.75">
      <c r="A31" s="66" t="s">
        <v>253</v>
      </c>
      <c r="B31" t="s">
        <v>186</v>
      </c>
      <c r="C31" s="295"/>
      <c r="D31" s="295"/>
      <c r="E31" s="312">
        <f t="shared" si="0"/>
        <v>0</v>
      </c>
    </row>
    <row r="32" spans="1:5" ht="12.75">
      <c r="A32" s="66" t="s">
        <v>140</v>
      </c>
      <c r="B32" t="s">
        <v>186</v>
      </c>
      <c r="C32" s="295">
        <v>109974</v>
      </c>
      <c r="D32" s="295"/>
      <c r="E32" s="312">
        <f t="shared" si="0"/>
        <v>109974</v>
      </c>
    </row>
    <row r="33" spans="1:5" ht="12.75">
      <c r="A33" s="66" t="s">
        <v>141</v>
      </c>
      <c r="B33" t="s">
        <v>186</v>
      </c>
      <c r="C33" s="295"/>
      <c r="D33" s="295"/>
      <c r="E33" s="312">
        <f t="shared" si="0"/>
        <v>0</v>
      </c>
    </row>
    <row r="34" spans="1:5" ht="12.75">
      <c r="A34" s="66" t="s">
        <v>142</v>
      </c>
      <c r="B34" t="s">
        <v>186</v>
      </c>
      <c r="C34" s="295"/>
      <c r="D34" s="295"/>
      <c r="E34" s="312">
        <f t="shared" si="0"/>
        <v>0</v>
      </c>
    </row>
    <row r="35" spans="1:5" ht="12.75">
      <c r="A35" s="66" t="s">
        <v>192</v>
      </c>
      <c r="B35" t="s">
        <v>186</v>
      </c>
      <c r="C35" s="295"/>
      <c r="D35" s="295"/>
      <c r="E35" s="312">
        <f t="shared" si="0"/>
        <v>0</v>
      </c>
    </row>
    <row r="36" spans="1:5" ht="12.75">
      <c r="A36" s="66" t="s">
        <v>475</v>
      </c>
      <c r="B36" t="s">
        <v>186</v>
      </c>
      <c r="C36" s="295"/>
      <c r="D36" s="295"/>
      <c r="E36" s="312">
        <f t="shared" si="0"/>
        <v>0</v>
      </c>
    </row>
    <row r="37" spans="1:5" ht="12.75">
      <c r="A37" s="66"/>
      <c r="B37" t="s">
        <v>186</v>
      </c>
      <c r="C37" s="295"/>
      <c r="D37" s="295"/>
      <c r="E37" s="312">
        <f t="shared" si="0"/>
        <v>0</v>
      </c>
    </row>
    <row r="38" spans="2:5" ht="12.75">
      <c r="B38" t="s">
        <v>186</v>
      </c>
      <c r="C38" s="295"/>
      <c r="D38" s="295"/>
      <c r="E38" s="250">
        <f t="shared" si="0"/>
        <v>0</v>
      </c>
    </row>
    <row r="39" spans="2:5" ht="12.75">
      <c r="B39" t="s">
        <v>186</v>
      </c>
      <c r="C39" s="294"/>
      <c r="D39" s="295"/>
      <c r="E39" s="250">
        <f t="shared" si="0"/>
        <v>0</v>
      </c>
    </row>
    <row r="40" spans="1:5" ht="12.75">
      <c r="A40" s="67" t="s">
        <v>203</v>
      </c>
      <c r="B40" t="s">
        <v>186</v>
      </c>
      <c r="C40" s="294"/>
      <c r="D40" s="294"/>
      <c r="E40" s="250">
        <f t="shared" si="0"/>
        <v>0</v>
      </c>
    </row>
    <row r="41" spans="1:5" ht="12.75">
      <c r="A41" s="66"/>
      <c r="B41" t="s">
        <v>186</v>
      </c>
      <c r="C41" s="294"/>
      <c r="D41" s="294"/>
      <c r="E41" s="250">
        <f t="shared" si="0"/>
        <v>0</v>
      </c>
    </row>
    <row r="42" spans="1:5" ht="12.75">
      <c r="A42" s="66"/>
      <c r="B42" t="s">
        <v>186</v>
      </c>
      <c r="C42" s="294"/>
      <c r="D42" s="294"/>
      <c r="E42" s="250">
        <f t="shared" si="0"/>
        <v>0</v>
      </c>
    </row>
    <row r="43" spans="1:5" ht="12.75">
      <c r="A43" s="66"/>
      <c r="B43" t="s">
        <v>186</v>
      </c>
      <c r="C43" s="294"/>
      <c r="D43" s="294"/>
      <c r="E43" s="250">
        <f t="shared" si="0"/>
        <v>0</v>
      </c>
    </row>
    <row r="44" spans="1:5" ht="12.75">
      <c r="A44" s="66"/>
      <c r="B44" t="s">
        <v>186</v>
      </c>
      <c r="C44" s="294"/>
      <c r="D44" s="294"/>
      <c r="E44" s="250">
        <f t="shared" si="0"/>
        <v>0</v>
      </c>
    </row>
    <row r="45" spans="1:5" ht="12.75">
      <c r="A45" s="66"/>
      <c r="B45" t="s">
        <v>186</v>
      </c>
      <c r="C45" s="294"/>
      <c r="D45" s="294"/>
      <c r="E45" s="279"/>
    </row>
    <row r="46" spans="1:5" ht="12.75">
      <c r="A46" s="69" t="s">
        <v>169</v>
      </c>
      <c r="B46" t="s">
        <v>188</v>
      </c>
      <c r="C46" s="250">
        <f>SUM(C17:C45)</f>
        <v>109974</v>
      </c>
      <c r="D46" s="250">
        <f>SUM(D17:D45)</f>
        <v>0</v>
      </c>
      <c r="E46" s="250">
        <f>SUM(E17:E45)</f>
        <v>109974</v>
      </c>
    </row>
    <row r="47" ht="12.75">
      <c r="A47" s="66"/>
    </row>
    <row r="48" ht="12.75">
      <c r="A48" s="66" t="s">
        <v>171</v>
      </c>
    </row>
    <row r="49" spans="1:5" ht="12.75">
      <c r="A49" s="275" t="str">
        <f>IF($E17&gt;$C$11,A17," ")</f>
        <v> </v>
      </c>
      <c r="B49" s="273"/>
      <c r="C49" s="250">
        <f aca="true" t="shared" si="1" ref="C49:E72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 aca="true" t="shared" si="2" ref="A50:A70"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 t="shared" si="2"/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 t="shared" si="2"/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t="shared" si="2"/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 t="shared" si="2"/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 t="shared" si="2"/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 t="shared" si="2"/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 t="shared" si="2"/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 t="shared" si="2"/>
        <v>Recapture of SR&amp;ED expenditures</v>
      </c>
      <c r="B64" s="273"/>
      <c r="C64" s="250">
        <f t="shared" si="1"/>
        <v>109974</v>
      </c>
      <c r="D64" s="250">
        <f t="shared" si="1"/>
        <v>0</v>
      </c>
      <c r="E64" s="250">
        <f t="shared" si="1"/>
        <v>109974</v>
      </c>
    </row>
    <row r="65" spans="1:5" ht="12.75">
      <c r="A65" s="275" t="str">
        <f t="shared" si="2"/>
        <v> </v>
      </c>
      <c r="B65" s="273"/>
      <c r="C65" s="250">
        <f t="shared" si="1"/>
        <v>0</v>
      </c>
      <c r="D65" s="250">
        <f t="shared" si="1"/>
        <v>0</v>
      </c>
      <c r="E65" s="250">
        <f t="shared" si="1"/>
        <v>0</v>
      </c>
    </row>
    <row r="66" spans="1:5" ht="12.75">
      <c r="A66" s="275" t="str">
        <f t="shared" si="2"/>
        <v> </v>
      </c>
      <c r="B66" s="273"/>
      <c r="C66" s="250">
        <f t="shared" si="1"/>
        <v>0</v>
      </c>
      <c r="D66" s="250">
        <f t="shared" si="1"/>
        <v>0</v>
      </c>
      <c r="E66" s="250">
        <f t="shared" si="1"/>
        <v>0</v>
      </c>
    </row>
    <row r="67" spans="1:5" ht="12.75">
      <c r="A67" s="275" t="str">
        <f t="shared" si="2"/>
        <v> </v>
      </c>
      <c r="B67" s="273"/>
      <c r="C67" s="250">
        <f t="shared" si="1"/>
        <v>0</v>
      </c>
      <c r="D67" s="250">
        <f t="shared" si="1"/>
        <v>0</v>
      </c>
      <c r="E67" s="250">
        <f t="shared" si="1"/>
        <v>0</v>
      </c>
    </row>
    <row r="68" spans="1:5" ht="12.75">
      <c r="A68" s="275" t="str">
        <f t="shared" si="2"/>
        <v> </v>
      </c>
      <c r="B68" s="273"/>
      <c r="C68" s="250">
        <f t="shared" si="1"/>
        <v>0</v>
      </c>
      <c r="D68" s="250">
        <f t="shared" si="1"/>
        <v>0</v>
      </c>
      <c r="E68" s="250">
        <f t="shared" si="1"/>
        <v>0</v>
      </c>
    </row>
    <row r="69" spans="1:5" ht="12.75">
      <c r="A69" s="275" t="str">
        <f t="shared" si="2"/>
        <v> </v>
      </c>
      <c r="B69" s="273"/>
      <c r="C69" s="250">
        <f t="shared" si="1"/>
        <v>0</v>
      </c>
      <c r="D69" s="250">
        <f t="shared" si="1"/>
        <v>0</v>
      </c>
      <c r="E69" s="250">
        <f t="shared" si="1"/>
        <v>0</v>
      </c>
    </row>
    <row r="70" spans="1:5" ht="12.75">
      <c r="A70" s="275" t="str">
        <f t="shared" si="2"/>
        <v> </v>
      </c>
      <c r="B70" s="273"/>
      <c r="C70" s="250">
        <f t="shared" si="1"/>
        <v>0</v>
      </c>
      <c r="D70" s="250">
        <f t="shared" si="1"/>
        <v>0</v>
      </c>
      <c r="E70" s="250">
        <f t="shared" si="1"/>
        <v>0</v>
      </c>
    </row>
    <row r="71" spans="1:5" ht="12.75">
      <c r="A71" s="275" t="str">
        <f aca="true" t="shared" si="3" ref="A71:A76">IF($E40&gt;$C$11,A40," ")</f>
        <v> </v>
      </c>
      <c r="B71" s="273"/>
      <c r="C71" s="250">
        <f t="shared" si="1"/>
        <v>0</v>
      </c>
      <c r="D71" s="250">
        <f t="shared" si="1"/>
        <v>0</v>
      </c>
      <c r="E71" s="250">
        <f t="shared" si="1"/>
        <v>0</v>
      </c>
    </row>
    <row r="72" spans="1:5" ht="12.75">
      <c r="A72" s="275" t="str">
        <f t="shared" si="3"/>
        <v> </v>
      </c>
      <c r="B72" s="273"/>
      <c r="C72" s="250">
        <f t="shared" si="1"/>
        <v>0</v>
      </c>
      <c r="D72" s="250">
        <f t="shared" si="1"/>
        <v>0</v>
      </c>
      <c r="E72" s="250">
        <f t="shared" si="1"/>
        <v>0</v>
      </c>
    </row>
    <row r="73" spans="1:5" ht="12.75">
      <c r="A73" s="275" t="str">
        <f t="shared" si="3"/>
        <v> </v>
      </c>
      <c r="B73" s="273"/>
      <c r="C73" s="250">
        <f aca="true" t="shared" si="4" ref="C73:D76">IF($E42&gt;$C$11,C42,)</f>
        <v>0</v>
      </c>
      <c r="D73" s="250">
        <f t="shared" si="4"/>
        <v>0</v>
      </c>
      <c r="E73" s="250">
        <f>IF($E41&gt;$C$11,E41,)</f>
        <v>0</v>
      </c>
    </row>
    <row r="74" spans="1:5" ht="12.75">
      <c r="A74" s="275" t="str">
        <f t="shared" si="3"/>
        <v> </v>
      </c>
      <c r="B74" s="273"/>
      <c r="C74" s="250">
        <f t="shared" si="4"/>
        <v>0</v>
      </c>
      <c r="D74" s="250">
        <f t="shared" si="4"/>
        <v>0</v>
      </c>
      <c r="E74" s="250">
        <f>IF($E42&gt;$C$11,E42,)</f>
        <v>0</v>
      </c>
    </row>
    <row r="75" spans="1:5" ht="12.75">
      <c r="A75" s="275" t="str">
        <f t="shared" si="3"/>
        <v> </v>
      </c>
      <c r="B75" s="273"/>
      <c r="C75" s="250">
        <f t="shared" si="4"/>
        <v>0</v>
      </c>
      <c r="D75" s="250">
        <f t="shared" si="4"/>
        <v>0</v>
      </c>
      <c r="E75" s="250">
        <f>IF($E43&gt;$C$11,E43,)</f>
        <v>0</v>
      </c>
    </row>
    <row r="76" spans="1:5" ht="12.75">
      <c r="A76" s="275" t="str">
        <f t="shared" si="3"/>
        <v> </v>
      </c>
      <c r="B76" s="274"/>
      <c r="C76" s="250">
        <f t="shared" si="4"/>
        <v>0</v>
      </c>
      <c r="D76" s="250">
        <f t="shared" si="4"/>
        <v>0</v>
      </c>
      <c r="E76" s="250">
        <f>IF($E44&gt;$C$11,E44,)</f>
        <v>0</v>
      </c>
    </row>
    <row r="77" spans="1:5" ht="12.75">
      <c r="A77" s="276" t="s">
        <v>143</v>
      </c>
      <c r="B77" s="273"/>
      <c r="C77" s="250">
        <f>SUM(C49:C75)</f>
        <v>109974</v>
      </c>
      <c r="D77" s="250">
        <f>SUM(D49:D75)</f>
        <v>0</v>
      </c>
      <c r="E77" s="250">
        <f>SUM(E49:E75)</f>
        <v>109974</v>
      </c>
    </row>
    <row r="78" spans="1:5" ht="12.75">
      <c r="A78" s="276" t="s">
        <v>202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169</v>
      </c>
      <c r="B79" s="277"/>
      <c r="C79" s="314">
        <f>C77+C78</f>
        <v>109974</v>
      </c>
      <c r="D79" s="314">
        <f>D77+D78</f>
        <v>0</v>
      </c>
      <c r="E79" s="314">
        <f>E77+E78</f>
        <v>109974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4"/>
      <c r="D82" s="294"/>
      <c r="E82" s="250">
        <f>C82-D82</f>
        <v>0</v>
      </c>
    </row>
    <row r="83" spans="1:5" ht="12.75">
      <c r="A83" s="70" t="s">
        <v>151</v>
      </c>
      <c r="B83" s="8" t="s">
        <v>187</v>
      </c>
      <c r="C83" s="294"/>
      <c r="D83" s="294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4"/>
      <c r="D84" s="294"/>
      <c r="E84" s="250">
        <f t="shared" si="5"/>
        <v>0</v>
      </c>
    </row>
    <row r="85" spans="1:5" ht="12.75">
      <c r="A85" s="70" t="s">
        <v>254</v>
      </c>
      <c r="B85" s="8" t="s">
        <v>187</v>
      </c>
      <c r="C85" s="294"/>
      <c r="D85" s="294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4">
        <v>628609</v>
      </c>
      <c r="D86" s="294"/>
      <c r="E86" s="250">
        <f t="shared" si="5"/>
        <v>628609</v>
      </c>
    </row>
    <row r="87" spans="1:5" ht="12.75">
      <c r="A87" s="66" t="s">
        <v>376</v>
      </c>
      <c r="B87" s="8" t="s">
        <v>187</v>
      </c>
      <c r="C87" s="294"/>
      <c r="D87" s="294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4"/>
      <c r="D88" s="294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4"/>
      <c r="D89" s="294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4"/>
      <c r="D90" s="294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4"/>
      <c r="D91" s="294"/>
      <c r="E91" s="250">
        <f t="shared" si="5"/>
        <v>0</v>
      </c>
    </row>
    <row r="92" spans="2:5" ht="12.75">
      <c r="B92" s="8" t="s">
        <v>187</v>
      </c>
      <c r="C92" s="294"/>
      <c r="D92" s="294"/>
      <c r="E92" s="250"/>
    </row>
    <row r="93" spans="1:5" ht="12.75">
      <c r="A93" s="66"/>
      <c r="B93" s="8" t="s">
        <v>187</v>
      </c>
      <c r="C93" s="294"/>
      <c r="D93" s="294"/>
      <c r="E93" s="250">
        <f t="shared" si="5"/>
        <v>0</v>
      </c>
    </row>
    <row r="94" spans="1:5" ht="12.75">
      <c r="A94" s="66"/>
      <c r="B94" s="8" t="s">
        <v>187</v>
      </c>
      <c r="C94" s="294"/>
      <c r="D94" s="294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4"/>
      <c r="D95" s="294"/>
      <c r="E95" s="250">
        <f t="shared" si="5"/>
        <v>0</v>
      </c>
    </row>
    <row r="96" spans="1:5" ht="12.75">
      <c r="A96" s="66" t="s">
        <v>476</v>
      </c>
      <c r="B96" s="8" t="s">
        <v>187</v>
      </c>
      <c r="C96" s="294">
        <v>0</v>
      </c>
      <c r="D96" s="294"/>
      <c r="E96" s="250">
        <f t="shared" si="5"/>
        <v>0</v>
      </c>
    </row>
    <row r="97" spans="1:5" ht="12.75">
      <c r="A97" s="66"/>
      <c r="B97" s="8" t="s">
        <v>187</v>
      </c>
      <c r="C97" s="294"/>
      <c r="D97" s="294"/>
      <c r="E97" s="250">
        <f t="shared" si="5"/>
        <v>0</v>
      </c>
    </row>
    <row r="98" spans="1:5" ht="12.75">
      <c r="A98" s="66"/>
      <c r="B98" s="8" t="s">
        <v>187</v>
      </c>
      <c r="C98" s="294"/>
      <c r="D98" s="294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628609</v>
      </c>
      <c r="D99" s="250">
        <f>SUM(D82:D98)</f>
        <v>0</v>
      </c>
      <c r="E99" s="250">
        <f>SUM(E82:E98)</f>
        <v>628609</v>
      </c>
    </row>
    <row r="100" ht="12.75">
      <c r="A100" s="66"/>
    </row>
    <row r="101" ht="12.75">
      <c r="A101" s="66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Scientific research expenses claimed in year from Form T661</v>
      </c>
      <c r="B106" s="273"/>
      <c r="C106" s="250">
        <f t="shared" si="7"/>
        <v>628609</v>
      </c>
      <c r="D106" s="250">
        <f t="shared" si="7"/>
        <v>0</v>
      </c>
      <c r="E106" s="250">
        <f t="shared" si="7"/>
        <v>628609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201</v>
      </c>
      <c r="B119" s="273"/>
      <c r="C119" s="250">
        <f>SUM(C102:C118)</f>
        <v>628609</v>
      </c>
      <c r="D119" s="250">
        <f>SUM(D102:D118)</f>
        <v>0</v>
      </c>
      <c r="E119" s="250">
        <f>SUM(E102:E118)</f>
        <v>628609</v>
      </c>
    </row>
    <row r="120" spans="1:5" ht="12.75">
      <c r="A120" s="278" t="s">
        <v>200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170</v>
      </c>
      <c r="B121" s="273"/>
      <c r="C121" s="250">
        <f>C119+C120</f>
        <v>628609</v>
      </c>
      <c r="D121" s="250">
        <f>D119+D120</f>
        <v>0</v>
      </c>
      <c r="E121" s="250">
        <f>E119+E120</f>
        <v>628609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D72" sqref="D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384</v>
      </c>
      <c r="E3" s="91"/>
    </row>
    <row r="4" spans="1:6" ht="15.7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 Falls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5"/>
      <c r="D19" s="295"/>
      <c r="E19" s="312">
        <f aca="true" t="shared" si="0" ref="E19:E45">C19-D19</f>
        <v>0</v>
      </c>
    </row>
    <row r="20" spans="1:5" ht="12.75">
      <c r="A20" t="s">
        <v>387</v>
      </c>
      <c r="B20" t="s">
        <v>186</v>
      </c>
      <c r="C20" s="295"/>
      <c r="D20" s="295"/>
      <c r="E20" s="312">
        <f t="shared" si="0"/>
        <v>0</v>
      </c>
    </row>
    <row r="21" spans="1:5" ht="12.75">
      <c r="A21" t="s">
        <v>453</v>
      </c>
      <c r="B21" t="s">
        <v>186</v>
      </c>
      <c r="C21" s="295"/>
      <c r="D21" s="295"/>
      <c r="E21" s="312">
        <f t="shared" si="0"/>
        <v>0</v>
      </c>
    </row>
    <row r="22" spans="1:5" ht="12.75">
      <c r="A22" s="66" t="s">
        <v>390</v>
      </c>
      <c r="B22" t="s">
        <v>186</v>
      </c>
      <c r="C22" s="295"/>
      <c r="D22" s="313"/>
      <c r="E22" s="312">
        <f t="shared" si="0"/>
        <v>0</v>
      </c>
    </row>
    <row r="23" spans="1:5" ht="12.75">
      <c r="A23" s="66" t="s">
        <v>391</v>
      </c>
      <c r="B23" t="s">
        <v>186</v>
      </c>
      <c r="C23" s="295"/>
      <c r="D23" s="295"/>
      <c r="E23" s="312">
        <f t="shared" si="0"/>
        <v>0</v>
      </c>
    </row>
    <row r="24" spans="1:5" ht="12.75">
      <c r="A24" s="66" t="s">
        <v>454</v>
      </c>
      <c r="B24" t="s">
        <v>186</v>
      </c>
      <c r="C24" s="295"/>
      <c r="D24" s="295"/>
      <c r="E24" s="312">
        <f t="shared" si="0"/>
        <v>0</v>
      </c>
    </row>
    <row r="25" spans="1:5" ht="12.75">
      <c r="A25" s="66" t="s">
        <v>125</v>
      </c>
      <c r="B25" t="s">
        <v>186</v>
      </c>
      <c r="C25" s="295"/>
      <c r="D25" s="295"/>
      <c r="E25" s="312">
        <f t="shared" si="0"/>
        <v>0</v>
      </c>
    </row>
    <row r="26" spans="1:5" ht="12.75">
      <c r="A26" s="66" t="s">
        <v>133</v>
      </c>
      <c r="B26" t="s">
        <v>186</v>
      </c>
      <c r="C26" s="295"/>
      <c r="D26" s="295"/>
      <c r="E26" s="312">
        <f t="shared" si="0"/>
        <v>0</v>
      </c>
    </row>
    <row r="27" spans="1:5" ht="12.75">
      <c r="A27" s="66" t="s">
        <v>437</v>
      </c>
      <c r="B27" t="s">
        <v>186</v>
      </c>
      <c r="C27" s="295"/>
      <c r="D27" s="295"/>
      <c r="E27" s="312">
        <f t="shared" si="0"/>
        <v>0</v>
      </c>
    </row>
    <row r="28" spans="1:5" ht="12.75">
      <c r="A28" s="66" t="s">
        <v>389</v>
      </c>
      <c r="B28" t="s">
        <v>186</v>
      </c>
      <c r="C28" s="295"/>
      <c r="D28" s="295"/>
      <c r="E28" s="312">
        <f t="shared" si="0"/>
        <v>0</v>
      </c>
    </row>
    <row r="29" spans="1:5" ht="12.75">
      <c r="A29" s="66" t="s">
        <v>135</v>
      </c>
      <c r="B29" t="s">
        <v>186</v>
      </c>
      <c r="C29" s="295"/>
      <c r="D29" s="295"/>
      <c r="E29" s="312">
        <f t="shared" si="0"/>
        <v>0</v>
      </c>
    </row>
    <row r="30" spans="1:5" ht="12.75">
      <c r="A30" s="66" t="s">
        <v>388</v>
      </c>
      <c r="B30" t="s">
        <v>186</v>
      </c>
      <c r="C30" s="295"/>
      <c r="D30" s="295"/>
      <c r="E30" s="312">
        <f t="shared" si="0"/>
        <v>0</v>
      </c>
    </row>
    <row r="31" spans="1:5" ht="12.75">
      <c r="A31" s="66" t="s">
        <v>191</v>
      </c>
      <c r="B31" t="s">
        <v>186</v>
      </c>
      <c r="C31" s="295"/>
      <c r="D31" s="295"/>
      <c r="E31" s="312">
        <f t="shared" si="0"/>
        <v>0</v>
      </c>
    </row>
    <row r="32" spans="1:5" ht="12.75">
      <c r="A32" s="66" t="s">
        <v>432</v>
      </c>
      <c r="B32" t="s">
        <v>186</v>
      </c>
      <c r="C32" s="295"/>
      <c r="D32" s="295"/>
      <c r="E32" s="312">
        <f t="shared" si="0"/>
        <v>0</v>
      </c>
    </row>
    <row r="33" spans="1:5" ht="12.75">
      <c r="A33" s="66" t="s">
        <v>433</v>
      </c>
      <c r="B33" t="s">
        <v>186</v>
      </c>
      <c r="C33" s="295"/>
      <c r="D33" s="295"/>
      <c r="E33" s="312">
        <f t="shared" si="0"/>
        <v>0</v>
      </c>
    </row>
    <row r="34" spans="1:5" ht="12.75">
      <c r="A34" s="66" t="s">
        <v>450</v>
      </c>
      <c r="B34" t="s">
        <v>186</v>
      </c>
      <c r="C34" s="295"/>
      <c r="D34" s="295"/>
      <c r="E34" s="312">
        <f t="shared" si="0"/>
        <v>0</v>
      </c>
    </row>
    <row r="35" spans="1:5" ht="12.75">
      <c r="A35" s="80" t="s">
        <v>451</v>
      </c>
      <c r="C35" s="295"/>
      <c r="D35" s="295"/>
      <c r="E35" s="312">
        <f t="shared" si="0"/>
        <v>0</v>
      </c>
    </row>
    <row r="36" spans="1:5" ht="12.75">
      <c r="A36" s="66" t="s">
        <v>434</v>
      </c>
      <c r="C36" s="295"/>
      <c r="D36" s="295"/>
      <c r="E36" s="312">
        <f t="shared" si="0"/>
        <v>0</v>
      </c>
    </row>
    <row r="37" spans="1:5" ht="12.75">
      <c r="A37" s="66" t="s">
        <v>435</v>
      </c>
      <c r="C37" s="295"/>
      <c r="D37" s="295"/>
      <c r="E37" s="312">
        <f t="shared" si="0"/>
        <v>0</v>
      </c>
    </row>
    <row r="38" spans="1:5" ht="12.75">
      <c r="A38" s="66" t="s">
        <v>457</v>
      </c>
      <c r="C38" s="295"/>
      <c r="D38" s="295"/>
      <c r="E38" s="312">
        <f t="shared" si="0"/>
        <v>0</v>
      </c>
    </row>
    <row r="39" spans="2:5" ht="12.75">
      <c r="B39" t="s">
        <v>186</v>
      </c>
      <c r="C39" s="295"/>
      <c r="D39" s="295"/>
      <c r="E39" s="312">
        <f t="shared" si="0"/>
        <v>0</v>
      </c>
    </row>
    <row r="40" spans="1:5" ht="12.75">
      <c r="A40" s="80" t="s">
        <v>392</v>
      </c>
      <c r="B40" t="s">
        <v>186</v>
      </c>
      <c r="C40" s="295"/>
      <c r="D40" s="295"/>
      <c r="E40" s="312">
        <f t="shared" si="0"/>
        <v>0</v>
      </c>
    </row>
    <row r="41" spans="1:5" ht="12.75">
      <c r="A41" s="80" t="s">
        <v>386</v>
      </c>
      <c r="B41" t="s">
        <v>186</v>
      </c>
      <c r="C41" s="295">
        <v>1405699</v>
      </c>
      <c r="D41" s="295"/>
      <c r="E41" s="312">
        <f t="shared" si="0"/>
        <v>1405699</v>
      </c>
    </row>
    <row r="42" spans="2:5" ht="12.75">
      <c r="B42" t="s">
        <v>186</v>
      </c>
      <c r="C42" s="295"/>
      <c r="D42" s="295"/>
      <c r="E42" s="312">
        <f t="shared" si="0"/>
        <v>0</v>
      </c>
    </row>
    <row r="43" spans="1:5" ht="12.75">
      <c r="A43" s="67" t="s">
        <v>203</v>
      </c>
      <c r="B43" t="s">
        <v>186</v>
      </c>
      <c r="C43" s="295"/>
      <c r="D43" s="295"/>
      <c r="E43" s="312">
        <f t="shared" si="0"/>
        <v>0</v>
      </c>
    </row>
    <row r="44" spans="1:5" ht="12.75">
      <c r="A44" t="s">
        <v>494</v>
      </c>
      <c r="B44" t="s">
        <v>186</v>
      </c>
      <c r="C44" s="294"/>
      <c r="D44" s="294"/>
      <c r="E44" s="250">
        <f t="shared" si="0"/>
        <v>0</v>
      </c>
    </row>
    <row r="45" spans="2:5" ht="12.75">
      <c r="B45" t="s">
        <v>186</v>
      </c>
      <c r="C45" s="294"/>
      <c r="D45" s="294"/>
      <c r="E45" s="250">
        <f t="shared" si="0"/>
        <v>0</v>
      </c>
    </row>
    <row r="46" spans="1:5" ht="12.75">
      <c r="A46" s="66"/>
      <c r="B46" t="s">
        <v>186</v>
      </c>
      <c r="C46" s="294"/>
      <c r="D46" s="294"/>
      <c r="E46" s="279"/>
    </row>
    <row r="47" spans="1:5" ht="12.75">
      <c r="A47" s="449" t="s">
        <v>396</v>
      </c>
      <c r="B47" t="s">
        <v>188</v>
      </c>
      <c r="C47" s="250">
        <f>SUM(C19:C46)</f>
        <v>1405699</v>
      </c>
      <c r="D47" s="250">
        <f>SUM(D19:D46)</f>
        <v>0</v>
      </c>
      <c r="E47" s="250">
        <f>SUM(E19:E46)</f>
        <v>1405699</v>
      </c>
    </row>
    <row r="48" ht="12.75">
      <c r="A48" s="66"/>
    </row>
    <row r="49" ht="12.75">
      <c r="A49" s="80" t="s">
        <v>144</v>
      </c>
    </row>
    <row r="51" spans="1:5" ht="12.75">
      <c r="A51" s="70" t="s">
        <v>387</v>
      </c>
      <c r="B51" s="8" t="s">
        <v>187</v>
      </c>
      <c r="C51" s="294"/>
      <c r="D51" s="294"/>
      <c r="E51" s="250">
        <f aca="true" t="shared" si="1" ref="E51:E61">C51-D51</f>
        <v>0</v>
      </c>
    </row>
    <row r="52" spans="1:5" ht="12.75">
      <c r="A52" s="66" t="s">
        <v>453</v>
      </c>
      <c r="B52" s="8" t="s">
        <v>187</v>
      </c>
      <c r="C52" s="294"/>
      <c r="D52" s="294"/>
      <c r="E52" s="250">
        <f t="shared" si="1"/>
        <v>0</v>
      </c>
    </row>
    <row r="53" spans="1:5" ht="12.75">
      <c r="A53" t="s">
        <v>388</v>
      </c>
      <c r="B53" s="8" t="s">
        <v>187</v>
      </c>
      <c r="C53" s="294"/>
      <c r="D53" s="294"/>
      <c r="E53" s="250">
        <f t="shared" si="1"/>
        <v>0</v>
      </c>
    </row>
    <row r="54" spans="1:5" ht="12.75">
      <c r="A54" t="s">
        <v>436</v>
      </c>
      <c r="B54" s="8" t="s">
        <v>187</v>
      </c>
      <c r="C54" s="294"/>
      <c r="D54" s="294"/>
      <c r="E54" s="250">
        <f t="shared" si="1"/>
        <v>0</v>
      </c>
    </row>
    <row r="55" spans="1:5" ht="12.75">
      <c r="A55" s="66" t="s">
        <v>444</v>
      </c>
      <c r="B55" s="8" t="s">
        <v>187</v>
      </c>
      <c r="C55" s="294"/>
      <c r="D55" s="294"/>
      <c r="E55" s="250">
        <f t="shared" si="1"/>
        <v>0</v>
      </c>
    </row>
    <row r="56" spans="1:5" ht="12.75">
      <c r="A56" s="66" t="s">
        <v>456</v>
      </c>
      <c r="B56" s="8" t="s">
        <v>187</v>
      </c>
      <c r="C56" s="294"/>
      <c r="D56" s="294"/>
      <c r="E56" s="250">
        <f t="shared" si="1"/>
        <v>0</v>
      </c>
    </row>
    <row r="57" spans="1:5" ht="12.75">
      <c r="A57" s="2" t="s">
        <v>452</v>
      </c>
      <c r="B57" s="8" t="s">
        <v>187</v>
      </c>
      <c r="C57" s="294"/>
      <c r="D57" s="294"/>
      <c r="E57" s="250">
        <f t="shared" si="1"/>
        <v>0</v>
      </c>
    </row>
    <row r="58" spans="1:5" ht="12.75">
      <c r="A58" s="66" t="s">
        <v>455</v>
      </c>
      <c r="B58" s="8" t="s">
        <v>187</v>
      </c>
      <c r="C58" s="294"/>
      <c r="D58" s="294"/>
      <c r="E58" s="250">
        <f t="shared" si="1"/>
        <v>0</v>
      </c>
    </row>
    <row r="59" spans="1:5" ht="12.75">
      <c r="A59" s="66"/>
      <c r="B59" s="8" t="s">
        <v>187</v>
      </c>
      <c r="C59" s="294"/>
      <c r="D59" s="294"/>
      <c r="E59" s="250">
        <f t="shared" si="1"/>
        <v>0</v>
      </c>
    </row>
    <row r="60" spans="2:5" ht="12.75">
      <c r="B60" s="8" t="s">
        <v>187</v>
      </c>
      <c r="C60" s="294"/>
      <c r="D60" s="294"/>
      <c r="E60" s="250">
        <f t="shared" si="1"/>
        <v>0</v>
      </c>
    </row>
    <row r="61" spans="2:5" ht="12.75">
      <c r="B61" s="8" t="s">
        <v>187</v>
      </c>
      <c r="C61" s="294"/>
      <c r="D61" s="294"/>
      <c r="E61" s="250">
        <f t="shared" si="1"/>
        <v>0</v>
      </c>
    </row>
    <row r="62" spans="2:5" ht="12.75">
      <c r="B62" s="8" t="s">
        <v>187</v>
      </c>
      <c r="C62" s="294"/>
      <c r="D62" s="294"/>
      <c r="E62" s="250">
        <f aca="true" t="shared" si="2" ref="E62:E72">C62-D62</f>
        <v>0</v>
      </c>
    </row>
    <row r="63" spans="2:5" ht="12.75">
      <c r="B63" s="8" t="s">
        <v>187</v>
      </c>
      <c r="C63" s="294"/>
      <c r="D63" s="294"/>
      <c r="E63" s="250">
        <f t="shared" si="2"/>
        <v>0</v>
      </c>
    </row>
    <row r="64" spans="1:5" ht="12.75">
      <c r="A64" s="468" t="s">
        <v>393</v>
      </c>
      <c r="B64" s="8" t="s">
        <v>187</v>
      </c>
      <c r="C64" s="294"/>
      <c r="D64" s="294"/>
      <c r="E64" s="250">
        <f t="shared" si="2"/>
        <v>0</v>
      </c>
    </row>
    <row r="65" spans="2:5" ht="12.75">
      <c r="B65" s="8" t="s">
        <v>187</v>
      </c>
      <c r="C65" s="294"/>
      <c r="D65" s="294"/>
      <c r="E65" s="250">
        <f t="shared" si="2"/>
        <v>0</v>
      </c>
    </row>
    <row r="66" spans="1:5" ht="12.75">
      <c r="A66" s="468" t="s">
        <v>386</v>
      </c>
      <c r="B66" s="8" t="s">
        <v>187</v>
      </c>
      <c r="C66" s="294">
        <v>214818</v>
      </c>
      <c r="D66" s="294"/>
      <c r="E66" s="250">
        <f t="shared" si="2"/>
        <v>214818</v>
      </c>
    </row>
    <row r="67" spans="1:5" ht="12.75">
      <c r="A67" s="66"/>
      <c r="B67" s="8" t="s">
        <v>187</v>
      </c>
      <c r="C67" s="294"/>
      <c r="D67" s="294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4"/>
      <c r="D68" s="294"/>
      <c r="E68" s="250">
        <f t="shared" si="2"/>
        <v>0</v>
      </c>
    </row>
    <row r="69" spans="1:5" ht="12.75">
      <c r="A69" s="66"/>
      <c r="B69" s="8" t="s">
        <v>187</v>
      </c>
      <c r="C69" s="294"/>
      <c r="D69" s="294"/>
      <c r="E69" s="250">
        <f t="shared" si="2"/>
        <v>0</v>
      </c>
    </row>
    <row r="70" spans="1:5" ht="12.75">
      <c r="A70" s="66"/>
      <c r="B70" s="8" t="s">
        <v>187</v>
      </c>
      <c r="C70" s="294"/>
      <c r="D70" s="294"/>
      <c r="E70" s="250">
        <f t="shared" si="2"/>
        <v>0</v>
      </c>
    </row>
    <row r="71" spans="1:5" ht="12.75">
      <c r="A71" s="66"/>
      <c r="B71" s="8" t="s">
        <v>187</v>
      </c>
      <c r="C71" s="294"/>
      <c r="D71" s="294"/>
      <c r="E71" s="250">
        <f t="shared" si="2"/>
        <v>0</v>
      </c>
    </row>
    <row r="72" spans="1:5" ht="12.75">
      <c r="A72" s="66"/>
      <c r="B72" s="8" t="s">
        <v>187</v>
      </c>
      <c r="C72" s="294"/>
      <c r="D72" s="294"/>
      <c r="E72" s="279">
        <f t="shared" si="2"/>
        <v>0</v>
      </c>
    </row>
    <row r="73" spans="1:5" ht="12.75">
      <c r="A73" s="448" t="s">
        <v>395</v>
      </c>
      <c r="B73" s="8" t="s">
        <v>188</v>
      </c>
      <c r="C73" s="250">
        <f>SUM(C51:C72)</f>
        <v>214818</v>
      </c>
      <c r="D73" s="250">
        <f>SUM(D51:D72)</f>
        <v>0</v>
      </c>
      <c r="E73" s="250">
        <f>SUM(E51:E72)</f>
        <v>214818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D72" sqref="D7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 t="s">
        <v>306</v>
      </c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Niagara Falls Hydro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410" t="s">
        <v>336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8" t="s">
        <v>483</v>
      </c>
      <c r="B8" s="499"/>
      <c r="C8" s="499"/>
      <c r="D8" s="499"/>
      <c r="E8" s="342"/>
      <c r="F8" s="38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468</v>
      </c>
      <c r="B10" s="326"/>
      <c r="C10" s="375" t="s">
        <v>111</v>
      </c>
      <c r="D10" s="375"/>
      <c r="E10" s="375" t="s">
        <v>111</v>
      </c>
      <c r="F10" s="376" t="s">
        <v>488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299</v>
      </c>
      <c r="B13" s="409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298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303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259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331</v>
      </c>
      <c r="B21" s="406" t="s">
        <v>473</v>
      </c>
      <c r="C21" s="361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332</v>
      </c>
      <c r="B22" s="407" t="s">
        <v>474</v>
      </c>
      <c r="C22" s="362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2" t="s">
        <v>492</v>
      </c>
      <c r="B23" s="493"/>
      <c r="C23" s="493"/>
      <c r="D23" s="493"/>
      <c r="E23" s="493"/>
      <c r="F23" s="493"/>
      <c r="G23" s="438"/>
      <c r="H23" s="420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1"/>
      <c r="B24" s="412"/>
      <c r="C24" s="412"/>
      <c r="D24" s="412"/>
      <c r="E24" s="412"/>
      <c r="F24" s="412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9"/>
      <c r="B25" s="380"/>
      <c r="C25" s="383"/>
      <c r="D25" s="342"/>
      <c r="E25" s="342"/>
      <c r="F25" s="410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0" t="s">
        <v>484</v>
      </c>
      <c r="B26" s="501"/>
      <c r="C26" s="501"/>
      <c r="D26" s="501"/>
      <c r="E26" s="501"/>
      <c r="F26" s="50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440</v>
      </c>
      <c r="B28" s="326"/>
      <c r="C28" s="369" t="s">
        <v>111</v>
      </c>
      <c r="D28" s="369"/>
      <c r="E28" s="369" t="s">
        <v>111</v>
      </c>
      <c r="F28" s="370" t="s">
        <v>488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115</v>
      </c>
      <c r="B31" s="409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298</v>
      </c>
      <c r="B32" s="409">
        <v>2003</v>
      </c>
      <c r="C32" s="327">
        <v>0.1312</v>
      </c>
      <c r="D32" s="327"/>
      <c r="E32" s="328"/>
      <c r="F32" s="328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259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109</v>
      </c>
      <c r="B36" s="409">
        <v>2003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110</v>
      </c>
      <c r="B37" s="409">
        <v>2003</v>
      </c>
      <c r="C37" s="334">
        <v>0.00225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113</v>
      </c>
      <c r="B38" s="409">
        <v>2003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485</v>
      </c>
      <c r="B39" s="406" t="s">
        <v>473</v>
      </c>
      <c r="C39" s="361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486</v>
      </c>
      <c r="B40" s="407" t="s">
        <v>474</v>
      </c>
      <c r="C40" s="362">
        <v>10000000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4" t="s">
        <v>334</v>
      </c>
      <c r="B41" s="493"/>
      <c r="C41" s="493"/>
      <c r="D41" s="493"/>
      <c r="E41" s="493"/>
      <c r="F41" s="493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5"/>
      <c r="B42" s="495"/>
      <c r="C42" s="495"/>
      <c r="D42" s="495"/>
      <c r="E42" s="495"/>
      <c r="F42" s="495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9"/>
      <c r="B43" s="380"/>
      <c r="C43" s="381"/>
      <c r="D43" s="380"/>
      <c r="E43" s="380"/>
      <c r="F43" s="410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8" t="s">
        <v>487</v>
      </c>
      <c r="B44" s="365"/>
      <c r="C44" s="366"/>
      <c r="D44" s="365"/>
      <c r="E44" s="342"/>
      <c r="F44" s="382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472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3" t="s">
        <v>115</v>
      </c>
      <c r="B49" s="409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3" t="s">
        <v>298</v>
      </c>
      <c r="B50" s="244"/>
      <c r="C50" s="351">
        <v>0.1312</v>
      </c>
      <c r="D50" s="351"/>
      <c r="E50" s="352">
        <v>0</v>
      </c>
      <c r="F50" s="352">
        <v>0.2412</v>
      </c>
      <c r="G50" s="193"/>
      <c r="H50" s="487">
        <v>0.2412</v>
      </c>
      <c r="I50" s="487">
        <f>+H50-F50</f>
        <v>0</v>
      </c>
      <c r="J50" s="193"/>
      <c r="K50" s="187"/>
      <c r="L50" s="188"/>
      <c r="M50" s="188"/>
      <c r="N50" s="188"/>
      <c r="O50" s="188"/>
      <c r="P50" s="188"/>
    </row>
    <row r="51" spans="1:16" ht="13.5" thickBot="1">
      <c r="A51" s="323" t="s">
        <v>29</v>
      </c>
      <c r="B51" s="244"/>
      <c r="C51" s="353">
        <v>0.06</v>
      </c>
      <c r="D51" s="353"/>
      <c r="E51" s="354">
        <v>0</v>
      </c>
      <c r="F51" s="354">
        <v>0.125</v>
      </c>
      <c r="G51" s="193"/>
      <c r="H51" s="487">
        <v>0.125</v>
      </c>
      <c r="I51" s="487">
        <f>+H51-F51</f>
        <v>0</v>
      </c>
      <c r="J51" s="193"/>
      <c r="K51" s="187"/>
      <c r="L51" s="188"/>
      <c r="M51" s="188"/>
      <c r="N51" s="188"/>
      <c r="O51" s="188"/>
      <c r="P51" s="188"/>
    </row>
    <row r="52" spans="1:16" ht="13.5" thickBot="1">
      <c r="A52" s="323" t="s">
        <v>259</v>
      </c>
      <c r="B52" s="244"/>
      <c r="C52" s="331">
        <f>SUM(C50:C51)</f>
        <v>0.1912</v>
      </c>
      <c r="D52" s="331"/>
      <c r="E52" s="332">
        <f>SUM(E50:E51)</f>
        <v>0</v>
      </c>
      <c r="F52" s="332">
        <f>SUM(F50:F51)</f>
        <v>0.36619999999999997</v>
      </c>
      <c r="G52" s="193"/>
      <c r="H52" s="487">
        <f>+H51+H50</f>
        <v>0.36619999999999997</v>
      </c>
      <c r="I52" s="487">
        <f>+H52-F52</f>
        <v>0</v>
      </c>
      <c r="J52" s="193"/>
      <c r="K52" s="187"/>
      <c r="L52" s="188"/>
      <c r="M52" s="188"/>
      <c r="N52" s="188"/>
      <c r="O52" s="188"/>
      <c r="P52" s="188"/>
    </row>
    <row r="53" spans="1:16" ht="13.5" thickBot="1">
      <c r="A53" s="323"/>
      <c r="B53" s="244"/>
      <c r="C53" s="351"/>
      <c r="D53" s="351"/>
      <c r="E53" s="352"/>
      <c r="F53" s="352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2" t="s">
        <v>110</v>
      </c>
      <c r="B55" s="237"/>
      <c r="C55" s="356">
        <v>0.00225</v>
      </c>
      <c r="D55" s="357"/>
      <c r="E55" s="358"/>
      <c r="F55" s="358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4" t="s">
        <v>348</v>
      </c>
      <c r="B57" s="406" t="s">
        <v>473</v>
      </c>
      <c r="C57" s="361">
        <v>4955170</v>
      </c>
      <c r="D57" s="359"/>
      <c r="E57" s="360"/>
      <c r="F57" s="360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4" t="s">
        <v>349</v>
      </c>
      <c r="B58" s="407" t="s">
        <v>474</v>
      </c>
      <c r="C58" s="362">
        <v>10000000</v>
      </c>
      <c r="D58" s="363"/>
      <c r="E58" s="364"/>
      <c r="F58" s="364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2" t="s">
        <v>350</v>
      </c>
      <c r="B59" s="496"/>
      <c r="C59" s="496"/>
      <c r="D59" s="496"/>
      <c r="E59" s="496"/>
      <c r="F59" s="496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7"/>
      <c r="B60" s="497"/>
      <c r="C60" s="497"/>
      <c r="D60" s="497"/>
      <c r="E60" s="497"/>
      <c r="F60" s="497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E18" sqref="E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Niagara Falls Hydro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320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4">
        <v>0</v>
      </c>
      <c r="D11" s="390"/>
      <c r="E11" s="396">
        <f>C22</f>
        <v>76695</v>
      </c>
      <c r="F11" s="419"/>
      <c r="G11" s="396">
        <f>E22</f>
        <v>-11627</v>
      </c>
      <c r="H11" s="419"/>
      <c r="I11" s="396">
        <f>G22</f>
        <v>-554519.6711013365</v>
      </c>
      <c r="J11" s="390"/>
      <c r="K11" s="396">
        <f>I22</f>
        <v>-554519.6711013365</v>
      </c>
      <c r="L11" s="390"/>
      <c r="M11" s="396">
        <f>K22</f>
        <v>-554519.6711013365</v>
      </c>
      <c r="N11" s="390"/>
      <c r="O11" s="396">
        <f>C11</f>
        <v>0</v>
      </c>
    </row>
    <row r="12" spans="1:15" ht="27" customHeight="1">
      <c r="A12" s="80" t="s">
        <v>397</v>
      </c>
      <c r="B12" s="65" t="s">
        <v>189</v>
      </c>
      <c r="C12" s="395"/>
      <c r="D12" s="391"/>
      <c r="E12" s="395"/>
      <c r="F12" s="94"/>
      <c r="G12" s="418">
        <f>C12+E12</f>
        <v>0</v>
      </c>
      <c r="H12" s="94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0" t="s">
        <v>439</v>
      </c>
      <c r="B13" s="65"/>
      <c r="C13" s="418"/>
      <c r="D13" s="391"/>
      <c r="E13" s="418"/>
      <c r="F13" s="94"/>
      <c r="G13" s="418"/>
      <c r="H13" s="94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0" t="s">
        <v>398</v>
      </c>
      <c r="B14" s="65" t="s">
        <v>189</v>
      </c>
      <c r="C14" s="395"/>
      <c r="D14" s="391"/>
      <c r="E14" s="395"/>
      <c r="F14" s="94"/>
      <c r="G14" s="395"/>
      <c r="H14" s="94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0" t="s">
        <v>399</v>
      </c>
      <c r="B15" s="65" t="s">
        <v>189</v>
      </c>
      <c r="C15" s="395">
        <v>56827</v>
      </c>
      <c r="D15" s="391"/>
      <c r="E15" s="395">
        <v>-128384</v>
      </c>
      <c r="F15" s="94"/>
      <c r="G15" s="418">
        <f>TAXCALC!E132</f>
        <v>-462083.65054263565</v>
      </c>
      <c r="H15" s="94"/>
      <c r="I15" s="395"/>
      <c r="J15" s="391"/>
      <c r="K15" s="395"/>
      <c r="L15" s="391"/>
      <c r="N15" s="391"/>
      <c r="O15" s="396">
        <f t="shared" si="0"/>
        <v>-533640.6505426357</v>
      </c>
    </row>
    <row r="16" spans="1:15" ht="27" customHeight="1">
      <c r="A16" s="80" t="s">
        <v>400</v>
      </c>
      <c r="B16" s="65"/>
      <c r="C16" s="395"/>
      <c r="D16" s="391"/>
      <c r="E16" s="395"/>
      <c r="F16" s="94"/>
      <c r="G16" s="395"/>
      <c r="H16" s="94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0" t="s">
        <v>401</v>
      </c>
      <c r="B17" s="65" t="s">
        <v>189</v>
      </c>
      <c r="C17" s="395">
        <v>19868</v>
      </c>
      <c r="D17" s="391"/>
      <c r="E17" s="395">
        <v>40062</v>
      </c>
      <c r="F17" s="94"/>
      <c r="G17" s="418">
        <f>TAXCALC!E181</f>
        <v>-80809.02055870081</v>
      </c>
      <c r="H17" s="94"/>
      <c r="I17" s="395"/>
      <c r="J17" s="391"/>
      <c r="K17" s="395"/>
      <c r="L17" s="391"/>
      <c r="N17" s="391"/>
      <c r="O17" s="396">
        <f t="shared" si="0"/>
        <v>-20879.02055870081</v>
      </c>
    </row>
    <row r="18" spans="1:15" ht="25.5">
      <c r="A18" s="80" t="s">
        <v>402</v>
      </c>
      <c r="B18" s="65" t="s">
        <v>189</v>
      </c>
      <c r="C18" s="395"/>
      <c r="D18" s="391"/>
      <c r="E18" s="395"/>
      <c r="F18" s="94"/>
      <c r="G18" s="395"/>
      <c r="H18" s="94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403</v>
      </c>
      <c r="B19" s="65" t="s">
        <v>189</v>
      </c>
      <c r="C19" s="395"/>
      <c r="D19" s="391"/>
      <c r="E19" s="395"/>
      <c r="F19" s="94"/>
      <c r="G19" s="395"/>
      <c r="H19" s="94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0" t="s">
        <v>471</v>
      </c>
      <c r="B20" s="65" t="s">
        <v>187</v>
      </c>
      <c r="C20" s="418">
        <v>0</v>
      </c>
      <c r="D20" s="391"/>
      <c r="E20" s="395"/>
      <c r="F20" s="94"/>
      <c r="G20" s="395"/>
      <c r="H20" s="94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4"/>
      <c r="C21" s="391"/>
      <c r="D21" s="94"/>
      <c r="E21" s="391"/>
      <c r="F21" s="94"/>
      <c r="G21" s="391"/>
      <c r="H21" s="94"/>
      <c r="I21" s="391"/>
      <c r="J21" s="391"/>
      <c r="K21" s="391"/>
      <c r="L21" s="391"/>
      <c r="M21" s="391"/>
      <c r="N21" s="391"/>
      <c r="O21" s="419"/>
    </row>
    <row r="22" spans="1:15" ht="13.5" thickBot="1">
      <c r="A22" s="80" t="s">
        <v>373</v>
      </c>
      <c r="B22" s="34"/>
      <c r="C22" s="397">
        <f>SUM(C11:C20)</f>
        <v>76695</v>
      </c>
      <c r="D22" s="419"/>
      <c r="E22" s="397">
        <f>SUM(E11:E20)</f>
        <v>-11627</v>
      </c>
      <c r="F22" s="419"/>
      <c r="G22" s="397">
        <f>SUM(G11:G20)</f>
        <v>-554519.6711013365</v>
      </c>
      <c r="H22" s="419"/>
      <c r="I22" s="397">
        <f>SUM(I11:I20)</f>
        <v>-554519.6711013365</v>
      </c>
      <c r="J22" s="390"/>
      <c r="K22" s="397">
        <f>SUM(K11:K20)</f>
        <v>-554519.6711013365</v>
      </c>
      <c r="L22" s="390"/>
      <c r="M22" s="397">
        <f>SUM(M11:M21)</f>
        <v>-554519.6711013365</v>
      </c>
      <c r="N22" s="390"/>
      <c r="O22" s="450">
        <f>SUM(O11:O20)</f>
        <v>-554519.6711013365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7"/>
      <c r="M23" s="442"/>
      <c r="N23" s="187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404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7"/>
      <c r="M27" s="187"/>
      <c r="N27" s="187"/>
      <c r="O27" s="187"/>
    </row>
    <row r="28" spans="1:15" ht="12.75">
      <c r="A28" s="433" t="s">
        <v>405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7"/>
      <c r="M28" s="187"/>
      <c r="N28" s="187"/>
      <c r="O28" s="187"/>
    </row>
    <row r="29" spans="1:15" ht="12.75">
      <c r="A29" s="436" t="s">
        <v>406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7"/>
      <c r="M29" s="187"/>
      <c r="N29" s="187"/>
      <c r="O29" s="187"/>
    </row>
    <row r="30" spans="1:15" ht="9" customHeight="1">
      <c r="A30" s="187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7"/>
      <c r="M30" s="187"/>
      <c r="N30" s="187"/>
      <c r="O30" s="187"/>
    </row>
    <row r="31" spans="1:15" ht="12.75">
      <c r="A31" s="451" t="s">
        <v>407</v>
      </c>
      <c r="B31" s="79"/>
      <c r="C31" s="79"/>
      <c r="D31" s="79"/>
      <c r="E31" s="79"/>
      <c r="F31" s="79"/>
      <c r="G31" s="79"/>
      <c r="H31" s="79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3" t="s">
        <v>408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420"/>
      <c r="Q33" s="420"/>
      <c r="R33" s="420"/>
      <c r="S33" s="420"/>
    </row>
    <row r="34" spans="1:19" ht="12.75">
      <c r="A34" s="502" t="s">
        <v>409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420"/>
      <c r="Q34" s="420"/>
      <c r="R34" s="420"/>
      <c r="S34" s="420"/>
    </row>
    <row r="35" spans="1:19" ht="12.75">
      <c r="A35" s="502" t="s">
        <v>430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420"/>
      <c r="Q35" s="420"/>
      <c r="R35" s="420"/>
      <c r="S35" s="420"/>
    </row>
    <row r="36" spans="1:19" ht="12.75">
      <c r="A36" s="502" t="s">
        <v>410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420"/>
      <c r="Q36" s="420"/>
      <c r="R36" s="420"/>
      <c r="S36" s="420"/>
    </row>
    <row r="37" spans="1:19" ht="12.75">
      <c r="A37" s="437" t="s">
        <v>370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371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412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413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7"/>
      <c r="M42" s="187"/>
      <c r="N42" s="187"/>
      <c r="O42" s="187"/>
    </row>
    <row r="43" spans="1:15" ht="12.75">
      <c r="A43" s="434" t="s">
        <v>414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7"/>
      <c r="M43" s="187"/>
      <c r="N43" s="187"/>
      <c r="O43" s="187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7"/>
      <c r="M44" s="187"/>
      <c r="N44" s="187"/>
      <c r="O44" s="187"/>
    </row>
    <row r="45" spans="1:15" ht="12.75">
      <c r="A45" s="439" t="s">
        <v>415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7"/>
      <c r="M45" s="187"/>
      <c r="N45" s="187"/>
      <c r="O45" s="187"/>
    </row>
    <row r="46" spans="1:15" ht="12.75">
      <c r="A46" s="434" t="s">
        <v>416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7"/>
      <c r="M46" s="187"/>
      <c r="N46" s="187"/>
      <c r="O46" s="187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7"/>
      <c r="M47" s="187"/>
      <c r="N47" s="187"/>
      <c r="O47" s="187"/>
    </row>
    <row r="48" spans="1:15" ht="12.75">
      <c r="A48" s="439" t="s">
        <v>417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7"/>
      <c r="M48" s="187"/>
      <c r="N48" s="187"/>
      <c r="O48" s="187"/>
    </row>
    <row r="49" spans="1:15" ht="12.75">
      <c r="A49" s="434" t="s">
        <v>418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7"/>
      <c r="M49" s="187"/>
      <c r="N49" s="187"/>
      <c r="O49" s="187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7"/>
      <c r="M50" s="187"/>
      <c r="N50" s="187"/>
      <c r="O50" s="187"/>
    </row>
    <row r="51" spans="1:15" ht="12.75">
      <c r="A51" s="439" t="s">
        <v>419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7"/>
      <c r="M51" s="187"/>
      <c r="N51" s="187"/>
      <c r="O51" s="187"/>
    </row>
    <row r="52" spans="1:15" ht="12.75">
      <c r="A52" s="434" t="s">
        <v>416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7"/>
      <c r="M52" s="187"/>
      <c r="N52" s="187"/>
      <c r="O52" s="187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7"/>
      <c r="M53" s="187"/>
      <c r="N53" s="187"/>
      <c r="O53" s="187"/>
    </row>
    <row r="54" spans="1:15" ht="12.75">
      <c r="A54" s="434" t="s">
        <v>420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7"/>
      <c r="M54" s="187"/>
      <c r="N54" s="187"/>
      <c r="O54" s="187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7"/>
      <c r="M55" s="187"/>
      <c r="N55" s="187"/>
      <c r="O55" s="187"/>
    </row>
    <row r="56" spans="1:15" ht="12.75" customHeight="1">
      <c r="A56" s="439" t="s">
        <v>421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7"/>
      <c r="M56" s="187"/>
      <c r="N56" s="187"/>
      <c r="O56" s="187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7"/>
      <c r="M57" s="187"/>
      <c r="N57" s="187"/>
      <c r="O57" s="187"/>
    </row>
    <row r="58" spans="1:15" ht="12.75">
      <c r="A58" s="434" t="s">
        <v>422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7"/>
      <c r="M58" s="187"/>
      <c r="N58" s="187"/>
      <c r="O58" s="187"/>
    </row>
    <row r="59" spans="1:15" ht="12.75">
      <c r="A59" s="434" t="s">
        <v>423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7"/>
      <c r="M59" s="187"/>
      <c r="N59" s="187"/>
      <c r="O59" s="187"/>
    </row>
    <row r="60" spans="1:15" ht="12.75">
      <c r="A60" s="434" t="s">
        <v>424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7"/>
      <c r="M60" s="187"/>
      <c r="N60" s="187"/>
      <c r="O60" s="187"/>
    </row>
    <row r="61" spans="1:15" ht="12.75">
      <c r="A61" s="434" t="s">
        <v>380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7"/>
      <c r="M61" s="187"/>
      <c r="N61" s="187"/>
      <c r="O61" s="187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7"/>
      <c r="M62" s="187"/>
      <c r="N62" s="187"/>
      <c r="O62" s="187"/>
    </row>
    <row r="63" spans="1:15" ht="12.75">
      <c r="A63" s="434" t="s">
        <v>425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7"/>
      <c r="M63" s="187"/>
      <c r="N63" s="187"/>
      <c r="O63" s="187"/>
    </row>
    <row r="64" spans="1:15" ht="12.75">
      <c r="A64" s="434" t="s">
        <v>426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7"/>
      <c r="M64" s="187"/>
      <c r="N64" s="187"/>
      <c r="O64" s="187"/>
    </row>
    <row r="65" spans="1:15" ht="12.75">
      <c r="A65" s="434" t="s">
        <v>382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7"/>
      <c r="M65" s="187"/>
      <c r="N65" s="187"/>
      <c r="O65" s="187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7"/>
      <c r="M66" s="187"/>
      <c r="N66" s="187"/>
      <c r="O66" s="187"/>
    </row>
    <row r="67" spans="1:15" ht="12.75">
      <c r="A67" s="434" t="s">
        <v>381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7"/>
      <c r="M67" s="187"/>
      <c r="N67" s="187"/>
      <c r="O67" s="187"/>
    </row>
    <row r="68" spans="1:15" ht="12.75">
      <c r="A68" s="434" t="s">
        <v>383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7"/>
      <c r="M68" s="187"/>
      <c r="N68" s="187"/>
      <c r="O68" s="187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7"/>
      <c r="M69" s="187"/>
      <c r="N69" s="187"/>
      <c r="O69" s="187"/>
    </row>
    <row r="70" spans="1:15" ht="12.75">
      <c r="A70" s="434" t="s">
        <v>427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7"/>
      <c r="M70" s="187"/>
      <c r="N70" s="187"/>
      <c r="O70" s="187"/>
    </row>
    <row r="71" spans="1:15" ht="12.75">
      <c r="A71" s="434" t="s">
        <v>428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7"/>
      <c r="M71" s="187"/>
      <c r="N71" s="187"/>
      <c r="O71" s="187"/>
    </row>
    <row r="72" spans="1:15" ht="12.75">
      <c r="A72" s="434" t="s">
        <v>429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7"/>
      <c r="M72" s="187"/>
      <c r="N72" s="187"/>
      <c r="O72" s="187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7"/>
      <c r="M73" s="187"/>
      <c r="N73" s="187"/>
      <c r="O73" s="187"/>
    </row>
    <row r="74" spans="1:15" ht="12.75" customHeight="1">
      <c r="A74" s="502" t="s">
        <v>459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</row>
    <row r="75" spans="1:15" ht="12.75">
      <c r="A75" s="434" t="s">
        <v>372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7"/>
      <c r="M75" s="187"/>
      <c r="N75" s="187"/>
      <c r="O75" s="187"/>
    </row>
    <row r="76" spans="1:15" ht="12.75">
      <c r="A76" s="187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7"/>
      <c r="M76" s="187"/>
      <c r="N76" s="187"/>
      <c r="O76" s="187"/>
    </row>
    <row r="77" spans="1:15" ht="12.75">
      <c r="A77" s="187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7"/>
      <c r="M77" s="187"/>
      <c r="N77" s="187"/>
      <c r="O77" s="187"/>
    </row>
    <row r="78" spans="1:17" ht="12.75">
      <c r="A78" s="187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7"/>
      <c r="O78" s="187"/>
      <c r="P78" s="187"/>
      <c r="Q78" s="187"/>
    </row>
    <row r="79" spans="1:17" ht="12.75">
      <c r="A79" s="187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7"/>
      <c r="O79" s="187"/>
      <c r="P79" s="187"/>
      <c r="Q79" s="187"/>
    </row>
    <row r="80" spans="1:17" ht="12.75">
      <c r="A80" s="187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7"/>
      <c r="O80" s="187"/>
      <c r="P80" s="187"/>
      <c r="Q80" s="187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7"/>
      <c r="O81" s="187"/>
      <c r="P81" s="187"/>
      <c r="Q81" s="187"/>
    </row>
    <row r="82" spans="1:17" ht="12.75">
      <c r="A82" s="187"/>
      <c r="B82" s="187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7"/>
      <c r="O82" s="187"/>
      <c r="P82" s="187"/>
      <c r="Q82" s="187"/>
    </row>
    <row r="83" spans="1:17" ht="12.75">
      <c r="A83" s="187"/>
      <c r="B83" s="187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7"/>
      <c r="O83" s="187"/>
      <c r="P83" s="187"/>
      <c r="Q83" s="187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7"/>
      <c r="O84" s="187"/>
      <c r="P84" s="187"/>
      <c r="Q84" s="187"/>
    </row>
    <row r="85" spans="1:17" ht="12.75">
      <c r="A85" s="187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7"/>
      <c r="O85" s="187"/>
      <c r="P85" s="187"/>
      <c r="Q85" s="187"/>
    </row>
    <row r="86" spans="1:17" ht="12.75">
      <c r="A86" s="187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7"/>
      <c r="O86" s="187"/>
      <c r="P86" s="187"/>
      <c r="Q86" s="187"/>
    </row>
    <row r="87" spans="1:17" ht="12.75">
      <c r="A87" s="187"/>
      <c r="B87" s="187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7"/>
      <c r="O87" s="187"/>
      <c r="P87" s="187"/>
      <c r="Q87" s="187"/>
    </row>
    <row r="88" spans="1:17" ht="12.75">
      <c r="A88" s="187"/>
      <c r="B88" s="187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7"/>
      <c r="O88" s="187"/>
      <c r="P88" s="187"/>
      <c r="Q88" s="187"/>
    </row>
    <row r="89" spans="1:17" ht="12.75">
      <c r="A89" s="187"/>
      <c r="B89" s="187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7"/>
      <c r="O89" s="187"/>
      <c r="P89" s="187"/>
      <c r="Q89" s="187"/>
    </row>
    <row r="90" spans="1:17" ht="12.75">
      <c r="A90" s="187"/>
      <c r="B90" s="187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7"/>
      <c r="O90" s="187"/>
      <c r="P90" s="187"/>
      <c r="Q90" s="187"/>
    </row>
    <row r="91" spans="1:17" ht="12.75">
      <c r="A91" s="187"/>
      <c r="B91" s="187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7"/>
      <c r="O91" s="187"/>
      <c r="P91" s="187"/>
      <c r="Q91" s="187"/>
    </row>
    <row r="92" spans="1:17" ht="12.75">
      <c r="A92" s="187"/>
      <c r="B92" s="187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</row>
    <row r="93" spans="1:17" ht="12.75">
      <c r="A93" s="187"/>
      <c r="B93" s="187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SUZANNEW</cp:lastModifiedBy>
  <cp:lastPrinted>2011-10-12T14:49:56Z</cp:lastPrinted>
  <dcterms:created xsi:type="dcterms:W3CDTF">2001-11-07T16:15:53Z</dcterms:created>
  <dcterms:modified xsi:type="dcterms:W3CDTF">2012-08-09T16:15:25Z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