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320" windowHeight="12120" firstSheet="11"/>
  </bookViews>
  <sheets>
    <sheet name="1. Info" sheetId="31" r:id="rId1"/>
    <sheet name="2. Table of Contents" sheetId="29" r:id="rId2"/>
    <sheet name="3. Rate Classes" sheetId="28" r:id="rId3"/>
    <sheet name="4. RRR Data" sheetId="27" r:id="rId4"/>
    <sheet name="5. UTRs &amp; Sub Transmission" sheetId="23" r:id="rId5"/>
    <sheet name="6. Historical  Wholesale" sheetId="33" r:id="rId6"/>
    <sheet name="7 Current Wholesale" sheetId="1" r:id="rId7"/>
    <sheet name="8 Forecast Wholesale" sheetId="24" r:id="rId8"/>
    <sheet name="9 Adj NW to Current WS" sheetId="10" r:id="rId9"/>
    <sheet name="10 Adj Conn to Current WS" sheetId="9" r:id="rId10"/>
    <sheet name="11 Adj NW to Forecast WS" sheetId="8" r:id="rId11"/>
    <sheet name="12 Adj Conn to Forecast WS" sheetId="7" r:id="rId12"/>
    <sheet name="13. Final 2012 RTS Rates" sheetId="6" r:id="rId13"/>
  </sheets>
  <externalReferences>
    <externalReference r:id="rId14"/>
  </externalReferences>
  <calcPr calcId="144525"/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F54" i="1"/>
  <c r="F53" i="1"/>
  <c r="F52" i="1"/>
  <c r="F51" i="1"/>
  <c r="F50" i="1"/>
  <c r="F49" i="1"/>
  <c r="F48" i="1"/>
  <c r="F47" i="1"/>
  <c r="F46" i="1"/>
  <c r="F45" i="1"/>
  <c r="F44" i="1"/>
  <c r="F43" i="1"/>
  <c r="J54" i="33"/>
  <c r="J53" i="33"/>
  <c r="J52" i="33"/>
  <c r="J51" i="33"/>
  <c r="J50" i="33"/>
  <c r="J49" i="33"/>
  <c r="J48" i="33"/>
  <c r="J47" i="33"/>
  <c r="J46" i="33"/>
  <c r="J45" i="33"/>
  <c r="J44" i="33"/>
  <c r="J43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J98" i="1"/>
  <c r="J97" i="1"/>
  <c r="J96" i="1"/>
  <c r="J95" i="1"/>
  <c r="J94" i="1"/>
  <c r="J93" i="1"/>
  <c r="J92" i="1"/>
  <c r="J91" i="1"/>
  <c r="J90" i="1"/>
  <c r="J89" i="1"/>
  <c r="J88" i="1"/>
  <c r="J87" i="1"/>
  <c r="F98" i="1"/>
  <c r="F97" i="1"/>
  <c r="F96" i="1"/>
  <c r="F95" i="1"/>
  <c r="F94" i="1"/>
  <c r="F93" i="1"/>
  <c r="F92" i="1"/>
  <c r="F91" i="1"/>
  <c r="F90" i="1"/>
  <c r="F89" i="1"/>
  <c r="F88" i="1"/>
  <c r="F87" i="1"/>
  <c r="J75" i="1"/>
  <c r="J74" i="1"/>
  <c r="J73" i="1"/>
  <c r="J72" i="1"/>
  <c r="J71" i="1"/>
  <c r="J70" i="1"/>
  <c r="J69" i="1"/>
  <c r="J68" i="1"/>
  <c r="J67" i="1"/>
  <c r="J66" i="1"/>
  <c r="J65" i="1"/>
  <c r="J64" i="1"/>
  <c r="F75" i="1"/>
  <c r="F74" i="1"/>
  <c r="F73" i="1"/>
  <c r="F72" i="1"/>
  <c r="F71" i="1"/>
  <c r="F70" i="1"/>
  <c r="F69" i="1"/>
  <c r="F68" i="1"/>
  <c r="F67" i="1"/>
  <c r="F66" i="1"/>
  <c r="F65" i="1"/>
  <c r="F64" i="1"/>
  <c r="J98" i="33"/>
  <c r="J97" i="33"/>
  <c r="J96" i="33"/>
  <c r="J95" i="33"/>
  <c r="J94" i="33"/>
  <c r="J93" i="33"/>
  <c r="J92" i="33"/>
  <c r="J91" i="33"/>
  <c r="J90" i="33"/>
  <c r="J89" i="33"/>
  <c r="J88" i="33"/>
  <c r="J87" i="33"/>
  <c r="F98" i="33"/>
  <c r="F97" i="33"/>
  <c r="F96" i="33"/>
  <c r="F95" i="33"/>
  <c r="F94" i="33"/>
  <c r="F93" i="33"/>
  <c r="F92" i="33"/>
  <c r="F91" i="33"/>
  <c r="F90" i="33"/>
  <c r="F89" i="33"/>
  <c r="F88" i="33"/>
  <c r="F87" i="33"/>
  <c r="J75" i="33"/>
  <c r="J74" i="33"/>
  <c r="J73" i="33"/>
  <c r="J72" i="33"/>
  <c r="J71" i="33"/>
  <c r="J70" i="33"/>
  <c r="J69" i="33"/>
  <c r="J68" i="33"/>
  <c r="J67" i="33"/>
  <c r="J66" i="33"/>
  <c r="J65" i="33"/>
  <c r="J64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I88" i="23" l="1"/>
  <c r="I74" i="23"/>
  <c r="I86" i="23"/>
  <c r="I84" i="23"/>
  <c r="I72" i="23"/>
  <c r="I70" i="23"/>
  <c r="I96" i="1" l="1"/>
  <c r="P90" i="1"/>
  <c r="P69" i="1"/>
  <c r="I72" i="1"/>
  <c r="P68" i="1"/>
  <c r="P90" i="33"/>
  <c r="I92" i="33"/>
  <c r="I96" i="33"/>
  <c r="P97" i="33"/>
  <c r="E93" i="33"/>
  <c r="E96" i="33"/>
  <c r="I65" i="33"/>
  <c r="I67" i="33"/>
  <c r="P74" i="33"/>
  <c r="E68" i="33"/>
  <c r="E70" i="33"/>
  <c r="E71" i="33"/>
  <c r="E74" i="33"/>
  <c r="F77" i="33"/>
  <c r="E48" i="33"/>
  <c r="E51" i="33"/>
  <c r="E53" i="33"/>
  <c r="M30" i="33"/>
  <c r="M32" i="33"/>
  <c r="M33" i="33"/>
  <c r="J111" i="33"/>
  <c r="P29" i="33"/>
  <c r="P30" i="33"/>
  <c r="J119" i="33"/>
  <c r="F110" i="33"/>
  <c r="F114" i="33"/>
  <c r="F116" i="33"/>
  <c r="F117" i="33"/>
  <c r="E24" i="33"/>
  <c r="N25" i="1"/>
  <c r="N26" i="1"/>
  <c r="N27" i="1"/>
  <c r="N28" i="1"/>
  <c r="N29" i="1"/>
  <c r="N30" i="1"/>
  <c r="N31" i="1"/>
  <c r="N32" i="1"/>
  <c r="N33" i="1"/>
  <c r="N34" i="1"/>
  <c r="N35" i="1"/>
  <c r="N24" i="1"/>
  <c r="J25" i="1"/>
  <c r="J26" i="1"/>
  <c r="J27" i="1"/>
  <c r="J28" i="1"/>
  <c r="P28" i="1" s="1"/>
  <c r="J29" i="1"/>
  <c r="J30" i="1"/>
  <c r="J31" i="1"/>
  <c r="J32" i="1"/>
  <c r="P32" i="1"/>
  <c r="J33" i="1"/>
  <c r="J34" i="1"/>
  <c r="J35" i="1"/>
  <c r="J24" i="1"/>
  <c r="F25" i="1"/>
  <c r="F26" i="1"/>
  <c r="F27" i="1"/>
  <c r="F28" i="1"/>
  <c r="F29" i="1"/>
  <c r="F30" i="1"/>
  <c r="F31" i="1"/>
  <c r="E31" i="1" s="1"/>
  <c r="F32" i="1"/>
  <c r="F33" i="1"/>
  <c r="F34" i="1"/>
  <c r="F35" i="1"/>
  <c r="E35" i="1" s="1"/>
  <c r="F24" i="1"/>
  <c r="L119" i="33"/>
  <c r="H119" i="33"/>
  <c r="D119" i="33"/>
  <c r="L118" i="33"/>
  <c r="H118" i="33"/>
  <c r="D118" i="33"/>
  <c r="L117" i="33"/>
  <c r="H117" i="33"/>
  <c r="D117" i="33"/>
  <c r="L116" i="33"/>
  <c r="H116" i="33"/>
  <c r="D116" i="33"/>
  <c r="L115" i="33"/>
  <c r="H115" i="33"/>
  <c r="D115" i="33"/>
  <c r="L114" i="33"/>
  <c r="H114" i="33"/>
  <c r="D114" i="33"/>
  <c r="L113" i="33"/>
  <c r="H113" i="33"/>
  <c r="D113" i="33"/>
  <c r="L112" i="33"/>
  <c r="H112" i="33"/>
  <c r="D112" i="33"/>
  <c r="L111" i="33"/>
  <c r="H111" i="33"/>
  <c r="D111" i="33"/>
  <c r="L110" i="33"/>
  <c r="H110" i="33"/>
  <c r="D110" i="33"/>
  <c r="L109" i="33"/>
  <c r="H109" i="33"/>
  <c r="D109" i="33"/>
  <c r="L108" i="33"/>
  <c r="H108" i="33"/>
  <c r="H121" i="33" s="1"/>
  <c r="D108" i="33"/>
  <c r="N100" i="33"/>
  <c r="L100" i="33"/>
  <c r="M100" i="33"/>
  <c r="H100" i="33"/>
  <c r="D100" i="33"/>
  <c r="M98" i="33"/>
  <c r="E98" i="33"/>
  <c r="M97" i="33"/>
  <c r="I97" i="33"/>
  <c r="E97" i="33"/>
  <c r="M96" i="33"/>
  <c r="P96" i="33"/>
  <c r="M95" i="33"/>
  <c r="P95" i="33"/>
  <c r="I95" i="33"/>
  <c r="E95" i="33"/>
  <c r="M94" i="33"/>
  <c r="P94" i="33"/>
  <c r="E94" i="33"/>
  <c r="P93" i="33"/>
  <c r="M93" i="33"/>
  <c r="I93" i="33"/>
  <c r="M92" i="33"/>
  <c r="P92" i="33"/>
  <c r="E92" i="33"/>
  <c r="P91" i="33"/>
  <c r="M91" i="33"/>
  <c r="I91" i="33"/>
  <c r="E91" i="33"/>
  <c r="M90" i="33"/>
  <c r="E90" i="33"/>
  <c r="M89" i="33"/>
  <c r="P89" i="33"/>
  <c r="E89" i="33"/>
  <c r="M88" i="33"/>
  <c r="P88" i="33"/>
  <c r="E88" i="33"/>
  <c r="M87" i="33"/>
  <c r="N77" i="33"/>
  <c r="L77" i="33"/>
  <c r="M77" i="33"/>
  <c r="H77" i="33"/>
  <c r="D77" i="33"/>
  <c r="E77" i="33" s="1"/>
  <c r="P75" i="33"/>
  <c r="M75" i="33"/>
  <c r="I75" i="33"/>
  <c r="E75" i="33"/>
  <c r="M74" i="33"/>
  <c r="P73" i="33"/>
  <c r="M73" i="33"/>
  <c r="I73" i="33"/>
  <c r="E73" i="33"/>
  <c r="M72" i="33"/>
  <c r="P72" i="33"/>
  <c r="I72" i="33"/>
  <c r="E72" i="33"/>
  <c r="M71" i="33"/>
  <c r="P71" i="33"/>
  <c r="M70" i="33"/>
  <c r="P70" i="33"/>
  <c r="M69" i="33"/>
  <c r="I69" i="33"/>
  <c r="E69" i="33"/>
  <c r="M68" i="33"/>
  <c r="P68" i="33"/>
  <c r="P67" i="33"/>
  <c r="M67" i="33"/>
  <c r="E67" i="33"/>
  <c r="M66" i="33"/>
  <c r="P66" i="33"/>
  <c r="E66" i="33"/>
  <c r="P65" i="33"/>
  <c r="M65" i="33"/>
  <c r="E65" i="33"/>
  <c r="M64" i="33"/>
  <c r="I64" i="33"/>
  <c r="L56" i="33"/>
  <c r="H56" i="33"/>
  <c r="D56" i="33"/>
  <c r="M54" i="33"/>
  <c r="E54" i="33"/>
  <c r="P53" i="33"/>
  <c r="M53" i="33"/>
  <c r="M52" i="33"/>
  <c r="E52" i="33"/>
  <c r="N116" i="33"/>
  <c r="M116" i="33" s="1"/>
  <c r="M51" i="33"/>
  <c r="M50" i="33"/>
  <c r="E50" i="33"/>
  <c r="M49" i="33"/>
  <c r="E49" i="33"/>
  <c r="M48" i="33"/>
  <c r="M47" i="33"/>
  <c r="E47" i="33"/>
  <c r="M46" i="33"/>
  <c r="E46" i="33"/>
  <c r="M45" i="33"/>
  <c r="E45" i="33"/>
  <c r="M44" i="33"/>
  <c r="E44" i="33"/>
  <c r="J56" i="33"/>
  <c r="I56" i="33" s="1"/>
  <c r="L37" i="33"/>
  <c r="H37" i="33"/>
  <c r="D37" i="33"/>
  <c r="M35" i="33"/>
  <c r="E35" i="33"/>
  <c r="P34" i="33"/>
  <c r="N118" i="33"/>
  <c r="M34" i="33"/>
  <c r="I34" i="33"/>
  <c r="F118" i="33"/>
  <c r="E118" i="33" s="1"/>
  <c r="E34" i="33"/>
  <c r="P33" i="33"/>
  <c r="P32" i="33"/>
  <c r="I32" i="33"/>
  <c r="E32" i="33"/>
  <c r="M31" i="33"/>
  <c r="E31" i="33"/>
  <c r="N114" i="33"/>
  <c r="I30" i="33"/>
  <c r="M29" i="33"/>
  <c r="N112" i="33"/>
  <c r="M28" i="33"/>
  <c r="E28" i="33"/>
  <c r="M27" i="33"/>
  <c r="E27" i="33"/>
  <c r="I26" i="33"/>
  <c r="P25" i="33"/>
  <c r="F109" i="33"/>
  <c r="J108" i="33"/>
  <c r="B26" i="7"/>
  <c r="D26" i="7" s="1"/>
  <c r="B26" i="9"/>
  <c r="D26" i="9" s="1"/>
  <c r="F26" i="9"/>
  <c r="F25" i="9"/>
  <c r="B25" i="9"/>
  <c r="D25" i="9" s="1"/>
  <c r="F27" i="9"/>
  <c r="L27" i="9" s="1"/>
  <c r="B27" i="9"/>
  <c r="D27" i="9" s="1"/>
  <c r="F28" i="9"/>
  <c r="B28" i="9"/>
  <c r="D28" i="9" s="1"/>
  <c r="F29" i="9"/>
  <c r="B29" i="9"/>
  <c r="D29" i="9" s="1"/>
  <c r="F30" i="9"/>
  <c r="B30" i="9"/>
  <c r="D30" i="9" s="1"/>
  <c r="F31" i="9"/>
  <c r="B31" i="9"/>
  <c r="D31" i="9" s="1"/>
  <c r="F32" i="9"/>
  <c r="B32" i="9"/>
  <c r="D32" i="9" s="1"/>
  <c r="F33" i="9"/>
  <c r="B33" i="9"/>
  <c r="D33" i="9" s="1"/>
  <c r="B34" i="9"/>
  <c r="F34" i="9" s="1"/>
  <c r="L34" i="9" s="1"/>
  <c r="B35" i="9"/>
  <c r="F35" i="9" s="1"/>
  <c r="L35" i="9" s="1"/>
  <c r="B36" i="9"/>
  <c r="F36" i="9" s="1"/>
  <c r="L36" i="9" s="1"/>
  <c r="B37" i="9"/>
  <c r="F37" i="9" s="1"/>
  <c r="L37" i="9" s="1"/>
  <c r="B38" i="9"/>
  <c r="F38" i="9" s="1"/>
  <c r="L38" i="9" s="1"/>
  <c r="B39" i="9"/>
  <c r="F39" i="9" s="1"/>
  <c r="L39" i="9" s="1"/>
  <c r="B40" i="9"/>
  <c r="F40" i="9" s="1"/>
  <c r="L40" i="9" s="1"/>
  <c r="B41" i="9"/>
  <c r="F41" i="9" s="1"/>
  <c r="L41" i="9" s="1"/>
  <c r="B42" i="9"/>
  <c r="F42" i="9" s="1"/>
  <c r="L42" i="9" s="1"/>
  <c r="B43" i="9"/>
  <c r="F43" i="9" s="1"/>
  <c r="L43" i="9" s="1"/>
  <c r="B44" i="9"/>
  <c r="F44" i="9" s="1"/>
  <c r="L44" i="9" s="1"/>
  <c r="B45" i="9"/>
  <c r="F45" i="9" s="1"/>
  <c r="L45" i="9" s="1"/>
  <c r="B46" i="9"/>
  <c r="F46" i="9" s="1"/>
  <c r="L46" i="9" s="1"/>
  <c r="B25" i="7"/>
  <c r="D25" i="7" s="1"/>
  <c r="B27" i="7"/>
  <c r="D27" i="7"/>
  <c r="B28" i="7"/>
  <c r="D28" i="7" s="1"/>
  <c r="B29" i="7"/>
  <c r="D29" i="7" s="1"/>
  <c r="B30" i="7"/>
  <c r="D30" i="7"/>
  <c r="B31" i="7"/>
  <c r="D31" i="7" s="1"/>
  <c r="B32" i="7"/>
  <c r="D32" i="7" s="1"/>
  <c r="B33" i="7"/>
  <c r="D33" i="7"/>
  <c r="B34" i="7"/>
  <c r="F34" i="7" s="1"/>
  <c r="L34" i="7" s="1"/>
  <c r="B35" i="7"/>
  <c r="F35" i="7" s="1"/>
  <c r="L35" i="7" s="1"/>
  <c r="B36" i="7"/>
  <c r="F36" i="7" s="1"/>
  <c r="L36" i="7"/>
  <c r="B37" i="7"/>
  <c r="F37" i="7" s="1"/>
  <c r="L37" i="7" s="1"/>
  <c r="B38" i="7"/>
  <c r="F38" i="7" s="1"/>
  <c r="L38" i="7" s="1"/>
  <c r="B39" i="7"/>
  <c r="F39" i="7" s="1"/>
  <c r="L39" i="7"/>
  <c r="B40" i="7"/>
  <c r="F40" i="7" s="1"/>
  <c r="L40" i="7" s="1"/>
  <c r="B41" i="7"/>
  <c r="F41" i="7" s="1"/>
  <c r="L41" i="7" s="1"/>
  <c r="B42" i="7"/>
  <c r="F42" i="7" s="1"/>
  <c r="L42" i="7"/>
  <c r="B43" i="7"/>
  <c r="F43" i="7" s="1"/>
  <c r="L43" i="7" s="1"/>
  <c r="B44" i="7"/>
  <c r="F44" i="7" s="1"/>
  <c r="L44" i="7" s="1"/>
  <c r="B45" i="7"/>
  <c r="F45" i="7" s="1"/>
  <c r="L45" i="7"/>
  <c r="B46" i="7"/>
  <c r="F46" i="7" s="1"/>
  <c r="L46" i="7" s="1"/>
  <c r="B26" i="8"/>
  <c r="D26" i="8" s="1"/>
  <c r="B26" i="10"/>
  <c r="D26" i="10" s="1"/>
  <c r="F26" i="10"/>
  <c r="L26" i="10" s="1"/>
  <c r="F25" i="10"/>
  <c r="B25" i="10"/>
  <c r="D25" i="10" s="1"/>
  <c r="F27" i="10"/>
  <c r="B27" i="10"/>
  <c r="D27" i="10" s="1"/>
  <c r="F28" i="10"/>
  <c r="B28" i="10"/>
  <c r="D28" i="10" s="1"/>
  <c r="F29" i="10"/>
  <c r="B29" i="10"/>
  <c r="D29" i="10" s="1"/>
  <c r="F30" i="10"/>
  <c r="B30" i="10"/>
  <c r="D30" i="10" s="1"/>
  <c r="F31" i="10"/>
  <c r="B31" i="10"/>
  <c r="D31" i="10" s="1"/>
  <c r="F32" i="10"/>
  <c r="B32" i="10"/>
  <c r="D32" i="10" s="1"/>
  <c r="F33" i="10"/>
  <c r="B33" i="10"/>
  <c r="D33" i="10" s="1"/>
  <c r="B34" i="10"/>
  <c r="F34" i="10"/>
  <c r="L34" i="10" s="1"/>
  <c r="B35" i="10"/>
  <c r="F35" i="10" s="1"/>
  <c r="L35" i="10" s="1"/>
  <c r="B36" i="10"/>
  <c r="F36" i="10" s="1"/>
  <c r="L36" i="10" s="1"/>
  <c r="B37" i="10"/>
  <c r="F37" i="10"/>
  <c r="L37" i="10" s="1"/>
  <c r="B38" i="10"/>
  <c r="F38" i="10" s="1"/>
  <c r="L38" i="10" s="1"/>
  <c r="B39" i="10"/>
  <c r="F39" i="10" s="1"/>
  <c r="L39" i="10" s="1"/>
  <c r="B40" i="10"/>
  <c r="F40" i="10"/>
  <c r="L40" i="10" s="1"/>
  <c r="B41" i="10"/>
  <c r="F41" i="10" s="1"/>
  <c r="L41" i="10" s="1"/>
  <c r="B42" i="10"/>
  <c r="F42" i="10" s="1"/>
  <c r="L42" i="10" s="1"/>
  <c r="B43" i="10"/>
  <c r="F43" i="10"/>
  <c r="L43" i="10" s="1"/>
  <c r="B44" i="10"/>
  <c r="F44" i="10" s="1"/>
  <c r="L44" i="10" s="1"/>
  <c r="B45" i="10"/>
  <c r="F45" i="10" s="1"/>
  <c r="L45" i="10" s="1"/>
  <c r="B46" i="10"/>
  <c r="F46" i="10" s="1"/>
  <c r="L46" i="10" s="1"/>
  <c r="B25" i="8"/>
  <c r="D25" i="8" s="1"/>
  <c r="B27" i="8"/>
  <c r="D27" i="8" s="1"/>
  <c r="B28" i="8"/>
  <c r="D28" i="8" s="1"/>
  <c r="B29" i="8"/>
  <c r="D29" i="8" s="1"/>
  <c r="B30" i="8"/>
  <c r="D30" i="8" s="1"/>
  <c r="B31" i="8"/>
  <c r="D31" i="8" s="1"/>
  <c r="B32" i="8"/>
  <c r="D32" i="8" s="1"/>
  <c r="B33" i="8"/>
  <c r="D33" i="8" s="1"/>
  <c r="B34" i="8"/>
  <c r="F34" i="8" s="1"/>
  <c r="L34" i="8" s="1"/>
  <c r="B35" i="8"/>
  <c r="D35" i="8" s="1"/>
  <c r="R35" i="8" s="1"/>
  <c r="B36" i="8"/>
  <c r="F36" i="8" s="1"/>
  <c r="L36" i="8" s="1"/>
  <c r="B37" i="8"/>
  <c r="F37" i="8" s="1"/>
  <c r="L37" i="8" s="1"/>
  <c r="B38" i="8"/>
  <c r="F38" i="8" s="1"/>
  <c r="L38" i="8" s="1"/>
  <c r="B39" i="8"/>
  <c r="D39" i="8" s="1"/>
  <c r="R39" i="8" s="1"/>
  <c r="B40" i="8"/>
  <c r="F40" i="8" s="1"/>
  <c r="L40" i="8" s="1"/>
  <c r="B41" i="8"/>
  <c r="F41" i="8" s="1"/>
  <c r="L41" i="8" s="1"/>
  <c r="B42" i="8"/>
  <c r="F42" i="8" s="1"/>
  <c r="L42" i="8" s="1"/>
  <c r="B43" i="8"/>
  <c r="F43" i="8" s="1"/>
  <c r="L43" i="8" s="1"/>
  <c r="B44" i="8"/>
  <c r="F44" i="8" s="1"/>
  <c r="L44" i="8" s="1"/>
  <c r="B45" i="8"/>
  <c r="F45" i="8" s="1"/>
  <c r="L45" i="8" s="1"/>
  <c r="B46" i="8"/>
  <c r="F46" i="8" s="1"/>
  <c r="L46" i="8" s="1"/>
  <c r="F22" i="24"/>
  <c r="F42" i="24"/>
  <c r="E42" i="24" s="1"/>
  <c r="F63" i="24"/>
  <c r="E63" i="24" s="1"/>
  <c r="F86" i="24"/>
  <c r="F23" i="24"/>
  <c r="F43" i="24"/>
  <c r="E43" i="24" s="1"/>
  <c r="F64" i="24"/>
  <c r="F87" i="24"/>
  <c r="E87" i="24" s="1"/>
  <c r="F24" i="24"/>
  <c r="F109" i="24" s="1"/>
  <c r="E109" i="24" s="1"/>
  <c r="F44" i="24"/>
  <c r="F65" i="24"/>
  <c r="F88" i="24"/>
  <c r="E88" i="24" s="1"/>
  <c r="F25" i="24"/>
  <c r="F45" i="24"/>
  <c r="E45" i="24" s="1"/>
  <c r="F66" i="24"/>
  <c r="E66" i="24" s="1"/>
  <c r="F89" i="24"/>
  <c r="F26" i="24"/>
  <c r="F46" i="24"/>
  <c r="F67" i="24"/>
  <c r="E67" i="24" s="1"/>
  <c r="F90" i="24"/>
  <c r="E90" i="24" s="1"/>
  <c r="F27" i="24"/>
  <c r="F47" i="24"/>
  <c r="F68" i="24"/>
  <c r="F91" i="24"/>
  <c r="E91" i="24" s="1"/>
  <c r="F28" i="24"/>
  <c r="F48" i="24"/>
  <c r="E48" i="24" s="1"/>
  <c r="F69" i="24"/>
  <c r="E69" i="24" s="1"/>
  <c r="F92" i="24"/>
  <c r="F29" i="24"/>
  <c r="F49" i="24"/>
  <c r="F70" i="24"/>
  <c r="F93" i="24"/>
  <c r="F30" i="24"/>
  <c r="F115" i="24" s="1"/>
  <c r="E115" i="24" s="1"/>
  <c r="F50" i="24"/>
  <c r="F71" i="24"/>
  <c r="F94" i="24"/>
  <c r="E94" i="24" s="1"/>
  <c r="F31" i="24"/>
  <c r="F51" i="24"/>
  <c r="F72" i="24"/>
  <c r="F95" i="24"/>
  <c r="F32" i="24"/>
  <c r="F52" i="24"/>
  <c r="F73" i="24"/>
  <c r="E73" i="24" s="1"/>
  <c r="F96" i="24"/>
  <c r="F33" i="24"/>
  <c r="F53" i="24"/>
  <c r="F74" i="24"/>
  <c r="F97" i="24"/>
  <c r="E97" i="24" s="1"/>
  <c r="N43" i="1"/>
  <c r="N108" i="1" s="1"/>
  <c r="I44" i="1"/>
  <c r="N44" i="1"/>
  <c r="N45" i="1"/>
  <c r="N46" i="1"/>
  <c r="N47" i="1"/>
  <c r="I48" i="1"/>
  <c r="N48" i="1"/>
  <c r="N49" i="1"/>
  <c r="N50" i="1"/>
  <c r="N51" i="1"/>
  <c r="N52" i="1"/>
  <c r="N53" i="1"/>
  <c r="N54" i="1"/>
  <c r="J43" i="24"/>
  <c r="J44" i="24"/>
  <c r="I44" i="24" s="1"/>
  <c r="J45" i="24"/>
  <c r="J55" i="24" s="1"/>
  <c r="I55" i="24" s="1"/>
  <c r="J46" i="24"/>
  <c r="I46" i="24" s="1"/>
  <c r="J47" i="24"/>
  <c r="J48" i="24"/>
  <c r="P48" i="24" s="1"/>
  <c r="J49" i="24"/>
  <c r="J50" i="24"/>
  <c r="N50" i="24"/>
  <c r="M50" i="24" s="1"/>
  <c r="J51" i="24"/>
  <c r="J52" i="24"/>
  <c r="J53" i="24"/>
  <c r="P53" i="24" s="1"/>
  <c r="J42" i="24"/>
  <c r="N43" i="24"/>
  <c r="M43" i="24" s="1"/>
  <c r="N44" i="24"/>
  <c r="P44" i="24" s="1"/>
  <c r="N45" i="24"/>
  <c r="M45" i="24" s="1"/>
  <c r="N46" i="24"/>
  <c r="N47" i="24"/>
  <c r="M47" i="24" s="1"/>
  <c r="N48" i="24"/>
  <c r="N49" i="24"/>
  <c r="M49" i="24" s="1"/>
  <c r="N51" i="24"/>
  <c r="M51" i="24" s="1"/>
  <c r="N52" i="24"/>
  <c r="N53" i="24"/>
  <c r="M53" i="24" s="1"/>
  <c r="N42" i="24"/>
  <c r="M42" i="24" s="1"/>
  <c r="N23" i="24"/>
  <c r="N24" i="24"/>
  <c r="M24" i="24" s="1"/>
  <c r="N25" i="24"/>
  <c r="M25" i="24" s="1"/>
  <c r="N26" i="24"/>
  <c r="N27" i="24"/>
  <c r="N28" i="24"/>
  <c r="M28" i="24" s="1"/>
  <c r="N29" i="24"/>
  <c r="N30" i="24"/>
  <c r="M30" i="24" s="1"/>
  <c r="N31" i="24"/>
  <c r="M31" i="24" s="1"/>
  <c r="N32" i="24"/>
  <c r="N33" i="24"/>
  <c r="N22" i="24"/>
  <c r="M22" i="24" s="1"/>
  <c r="J23" i="24"/>
  <c r="J24" i="24"/>
  <c r="P24" i="24" s="1"/>
  <c r="J25" i="24"/>
  <c r="I25" i="24" s="1"/>
  <c r="J26" i="24"/>
  <c r="J27" i="24"/>
  <c r="P27" i="24" s="1"/>
  <c r="J28" i="24"/>
  <c r="P28" i="24" s="1"/>
  <c r="J29" i="24"/>
  <c r="J30" i="24"/>
  <c r="J31" i="24"/>
  <c r="J116" i="24" s="1"/>
  <c r="J32" i="24"/>
  <c r="P32" i="24" s="1"/>
  <c r="J33" i="24"/>
  <c r="I33" i="24" s="1"/>
  <c r="J22" i="24"/>
  <c r="P22" i="24" s="1"/>
  <c r="J47" i="8"/>
  <c r="J48" i="8"/>
  <c r="M48" i="27"/>
  <c r="J46" i="8" s="1"/>
  <c r="L48" i="27"/>
  <c r="J48" i="27"/>
  <c r="B48" i="27"/>
  <c r="D48" i="27" s="1"/>
  <c r="M47" i="27"/>
  <c r="J45" i="8"/>
  <c r="L47" i="27"/>
  <c r="J47" i="27"/>
  <c r="B47" i="27"/>
  <c r="D47" i="27" s="1"/>
  <c r="M46" i="27"/>
  <c r="J44" i="8"/>
  <c r="L46" i="27"/>
  <c r="J46" i="27"/>
  <c r="B46" i="27"/>
  <c r="D46" i="27" s="1"/>
  <c r="M45" i="27"/>
  <c r="J43" i="8"/>
  <c r="L45" i="27"/>
  <c r="J45" i="27"/>
  <c r="B45" i="27"/>
  <c r="D45" i="27" s="1"/>
  <c r="M44" i="27"/>
  <c r="J42" i="8" s="1"/>
  <c r="L44" i="27"/>
  <c r="J44" i="27"/>
  <c r="B44" i="27"/>
  <c r="D44" i="27" s="1"/>
  <c r="M43" i="27"/>
  <c r="J41" i="8" s="1"/>
  <c r="L43" i="27"/>
  <c r="J43" i="27"/>
  <c r="B43" i="27"/>
  <c r="D43" i="27"/>
  <c r="M42" i="27"/>
  <c r="J40" i="8" s="1"/>
  <c r="L42" i="27"/>
  <c r="J42" i="27"/>
  <c r="B42" i="27"/>
  <c r="D42" i="27" s="1"/>
  <c r="M41" i="27"/>
  <c r="J39" i="8" s="1"/>
  <c r="L41" i="27"/>
  <c r="J41" i="27"/>
  <c r="B41" i="27"/>
  <c r="D41" i="27"/>
  <c r="M40" i="27"/>
  <c r="J38" i="8" s="1"/>
  <c r="L40" i="27"/>
  <c r="J40" i="27"/>
  <c r="B40" i="27"/>
  <c r="D40" i="27" s="1"/>
  <c r="M39" i="27"/>
  <c r="J37" i="8" s="1"/>
  <c r="L39" i="27"/>
  <c r="J39" i="27"/>
  <c r="B39" i="27"/>
  <c r="D39" i="27"/>
  <c r="M38" i="27"/>
  <c r="J36" i="8" s="1"/>
  <c r="L38" i="27"/>
  <c r="J38" i="27"/>
  <c r="B38" i="27"/>
  <c r="D38" i="27" s="1"/>
  <c r="M37" i="27"/>
  <c r="J35" i="8" s="1"/>
  <c r="L37" i="27"/>
  <c r="J37" i="27"/>
  <c r="B37" i="27"/>
  <c r="D37" i="27"/>
  <c r="M36" i="27"/>
  <c r="J34" i="8" s="1"/>
  <c r="L36" i="27"/>
  <c r="J36" i="27"/>
  <c r="B36" i="27"/>
  <c r="D36" i="27" s="1"/>
  <c r="M35" i="27"/>
  <c r="J33" i="7" s="1"/>
  <c r="L35" i="27"/>
  <c r="H33" i="8"/>
  <c r="B35" i="27"/>
  <c r="D35" i="27" s="1"/>
  <c r="J35" i="27" s="1"/>
  <c r="M34" i="27"/>
  <c r="L34" i="27"/>
  <c r="H32" i="8"/>
  <c r="B34" i="27"/>
  <c r="D34" i="27" s="1"/>
  <c r="J34" i="27" s="1"/>
  <c r="M33" i="27"/>
  <c r="J31" i="7" s="1"/>
  <c r="L33" i="27"/>
  <c r="H31" i="10" s="1"/>
  <c r="J33" i="27"/>
  <c r="B33" i="27"/>
  <c r="D33" i="27" s="1"/>
  <c r="M32" i="27"/>
  <c r="J30" i="7"/>
  <c r="L32" i="27"/>
  <c r="B32" i="27"/>
  <c r="D32" i="27" s="1"/>
  <c r="J32" i="27" s="1"/>
  <c r="M31" i="27"/>
  <c r="J29" i="7"/>
  <c r="L31" i="27"/>
  <c r="H29" i="8" s="1"/>
  <c r="B31" i="27"/>
  <c r="D31" i="27" s="1"/>
  <c r="J31" i="27" s="1"/>
  <c r="M30" i="27"/>
  <c r="L30" i="27"/>
  <c r="H28" i="10" s="1"/>
  <c r="B30" i="27"/>
  <c r="D30" i="27" s="1"/>
  <c r="J30" i="27" s="1"/>
  <c r="M29" i="27"/>
  <c r="J27" i="7" s="1"/>
  <c r="L29" i="27"/>
  <c r="H27" i="9"/>
  <c r="B29" i="27"/>
  <c r="D29" i="27" s="1"/>
  <c r="J29" i="27" s="1"/>
  <c r="M28" i="27"/>
  <c r="J26" i="7" s="1"/>
  <c r="L28" i="27"/>
  <c r="J28" i="27"/>
  <c r="B28" i="27"/>
  <c r="D28" i="27" s="1"/>
  <c r="M27" i="27"/>
  <c r="J25" i="10" s="1"/>
  <c r="L27" i="27"/>
  <c r="J27" i="27"/>
  <c r="B27" i="27"/>
  <c r="D27" i="27"/>
  <c r="S41" i="28"/>
  <c r="R41" i="28"/>
  <c r="Q41" i="28"/>
  <c r="S40" i="28"/>
  <c r="R40" i="28"/>
  <c r="Q40" i="28"/>
  <c r="S39" i="28"/>
  <c r="R39" i="28"/>
  <c r="Q39" i="28"/>
  <c r="S38" i="28"/>
  <c r="R38" i="28"/>
  <c r="Q38" i="28"/>
  <c r="S37" i="28"/>
  <c r="R37" i="28"/>
  <c r="Q37" i="28"/>
  <c r="S36" i="28"/>
  <c r="R36" i="28"/>
  <c r="Q36" i="28"/>
  <c r="S35" i="28"/>
  <c r="R35" i="28"/>
  <c r="Q35" i="28"/>
  <c r="S34" i="28"/>
  <c r="R34" i="28"/>
  <c r="Q34" i="28"/>
  <c r="S33" i="28"/>
  <c r="R33" i="28"/>
  <c r="Q33" i="28"/>
  <c r="S32" i="28"/>
  <c r="R32" i="28"/>
  <c r="Q32" i="28"/>
  <c r="S31" i="28"/>
  <c r="R31" i="28"/>
  <c r="Q31" i="28"/>
  <c r="S30" i="28"/>
  <c r="R30" i="28"/>
  <c r="Q30" i="28"/>
  <c r="S29" i="28"/>
  <c r="R29" i="28"/>
  <c r="Q29" i="28"/>
  <c r="S28" i="28"/>
  <c r="R28" i="28"/>
  <c r="Q28" i="28"/>
  <c r="S27" i="28"/>
  <c r="R27" i="28"/>
  <c r="Q27" i="28"/>
  <c r="S26" i="28"/>
  <c r="R26" i="28"/>
  <c r="Q26" i="28"/>
  <c r="S25" i="28"/>
  <c r="R25" i="28"/>
  <c r="Q25" i="28"/>
  <c r="S24" i="28"/>
  <c r="R24" i="28"/>
  <c r="Q24" i="28"/>
  <c r="S23" i="28"/>
  <c r="R23" i="28"/>
  <c r="Q23" i="28"/>
  <c r="S22" i="28"/>
  <c r="R22" i="28"/>
  <c r="Q22" i="28"/>
  <c r="S21" i="28"/>
  <c r="R21" i="28"/>
  <c r="Q21" i="28"/>
  <c r="S20" i="28"/>
  <c r="S42" i="28" s="1"/>
  <c r="R20" i="28"/>
  <c r="Q20" i="28"/>
  <c r="J87" i="24"/>
  <c r="P87" i="24" s="1"/>
  <c r="J88" i="24"/>
  <c r="P88" i="24" s="1"/>
  <c r="J89" i="24"/>
  <c r="J90" i="24"/>
  <c r="I90" i="24" s="1"/>
  <c r="J91" i="24"/>
  <c r="I91" i="24" s="1"/>
  <c r="J92" i="24"/>
  <c r="P92" i="24" s="1"/>
  <c r="J93" i="24"/>
  <c r="I93" i="24" s="1"/>
  <c r="J94" i="24"/>
  <c r="P94" i="24" s="1"/>
  <c r="J95" i="24"/>
  <c r="I95" i="24" s="1"/>
  <c r="J96" i="24"/>
  <c r="P96" i="24" s="1"/>
  <c r="J97" i="24"/>
  <c r="I97" i="24" s="1"/>
  <c r="J86" i="24"/>
  <c r="P86" i="24" s="1"/>
  <c r="J64" i="24"/>
  <c r="I64" i="24" s="1"/>
  <c r="J65" i="24"/>
  <c r="P65" i="24" s="1"/>
  <c r="J66" i="24"/>
  <c r="P66" i="24" s="1"/>
  <c r="J67" i="24"/>
  <c r="P67" i="24" s="1"/>
  <c r="J68" i="24"/>
  <c r="P68" i="24" s="1"/>
  <c r="J69" i="24"/>
  <c r="P69" i="24" s="1"/>
  <c r="J70" i="24"/>
  <c r="P70" i="24" s="1"/>
  <c r="J71" i="24"/>
  <c r="J72" i="24"/>
  <c r="P72" i="24" s="1"/>
  <c r="J73" i="24"/>
  <c r="J74" i="24"/>
  <c r="P74" i="24" s="1"/>
  <c r="J63" i="24"/>
  <c r="I63" i="24" s="1"/>
  <c r="L118" i="24"/>
  <c r="H118" i="24"/>
  <c r="D118" i="24"/>
  <c r="L117" i="24"/>
  <c r="H117" i="24"/>
  <c r="D117" i="24"/>
  <c r="L116" i="24"/>
  <c r="H116" i="24"/>
  <c r="D116" i="24"/>
  <c r="L115" i="24"/>
  <c r="H115" i="24"/>
  <c r="D115" i="24"/>
  <c r="L114" i="24"/>
  <c r="H114" i="24"/>
  <c r="D114" i="24"/>
  <c r="L113" i="24"/>
  <c r="H113" i="24"/>
  <c r="D113" i="24"/>
  <c r="L112" i="24"/>
  <c r="H112" i="24"/>
  <c r="D112" i="24"/>
  <c r="L111" i="24"/>
  <c r="H111" i="24"/>
  <c r="D111" i="24"/>
  <c r="L110" i="24"/>
  <c r="H110" i="24"/>
  <c r="D110" i="24"/>
  <c r="L109" i="24"/>
  <c r="H109" i="24"/>
  <c r="D109" i="24"/>
  <c r="L108" i="24"/>
  <c r="L120" i="24" s="1"/>
  <c r="H108" i="24"/>
  <c r="D108" i="24"/>
  <c r="L107" i="24"/>
  <c r="H107" i="24"/>
  <c r="H120" i="24" s="1"/>
  <c r="D107" i="24"/>
  <c r="N99" i="24"/>
  <c r="L99" i="24"/>
  <c r="M99" i="24" s="1"/>
  <c r="H99" i="24"/>
  <c r="D99" i="24"/>
  <c r="M97" i="24"/>
  <c r="M96" i="24"/>
  <c r="E96" i="24"/>
  <c r="M95" i="24"/>
  <c r="P95" i="24"/>
  <c r="E95" i="24"/>
  <c r="M94" i="24"/>
  <c r="M93" i="24"/>
  <c r="E93" i="24"/>
  <c r="M92" i="24"/>
  <c r="I92" i="24"/>
  <c r="E92" i="24"/>
  <c r="M91" i="24"/>
  <c r="P90" i="24"/>
  <c r="M90" i="24"/>
  <c r="M89" i="24"/>
  <c r="E89" i="24"/>
  <c r="M88" i="24"/>
  <c r="M87" i="24"/>
  <c r="M86" i="24"/>
  <c r="E86" i="24"/>
  <c r="N76" i="24"/>
  <c r="L76" i="24"/>
  <c r="M76" i="24" s="1"/>
  <c r="H76" i="24"/>
  <c r="D76" i="24"/>
  <c r="M74" i="24"/>
  <c r="E74" i="24"/>
  <c r="M73" i="24"/>
  <c r="M72" i="24"/>
  <c r="E72" i="24"/>
  <c r="M71" i="24"/>
  <c r="E71" i="24"/>
  <c r="M70" i="24"/>
  <c r="E70" i="24"/>
  <c r="M69" i="24"/>
  <c r="M68" i="24"/>
  <c r="E68" i="24"/>
  <c r="M67" i="24"/>
  <c r="I67" i="24"/>
  <c r="M66" i="24"/>
  <c r="M65" i="24"/>
  <c r="E65" i="24"/>
  <c r="M64" i="24"/>
  <c r="E64" i="24"/>
  <c r="M63" i="24"/>
  <c r="L55" i="24"/>
  <c r="H55" i="24"/>
  <c r="F55" i="24"/>
  <c r="D55" i="24"/>
  <c r="E53" i="24"/>
  <c r="P52" i="24"/>
  <c r="M52" i="24"/>
  <c r="I52" i="24"/>
  <c r="E52" i="24"/>
  <c r="I51" i="24"/>
  <c r="E51" i="24"/>
  <c r="E50" i="24"/>
  <c r="E49" i="24"/>
  <c r="M48" i="24"/>
  <c r="I48" i="24"/>
  <c r="I47" i="24"/>
  <c r="E47" i="24"/>
  <c r="M46" i="24"/>
  <c r="E46" i="24"/>
  <c r="M44" i="24"/>
  <c r="E44" i="24"/>
  <c r="P43" i="24"/>
  <c r="I43" i="24"/>
  <c r="I42" i="24"/>
  <c r="L35" i="24"/>
  <c r="H35" i="24"/>
  <c r="D35" i="24"/>
  <c r="M33" i="24"/>
  <c r="E33" i="24"/>
  <c r="N117" i="24"/>
  <c r="M32" i="24"/>
  <c r="E32" i="24"/>
  <c r="P30" i="24"/>
  <c r="I30" i="24"/>
  <c r="E30" i="24"/>
  <c r="M29" i="24"/>
  <c r="E29" i="24"/>
  <c r="N113" i="24"/>
  <c r="E28" i="24"/>
  <c r="M27" i="24"/>
  <c r="P26" i="24"/>
  <c r="M26" i="24"/>
  <c r="I26" i="24"/>
  <c r="E26" i="24"/>
  <c r="E25" i="24"/>
  <c r="N109" i="24"/>
  <c r="N35" i="24"/>
  <c r="M35" i="24" s="1"/>
  <c r="P23" i="24"/>
  <c r="N107" i="24"/>
  <c r="E22" i="24"/>
  <c r="P66" i="1"/>
  <c r="P67" i="1"/>
  <c r="P70" i="1"/>
  <c r="P74" i="1"/>
  <c r="P75" i="1"/>
  <c r="E71" i="1"/>
  <c r="E73" i="1"/>
  <c r="I98" i="1"/>
  <c r="P97" i="1"/>
  <c r="P95" i="1"/>
  <c r="I93" i="1"/>
  <c r="I92" i="1"/>
  <c r="P91" i="1"/>
  <c r="I90" i="1"/>
  <c r="I88" i="1"/>
  <c r="I87" i="1"/>
  <c r="E97" i="1"/>
  <c r="E96" i="1"/>
  <c r="E91" i="1"/>
  <c r="E89" i="1"/>
  <c r="N109" i="1"/>
  <c r="N110" i="1"/>
  <c r="N111" i="1"/>
  <c r="N112" i="1"/>
  <c r="M112" i="1" s="1"/>
  <c r="N113" i="1"/>
  <c r="N114" i="1"/>
  <c r="N115" i="1"/>
  <c r="N116" i="1"/>
  <c r="N117" i="1"/>
  <c r="N118" i="1"/>
  <c r="M118" i="1" s="1"/>
  <c r="N119" i="1"/>
  <c r="J110" i="1"/>
  <c r="J114" i="1"/>
  <c r="J115" i="1"/>
  <c r="J118" i="1"/>
  <c r="P118" i="1" s="1"/>
  <c r="F109" i="1"/>
  <c r="F113" i="1"/>
  <c r="F114" i="1"/>
  <c r="E114" i="1" s="1"/>
  <c r="F116" i="1"/>
  <c r="F117" i="1"/>
  <c r="F118" i="1"/>
  <c r="I57" i="23"/>
  <c r="G57" i="23"/>
  <c r="E57" i="23"/>
  <c r="L109" i="1"/>
  <c r="L110" i="1"/>
  <c r="L111" i="1"/>
  <c r="L112" i="1"/>
  <c r="L113" i="1"/>
  <c r="L114" i="1"/>
  <c r="M114" i="1" s="1"/>
  <c r="L115" i="1"/>
  <c r="L116" i="1"/>
  <c r="L117" i="1"/>
  <c r="M117" i="1" s="1"/>
  <c r="L118" i="1"/>
  <c r="L119" i="1"/>
  <c r="L108" i="1"/>
  <c r="H109" i="1"/>
  <c r="H110" i="1"/>
  <c r="H121" i="1" s="1"/>
  <c r="H111" i="1"/>
  <c r="H112" i="1"/>
  <c r="H113" i="1"/>
  <c r="H114" i="1"/>
  <c r="H115" i="1"/>
  <c r="H116" i="1"/>
  <c r="H117" i="1"/>
  <c r="H118" i="1"/>
  <c r="H119" i="1"/>
  <c r="H108" i="1"/>
  <c r="D109" i="1"/>
  <c r="D110" i="1"/>
  <c r="D111" i="1"/>
  <c r="D112" i="1"/>
  <c r="D113" i="1"/>
  <c r="D114" i="1"/>
  <c r="D115" i="1"/>
  <c r="D116" i="1"/>
  <c r="D117" i="1"/>
  <c r="D118" i="1"/>
  <c r="D119" i="1"/>
  <c r="D108" i="1"/>
  <c r="P87" i="1"/>
  <c r="P89" i="1"/>
  <c r="P93" i="1"/>
  <c r="P94" i="1"/>
  <c r="P98" i="1"/>
  <c r="N100" i="1"/>
  <c r="L100" i="1"/>
  <c r="M100" i="1"/>
  <c r="H100" i="1"/>
  <c r="D100" i="1"/>
  <c r="M98" i="1"/>
  <c r="E98" i="1"/>
  <c r="M97" i="1"/>
  <c r="I97" i="1"/>
  <c r="M96" i="1"/>
  <c r="M95" i="1"/>
  <c r="E95" i="1"/>
  <c r="M94" i="1"/>
  <c r="I94" i="1"/>
  <c r="E94" i="1"/>
  <c r="M93" i="1"/>
  <c r="E93" i="1"/>
  <c r="M92" i="1"/>
  <c r="E92" i="1"/>
  <c r="M91" i="1"/>
  <c r="I91" i="1"/>
  <c r="M90" i="1"/>
  <c r="E90" i="1"/>
  <c r="M89" i="1"/>
  <c r="I89" i="1"/>
  <c r="M88" i="1"/>
  <c r="E88" i="1"/>
  <c r="M87" i="1"/>
  <c r="P65" i="1"/>
  <c r="P71" i="1"/>
  <c r="P73" i="1"/>
  <c r="N77" i="1"/>
  <c r="L77" i="1"/>
  <c r="M77" i="1" s="1"/>
  <c r="H77" i="1"/>
  <c r="D77" i="1"/>
  <c r="M75" i="1"/>
  <c r="E75" i="1"/>
  <c r="M74" i="1"/>
  <c r="E74" i="1"/>
  <c r="M73" i="1"/>
  <c r="I73" i="1"/>
  <c r="M72" i="1"/>
  <c r="E72" i="1"/>
  <c r="M71" i="1"/>
  <c r="I71" i="1"/>
  <c r="M70" i="1"/>
  <c r="E70" i="1"/>
  <c r="M69" i="1"/>
  <c r="E69" i="1"/>
  <c r="M68" i="1"/>
  <c r="I68" i="1"/>
  <c r="M67" i="1"/>
  <c r="E67" i="1"/>
  <c r="M66" i="1"/>
  <c r="E66" i="1"/>
  <c r="M65" i="1"/>
  <c r="I65" i="1"/>
  <c r="M64" i="1"/>
  <c r="E64" i="1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D35" i="7"/>
  <c r="R35" i="7" s="1"/>
  <c r="D39" i="7"/>
  <c r="R39" i="7" s="1"/>
  <c r="D42" i="7"/>
  <c r="R42" i="7" s="1"/>
  <c r="D43" i="7"/>
  <c r="R43" i="7" s="1"/>
  <c r="D46" i="7"/>
  <c r="R46" i="7" s="1"/>
  <c r="D45" i="7"/>
  <c r="R45" i="7" s="1"/>
  <c r="D44" i="7"/>
  <c r="R44" i="7" s="1"/>
  <c r="D41" i="7"/>
  <c r="R41" i="7"/>
  <c r="D40" i="7"/>
  <c r="R40" i="7"/>
  <c r="D38" i="7"/>
  <c r="R38" i="7" s="1"/>
  <c r="D37" i="7"/>
  <c r="R37" i="7" s="1"/>
  <c r="D36" i="7"/>
  <c r="R36" i="7"/>
  <c r="D34" i="7"/>
  <c r="R34" i="7" s="1"/>
  <c r="D38" i="8"/>
  <c r="R38" i="8" s="1"/>
  <c r="D42" i="8"/>
  <c r="R42" i="8" s="1"/>
  <c r="D43" i="8"/>
  <c r="R43" i="8" s="1"/>
  <c r="D46" i="8"/>
  <c r="R46" i="8"/>
  <c r="D40" i="8"/>
  <c r="R40" i="8"/>
  <c r="D34" i="9"/>
  <c r="R34" i="9" s="1"/>
  <c r="D42" i="9"/>
  <c r="R42" i="9"/>
  <c r="D46" i="9"/>
  <c r="R46" i="9" s="1"/>
  <c r="D44" i="9"/>
  <c r="R44" i="9" s="1"/>
  <c r="D40" i="9"/>
  <c r="R40" i="9"/>
  <c r="D36" i="9"/>
  <c r="R36" i="9" s="1"/>
  <c r="D43" i="10"/>
  <c r="R43" i="10" s="1"/>
  <c r="D36" i="10"/>
  <c r="R36" i="10" s="1"/>
  <c r="D35" i="10"/>
  <c r="R35" i="10" s="1"/>
  <c r="M119" i="1"/>
  <c r="M115" i="1"/>
  <c r="M111" i="1"/>
  <c r="P45" i="1"/>
  <c r="P46" i="1"/>
  <c r="P47" i="1"/>
  <c r="P49" i="1"/>
  <c r="P50" i="1"/>
  <c r="P51" i="1"/>
  <c r="P53" i="1"/>
  <c r="P54" i="1"/>
  <c r="L56" i="1"/>
  <c r="H56" i="1"/>
  <c r="D56" i="1"/>
  <c r="M54" i="1"/>
  <c r="I54" i="1"/>
  <c r="E54" i="1"/>
  <c r="M53" i="1"/>
  <c r="I53" i="1"/>
  <c r="E53" i="1"/>
  <c r="E52" i="1"/>
  <c r="M51" i="1"/>
  <c r="I51" i="1"/>
  <c r="E51" i="1"/>
  <c r="M50" i="1"/>
  <c r="I50" i="1"/>
  <c r="E50" i="1"/>
  <c r="M49" i="1"/>
  <c r="I49" i="1"/>
  <c r="E49" i="1"/>
  <c r="E48" i="1"/>
  <c r="M47" i="1"/>
  <c r="I47" i="1"/>
  <c r="E47" i="1"/>
  <c r="M46" i="1"/>
  <c r="I46" i="1"/>
  <c r="E46" i="1"/>
  <c r="M45" i="1"/>
  <c r="I45" i="1"/>
  <c r="E45" i="1"/>
  <c r="E44" i="1"/>
  <c r="M43" i="1"/>
  <c r="P25" i="1"/>
  <c r="P26" i="1"/>
  <c r="P27" i="1"/>
  <c r="P29" i="1"/>
  <c r="P30" i="1"/>
  <c r="P31" i="1"/>
  <c r="P33" i="1"/>
  <c r="P34" i="1"/>
  <c r="P35" i="1"/>
  <c r="L37" i="1"/>
  <c r="H37" i="1"/>
  <c r="D37" i="1"/>
  <c r="M35" i="1"/>
  <c r="I35" i="1"/>
  <c r="M34" i="1"/>
  <c r="I34" i="1"/>
  <c r="E34" i="1"/>
  <c r="M33" i="1"/>
  <c r="I33" i="1"/>
  <c r="E33" i="1"/>
  <c r="M32" i="1"/>
  <c r="E32" i="1"/>
  <c r="M31" i="1"/>
  <c r="I31" i="1"/>
  <c r="M30" i="1"/>
  <c r="I30" i="1"/>
  <c r="E30" i="1"/>
  <c r="M29" i="1"/>
  <c r="I29" i="1"/>
  <c r="E29" i="1"/>
  <c r="M28" i="1"/>
  <c r="E28" i="1"/>
  <c r="M27" i="1"/>
  <c r="I27" i="1"/>
  <c r="M26" i="1"/>
  <c r="I26" i="1"/>
  <c r="E26" i="1"/>
  <c r="M25" i="1"/>
  <c r="I25" i="1"/>
  <c r="E25" i="1"/>
  <c r="I24" i="1"/>
  <c r="E24" i="1"/>
  <c r="P46" i="24"/>
  <c r="M52" i="1"/>
  <c r="M48" i="1"/>
  <c r="M44" i="1"/>
  <c r="N56" i="1"/>
  <c r="M56" i="1" s="1"/>
  <c r="P48" i="1"/>
  <c r="P44" i="1"/>
  <c r="N55" i="24"/>
  <c r="I45" i="24"/>
  <c r="I49" i="24"/>
  <c r="P45" i="24"/>
  <c r="I24" i="24"/>
  <c r="I32" i="24"/>
  <c r="P52" i="1"/>
  <c r="I52" i="1"/>
  <c r="E43" i="1"/>
  <c r="I72" i="24"/>
  <c r="F35" i="24"/>
  <c r="E35" i="24" s="1"/>
  <c r="N112" i="24"/>
  <c r="N118" i="24"/>
  <c r="M118" i="24" s="1"/>
  <c r="E23" i="24"/>
  <c r="M23" i="24"/>
  <c r="E27" i="24"/>
  <c r="I29" i="24"/>
  <c r="P29" i="24"/>
  <c r="E31" i="24"/>
  <c r="P33" i="24"/>
  <c r="J112" i="24"/>
  <c r="I112" i="24" s="1"/>
  <c r="D120" i="24"/>
  <c r="I23" i="24"/>
  <c r="J35" i="24"/>
  <c r="D36" i="8"/>
  <c r="R36" i="8" s="1"/>
  <c r="D44" i="8"/>
  <c r="R44" i="8" s="1"/>
  <c r="D39" i="10"/>
  <c r="R39" i="10" s="1"/>
  <c r="D38" i="9"/>
  <c r="R38" i="9" s="1"/>
  <c r="D34" i="8"/>
  <c r="R34" i="8" s="1"/>
  <c r="I66" i="1"/>
  <c r="I70" i="1"/>
  <c r="I74" i="1"/>
  <c r="P92" i="1"/>
  <c r="P88" i="1"/>
  <c r="D40" i="10"/>
  <c r="R40" i="10" s="1"/>
  <c r="D45" i="10"/>
  <c r="R45" i="10" s="1"/>
  <c r="D42" i="10"/>
  <c r="R42" i="10" s="1"/>
  <c r="D37" i="10"/>
  <c r="R37" i="10" s="1"/>
  <c r="D34" i="10"/>
  <c r="R34" i="10" s="1"/>
  <c r="D38" i="10"/>
  <c r="R38" i="10" s="1"/>
  <c r="D44" i="10"/>
  <c r="R44" i="10" s="1"/>
  <c r="D46" i="10"/>
  <c r="R46" i="10" s="1"/>
  <c r="D45" i="9"/>
  <c r="R45" i="9" s="1"/>
  <c r="D43" i="9"/>
  <c r="R43" i="9" s="1"/>
  <c r="D41" i="9"/>
  <c r="R41" i="9" s="1"/>
  <c r="D39" i="9"/>
  <c r="R39" i="9" s="1"/>
  <c r="D37" i="9"/>
  <c r="R37" i="9" s="1"/>
  <c r="D35" i="9"/>
  <c r="R35" i="9" s="1"/>
  <c r="D41" i="10"/>
  <c r="R41" i="10" s="1"/>
  <c r="D37" i="8"/>
  <c r="R37" i="8" s="1"/>
  <c r="D45" i="8"/>
  <c r="R45" i="8" s="1"/>
  <c r="D41" i="8"/>
  <c r="R41" i="8" s="1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H38" i="7"/>
  <c r="H38" i="8"/>
  <c r="H38" i="9"/>
  <c r="J38" i="10"/>
  <c r="J38" i="7"/>
  <c r="J38" i="9"/>
  <c r="H38" i="10"/>
  <c r="H41" i="7"/>
  <c r="H41" i="8"/>
  <c r="H41" i="9"/>
  <c r="J41" i="10"/>
  <c r="J41" i="7"/>
  <c r="J41" i="9"/>
  <c r="H41" i="10"/>
  <c r="J36" i="9"/>
  <c r="J36" i="10"/>
  <c r="H36" i="8"/>
  <c r="H36" i="9"/>
  <c r="H36" i="10"/>
  <c r="J36" i="7"/>
  <c r="H36" i="7"/>
  <c r="J35" i="10"/>
  <c r="J35" i="7"/>
  <c r="H35" i="8"/>
  <c r="H35" i="10"/>
  <c r="H35" i="7"/>
  <c r="J35" i="9"/>
  <c r="H35" i="9"/>
  <c r="J34" i="7"/>
  <c r="H34" i="7"/>
  <c r="H34" i="8"/>
  <c r="J34" i="9"/>
  <c r="H34" i="9"/>
  <c r="J34" i="10"/>
  <c r="H34" i="10"/>
  <c r="H37" i="7"/>
  <c r="J37" i="10"/>
  <c r="J37" i="9"/>
  <c r="H37" i="10"/>
  <c r="H37" i="8"/>
  <c r="H37" i="9"/>
  <c r="J37" i="7"/>
  <c r="H46" i="8"/>
  <c r="H46" i="9"/>
  <c r="J46" i="7"/>
  <c r="J46" i="10"/>
  <c r="H46" i="7"/>
  <c r="J46" i="9"/>
  <c r="H46" i="10"/>
  <c r="J44" i="9"/>
  <c r="J44" i="7"/>
  <c r="H44" i="8"/>
  <c r="H44" i="9"/>
  <c r="H44" i="7"/>
  <c r="J44" i="10"/>
  <c r="H44" i="10"/>
  <c r="J43" i="7"/>
  <c r="H43" i="7"/>
  <c r="J43" i="9"/>
  <c r="J43" i="10"/>
  <c r="H43" i="8"/>
  <c r="H43" i="9"/>
  <c r="H43" i="10"/>
  <c r="H42" i="7"/>
  <c r="J42" i="10"/>
  <c r="J42" i="9"/>
  <c r="H42" i="10"/>
  <c r="H42" i="8"/>
  <c r="H42" i="9"/>
  <c r="J42" i="7"/>
  <c r="J45" i="10"/>
  <c r="J45" i="9"/>
  <c r="H45" i="10"/>
  <c r="J45" i="7"/>
  <c r="H45" i="8"/>
  <c r="H45" i="9"/>
  <c r="H45" i="7"/>
  <c r="J40" i="10"/>
  <c r="H40" i="10"/>
  <c r="J40" i="7"/>
  <c r="J40" i="9"/>
  <c r="H40" i="7"/>
  <c r="H40" i="8"/>
  <c r="H40" i="9"/>
  <c r="F44" i="6"/>
  <c r="J39" i="7"/>
  <c r="J39" i="9"/>
  <c r="J39" i="10"/>
  <c r="H39" i="7"/>
  <c r="H39" i="8"/>
  <c r="H39" i="9"/>
  <c r="H39" i="10"/>
  <c r="F47" i="6"/>
  <c r="F37" i="6"/>
  <c r="F46" i="6"/>
  <c r="F45" i="6"/>
  <c r="F41" i="6"/>
  <c r="F36" i="6"/>
  <c r="F42" i="6"/>
  <c r="F35" i="6"/>
  <c r="F39" i="6"/>
  <c r="H40" i="6"/>
  <c r="H37" i="6"/>
  <c r="H38" i="6"/>
  <c r="H42" i="6"/>
  <c r="H46" i="6"/>
  <c r="H45" i="6"/>
  <c r="H35" i="6"/>
  <c r="H39" i="6"/>
  <c r="H43" i="6"/>
  <c r="H47" i="6"/>
  <c r="H36" i="6"/>
  <c r="H44" i="6"/>
  <c r="H41" i="6"/>
  <c r="F38" i="6"/>
  <c r="F43" i="6"/>
  <c r="F40" i="6"/>
  <c r="J56" i="1"/>
  <c r="I56" i="1" s="1"/>
  <c r="P43" i="1"/>
  <c r="I43" i="1"/>
  <c r="P24" i="1"/>
  <c r="P37" i="1" s="1"/>
  <c r="M24" i="1"/>
  <c r="N37" i="1"/>
  <c r="M37" i="1" s="1"/>
  <c r="I32" i="1"/>
  <c r="J37" i="1"/>
  <c r="I37" i="1" s="1"/>
  <c r="I28" i="1"/>
  <c r="E117" i="1"/>
  <c r="F119" i="1"/>
  <c r="E119" i="1" s="1"/>
  <c r="F115" i="1"/>
  <c r="E115" i="1" s="1"/>
  <c r="F111" i="1"/>
  <c r="E111" i="1" s="1"/>
  <c r="E27" i="1"/>
  <c r="I24" i="33"/>
  <c r="P24" i="33"/>
  <c r="E26" i="33"/>
  <c r="M26" i="33"/>
  <c r="I28" i="33"/>
  <c r="P28" i="33"/>
  <c r="I68" i="33"/>
  <c r="P69" i="33"/>
  <c r="I71" i="33"/>
  <c r="P87" i="33"/>
  <c r="I89" i="33"/>
  <c r="E43" i="33"/>
  <c r="M43" i="33"/>
  <c r="P44" i="33"/>
  <c r="I45" i="33"/>
  <c r="P48" i="33"/>
  <c r="I49" i="33"/>
  <c r="P52" i="33"/>
  <c r="I53" i="33"/>
  <c r="I66" i="33"/>
  <c r="I74" i="33"/>
  <c r="I87" i="33"/>
  <c r="P26" i="33"/>
  <c r="N37" i="33"/>
  <c r="M37" i="33" s="1"/>
  <c r="I43" i="33"/>
  <c r="P43" i="33"/>
  <c r="P46" i="33"/>
  <c r="I47" i="33"/>
  <c r="I51" i="33"/>
  <c r="J77" i="33"/>
  <c r="I77" i="33" s="1"/>
  <c r="I70" i="33"/>
  <c r="I88" i="33"/>
  <c r="M114" i="33"/>
  <c r="E116" i="33"/>
  <c r="M118" i="33"/>
  <c r="I108" i="33"/>
  <c r="E110" i="33"/>
  <c r="M112" i="33"/>
  <c r="E114" i="33"/>
  <c r="E109" i="33"/>
  <c r="E117" i="33"/>
  <c r="F37" i="33"/>
  <c r="E37" i="33" s="1"/>
  <c r="N109" i="33"/>
  <c r="M109" i="33" s="1"/>
  <c r="N111" i="33"/>
  <c r="M111" i="33" s="1"/>
  <c r="N113" i="33"/>
  <c r="M113" i="33" s="1"/>
  <c r="N115" i="33"/>
  <c r="M115" i="33" s="1"/>
  <c r="N117" i="33"/>
  <c r="M117" i="33" s="1"/>
  <c r="N119" i="33"/>
  <c r="M119" i="33" s="1"/>
  <c r="L121" i="33"/>
  <c r="E25" i="33"/>
  <c r="M25" i="33"/>
  <c r="I27" i="33"/>
  <c r="P27" i="33"/>
  <c r="E29" i="33"/>
  <c r="I31" i="33"/>
  <c r="P31" i="33"/>
  <c r="E33" i="33"/>
  <c r="I35" i="33"/>
  <c r="P35" i="33"/>
  <c r="I44" i="33"/>
  <c r="I48" i="33"/>
  <c r="I52" i="33"/>
  <c r="J109" i="33"/>
  <c r="P109" i="33" s="1"/>
  <c r="J113" i="33"/>
  <c r="I113" i="33" s="1"/>
  <c r="J117" i="33"/>
  <c r="I117" i="33" s="1"/>
  <c r="F111" i="33"/>
  <c r="E111" i="33" s="1"/>
  <c r="F115" i="33"/>
  <c r="E115" i="33" s="1"/>
  <c r="F119" i="33"/>
  <c r="E119" i="33" s="1"/>
  <c r="D121" i="33"/>
  <c r="I25" i="33"/>
  <c r="I29" i="33"/>
  <c r="I33" i="33"/>
  <c r="J37" i="33"/>
  <c r="I37" i="33" s="1"/>
  <c r="I46" i="33"/>
  <c r="I50" i="33"/>
  <c r="I54" i="33"/>
  <c r="P64" i="33"/>
  <c r="M108" i="1"/>
  <c r="N121" i="1"/>
  <c r="M116" i="1"/>
  <c r="P114" i="1"/>
  <c r="I114" i="1"/>
  <c r="P110" i="1"/>
  <c r="I110" i="1"/>
  <c r="E65" i="1"/>
  <c r="I75" i="1"/>
  <c r="I95" i="1"/>
  <c r="I66" i="24"/>
  <c r="I68" i="24"/>
  <c r="H25" i="7"/>
  <c r="H25" i="8"/>
  <c r="H25" i="10"/>
  <c r="J28" i="10"/>
  <c r="L28" i="10" s="1"/>
  <c r="J28" i="9"/>
  <c r="J28" i="8"/>
  <c r="J32" i="10"/>
  <c r="L32" i="10" s="1"/>
  <c r="J32" i="9"/>
  <c r="J32" i="8"/>
  <c r="H32" i="10"/>
  <c r="J31" i="10"/>
  <c r="H29" i="9"/>
  <c r="J26" i="9"/>
  <c r="H27" i="8"/>
  <c r="J33" i="9"/>
  <c r="H25" i="9"/>
  <c r="J27" i="8"/>
  <c r="J29" i="10"/>
  <c r="H31" i="7"/>
  <c r="J32" i="7"/>
  <c r="H26" i="7"/>
  <c r="H26" i="9"/>
  <c r="L26" i="9" s="1"/>
  <c r="H30" i="7"/>
  <c r="H30" i="10"/>
  <c r="H29" i="10"/>
  <c r="J26" i="10"/>
  <c r="H28" i="9"/>
  <c r="J25" i="8"/>
  <c r="H31" i="9"/>
  <c r="J33" i="8"/>
  <c r="H26" i="8"/>
  <c r="J27" i="10"/>
  <c r="H29" i="7"/>
  <c r="I67" i="1"/>
  <c r="J109" i="1"/>
  <c r="I109" i="1" s="1"/>
  <c r="J30" i="8"/>
  <c r="J30" i="10"/>
  <c r="J30" i="9"/>
  <c r="H33" i="9"/>
  <c r="J25" i="9"/>
  <c r="H30" i="8"/>
  <c r="J31" i="8"/>
  <c r="J29" i="9"/>
  <c r="F117" i="24"/>
  <c r="E117" i="24" s="1"/>
  <c r="H31" i="8"/>
  <c r="J33" i="10"/>
  <c r="H26" i="10"/>
  <c r="H27" i="7"/>
  <c r="J28" i="7"/>
  <c r="H28" i="8"/>
  <c r="H28" i="7"/>
  <c r="H32" i="9"/>
  <c r="H32" i="7"/>
  <c r="H33" i="10"/>
  <c r="H27" i="10"/>
  <c r="H30" i="9"/>
  <c r="J31" i="9"/>
  <c r="J26" i="8"/>
  <c r="J27" i="9"/>
  <c r="F107" i="24"/>
  <c r="E107" i="24" s="1"/>
  <c r="J29" i="8"/>
  <c r="H33" i="7"/>
  <c r="J25" i="7"/>
  <c r="L28" i="9"/>
  <c r="P96" i="1"/>
  <c r="P100" i="1" s="1"/>
  <c r="J117" i="1"/>
  <c r="P117" i="1" s="1"/>
  <c r="J100" i="1"/>
  <c r="I100" i="1" s="1"/>
  <c r="J111" i="1"/>
  <c r="I111" i="1" s="1"/>
  <c r="F100" i="1"/>
  <c r="E100" i="1" s="1"/>
  <c r="F108" i="1"/>
  <c r="E108" i="1" s="1"/>
  <c r="E87" i="1"/>
  <c r="J112" i="1"/>
  <c r="P112" i="1" s="1"/>
  <c r="I64" i="1"/>
  <c r="P64" i="1"/>
  <c r="F77" i="1"/>
  <c r="E77" i="1" s="1"/>
  <c r="E68" i="1"/>
  <c r="I119" i="33"/>
  <c r="P119" i="33"/>
  <c r="J100" i="33"/>
  <c r="I100" i="33" s="1"/>
  <c r="P98" i="33"/>
  <c r="I98" i="33"/>
  <c r="I94" i="33"/>
  <c r="E64" i="33"/>
  <c r="F108" i="33"/>
  <c r="I112" i="1" l="1"/>
  <c r="I109" i="33"/>
  <c r="F39" i="8"/>
  <c r="L39" i="8" s="1"/>
  <c r="F35" i="8"/>
  <c r="L35" i="8" s="1"/>
  <c r="L31" i="10"/>
  <c r="L29" i="10"/>
  <c r="L33" i="9"/>
  <c r="L25" i="10"/>
  <c r="L32" i="9"/>
  <c r="L30" i="9"/>
  <c r="L25" i="9"/>
  <c r="I31" i="24"/>
  <c r="P25" i="24"/>
  <c r="P35" i="24" s="1"/>
  <c r="N116" i="24"/>
  <c r="M116" i="24" s="1"/>
  <c r="N110" i="24"/>
  <c r="M110" i="24" s="1"/>
  <c r="J113" i="24"/>
  <c r="P113" i="24" s="1"/>
  <c r="I53" i="24"/>
  <c r="J110" i="24"/>
  <c r="I110" i="24" s="1"/>
  <c r="I22" i="24"/>
  <c r="E24" i="24"/>
  <c r="P31" i="24"/>
  <c r="P50" i="24"/>
  <c r="P47" i="24"/>
  <c r="J99" i="24"/>
  <c r="I99" i="24" s="1"/>
  <c r="I27" i="24"/>
  <c r="N114" i="24"/>
  <c r="N108" i="24"/>
  <c r="I28" i="24"/>
  <c r="J109" i="24"/>
  <c r="I109" i="24" s="1"/>
  <c r="I50" i="24"/>
  <c r="J111" i="24"/>
  <c r="I111" i="24" s="1"/>
  <c r="P93" i="24"/>
  <c r="I94" i="24"/>
  <c r="I96" i="24"/>
  <c r="P97" i="24"/>
  <c r="I86" i="24"/>
  <c r="P116" i="24"/>
  <c r="I65" i="24"/>
  <c r="J117" i="24"/>
  <c r="I117" i="24" s="1"/>
  <c r="P42" i="24"/>
  <c r="P51" i="24"/>
  <c r="N115" i="24"/>
  <c r="N120" i="24" s="1"/>
  <c r="M120" i="24" s="1"/>
  <c r="F99" i="24"/>
  <c r="E99" i="24" s="1"/>
  <c r="F110" i="24"/>
  <c r="E110" i="24" s="1"/>
  <c r="I88" i="24"/>
  <c r="N111" i="24"/>
  <c r="M111" i="24" s="1"/>
  <c r="P77" i="33"/>
  <c r="F76" i="24"/>
  <c r="E76" i="24" s="1"/>
  <c r="I116" i="24"/>
  <c r="F100" i="33"/>
  <c r="E100" i="33" s="1"/>
  <c r="I118" i="1"/>
  <c r="J107" i="24"/>
  <c r="J119" i="1"/>
  <c r="P119" i="1" s="1"/>
  <c r="I69" i="1"/>
  <c r="J116" i="1"/>
  <c r="P116" i="1" s="1"/>
  <c r="P63" i="24"/>
  <c r="P72" i="1"/>
  <c r="P77" i="1" s="1"/>
  <c r="I69" i="24"/>
  <c r="J77" i="1"/>
  <c r="I77" i="1" s="1"/>
  <c r="P110" i="24"/>
  <c r="I117" i="1"/>
  <c r="P111" i="24"/>
  <c r="N108" i="33"/>
  <c r="P117" i="33"/>
  <c r="F114" i="24"/>
  <c r="E114" i="24" s="1"/>
  <c r="F111" i="24"/>
  <c r="E111" i="24" s="1"/>
  <c r="P49" i="33"/>
  <c r="N110" i="33"/>
  <c r="M110" i="33" s="1"/>
  <c r="F56" i="33"/>
  <c r="E56" i="33" s="1"/>
  <c r="P54" i="33"/>
  <c r="P51" i="33"/>
  <c r="P45" i="33"/>
  <c r="P56" i="1"/>
  <c r="E118" i="1"/>
  <c r="E109" i="1"/>
  <c r="M109" i="1"/>
  <c r="J115" i="24"/>
  <c r="I115" i="24" s="1"/>
  <c r="P49" i="24"/>
  <c r="F116" i="24"/>
  <c r="E116" i="24" s="1"/>
  <c r="F108" i="24"/>
  <c r="E108" i="24" s="1"/>
  <c r="F56" i="1"/>
  <c r="E56" i="1" s="1"/>
  <c r="P47" i="33"/>
  <c r="P109" i="1"/>
  <c r="P111" i="1"/>
  <c r="P111" i="33"/>
  <c r="P113" i="33"/>
  <c r="E116" i="1"/>
  <c r="E113" i="1"/>
  <c r="M113" i="1"/>
  <c r="M110" i="1"/>
  <c r="F118" i="24"/>
  <c r="E118" i="24" s="1"/>
  <c r="F113" i="24"/>
  <c r="E113" i="24" s="1"/>
  <c r="J115" i="33"/>
  <c r="J112" i="33"/>
  <c r="F112" i="24"/>
  <c r="E112" i="24" s="1"/>
  <c r="I35" i="24"/>
  <c r="M107" i="24"/>
  <c r="M108" i="24"/>
  <c r="M109" i="24"/>
  <c r="M112" i="24"/>
  <c r="M113" i="24"/>
  <c r="M114" i="24"/>
  <c r="M117" i="24"/>
  <c r="F112" i="33"/>
  <c r="E112" i="33" s="1"/>
  <c r="J118" i="33"/>
  <c r="L33" i="10"/>
  <c r="L27" i="10"/>
  <c r="L31" i="9"/>
  <c r="L29" i="9"/>
  <c r="P37" i="33"/>
  <c r="E108" i="33"/>
  <c r="L30" i="10"/>
  <c r="P100" i="33"/>
  <c r="P112" i="24"/>
  <c r="P109" i="24"/>
  <c r="L121" i="1"/>
  <c r="M121" i="1" s="1"/>
  <c r="P115" i="1"/>
  <c r="I115" i="1"/>
  <c r="E55" i="24"/>
  <c r="M55" i="24"/>
  <c r="P91" i="24"/>
  <c r="P73" i="24"/>
  <c r="I73" i="24"/>
  <c r="P71" i="24"/>
  <c r="I89" i="24"/>
  <c r="P89" i="24"/>
  <c r="I87" i="24"/>
  <c r="J108" i="24"/>
  <c r="J76" i="24"/>
  <c r="I76" i="24" s="1"/>
  <c r="D121" i="1"/>
  <c r="I71" i="24"/>
  <c r="I74" i="24"/>
  <c r="J118" i="24"/>
  <c r="J114" i="24"/>
  <c r="I70" i="24"/>
  <c r="P64" i="24"/>
  <c r="F110" i="1"/>
  <c r="F112" i="1"/>
  <c r="E112" i="1" s="1"/>
  <c r="J113" i="1"/>
  <c r="I111" i="33"/>
  <c r="J108" i="1"/>
  <c r="M24" i="33"/>
  <c r="J110" i="33"/>
  <c r="F113" i="33"/>
  <c r="E113" i="33" s="1"/>
  <c r="E30" i="33"/>
  <c r="J114" i="33"/>
  <c r="J116" i="33"/>
  <c r="N56" i="33"/>
  <c r="M56" i="33" s="1"/>
  <c r="P50" i="33"/>
  <c r="E87" i="33"/>
  <c r="I90" i="33"/>
  <c r="F37" i="1"/>
  <c r="E37" i="1" s="1"/>
  <c r="I116" i="1" l="1"/>
  <c r="P56" i="33"/>
  <c r="N121" i="33"/>
  <c r="M121" i="33" s="1"/>
  <c r="M115" i="24"/>
  <c r="I113" i="24"/>
  <c r="P117" i="24"/>
  <c r="P55" i="24"/>
  <c r="I119" i="1"/>
  <c r="I107" i="24"/>
  <c r="P107" i="24"/>
  <c r="P76" i="24"/>
  <c r="P115" i="24"/>
  <c r="M108" i="33"/>
  <c r="P108" i="33"/>
  <c r="P118" i="33"/>
  <c r="I118" i="33"/>
  <c r="F121" i="1"/>
  <c r="E121" i="1" s="1"/>
  <c r="I112" i="33"/>
  <c r="P112" i="33"/>
  <c r="E110" i="1"/>
  <c r="F120" i="24"/>
  <c r="E120" i="24" s="1"/>
  <c r="P115" i="33"/>
  <c r="I115" i="33"/>
  <c r="L49" i="9"/>
  <c r="N28" i="9" s="1"/>
  <c r="P118" i="24"/>
  <c r="I118" i="24"/>
  <c r="L49" i="10"/>
  <c r="N30" i="10" s="1"/>
  <c r="I113" i="1"/>
  <c r="P113" i="1"/>
  <c r="I114" i="24"/>
  <c r="P114" i="24"/>
  <c r="I108" i="24"/>
  <c r="P108" i="24"/>
  <c r="J120" i="24"/>
  <c r="I120" i="24" s="1"/>
  <c r="F121" i="33"/>
  <c r="E121" i="33" s="1"/>
  <c r="I116" i="33"/>
  <c r="P116" i="33"/>
  <c r="P108" i="1"/>
  <c r="J121" i="1"/>
  <c r="I121" i="1" s="1"/>
  <c r="I108" i="1"/>
  <c r="P114" i="33"/>
  <c r="I114" i="33"/>
  <c r="P110" i="33"/>
  <c r="J121" i="33"/>
  <c r="I121" i="33" s="1"/>
  <c r="I110" i="33"/>
  <c r="P99" i="24"/>
  <c r="P30" i="10" l="1"/>
  <c r="R30" i="10" s="1"/>
  <c r="F30" i="8" s="1"/>
  <c r="L30" i="8" s="1"/>
  <c r="N35" i="9"/>
  <c r="P35" i="9" s="1"/>
  <c r="N27" i="9"/>
  <c r="N38" i="9"/>
  <c r="P38" i="9" s="1"/>
  <c r="N39" i="9"/>
  <c r="P39" i="9" s="1"/>
  <c r="N31" i="9"/>
  <c r="N40" i="9"/>
  <c r="P40" i="9" s="1"/>
  <c r="N34" i="9"/>
  <c r="P34" i="9" s="1"/>
  <c r="N26" i="9"/>
  <c r="N32" i="9"/>
  <c r="N45" i="9"/>
  <c r="P45" i="9" s="1"/>
  <c r="N41" i="9"/>
  <c r="P41" i="9" s="1"/>
  <c r="N43" i="9"/>
  <c r="P43" i="9" s="1"/>
  <c r="N37" i="9"/>
  <c r="P37" i="9" s="1"/>
  <c r="N29" i="9"/>
  <c r="N33" i="9"/>
  <c r="N25" i="9"/>
  <c r="N30" i="9"/>
  <c r="N44" i="9"/>
  <c r="P44" i="9" s="1"/>
  <c r="N42" i="9"/>
  <c r="P42" i="9" s="1"/>
  <c r="N46" i="9"/>
  <c r="P46" i="9" s="1"/>
  <c r="N36" i="9"/>
  <c r="P36" i="9" s="1"/>
  <c r="P121" i="33"/>
  <c r="P121" i="1"/>
  <c r="P120" i="24"/>
  <c r="N40" i="10"/>
  <c r="P40" i="10" s="1"/>
  <c r="N38" i="10"/>
  <c r="P38" i="10" s="1"/>
  <c r="N36" i="10"/>
  <c r="P36" i="10" s="1"/>
  <c r="N37" i="10"/>
  <c r="P37" i="10" s="1"/>
  <c r="N25" i="10"/>
  <c r="P25" i="10" s="1"/>
  <c r="N39" i="10"/>
  <c r="P39" i="10" s="1"/>
  <c r="N27" i="10"/>
  <c r="P27" i="10" s="1"/>
  <c r="R27" i="10" s="1"/>
  <c r="F27" i="8" s="1"/>
  <c r="L27" i="8" s="1"/>
  <c r="N43" i="10"/>
  <c r="P43" i="10" s="1"/>
  <c r="N42" i="10"/>
  <c r="P42" i="10" s="1"/>
  <c r="N35" i="10"/>
  <c r="P35" i="10" s="1"/>
  <c r="N41" i="10"/>
  <c r="P41" i="10" s="1"/>
  <c r="N45" i="10"/>
  <c r="P45" i="10" s="1"/>
  <c r="N29" i="10"/>
  <c r="P29" i="10" s="1"/>
  <c r="R29" i="10" s="1"/>
  <c r="F29" i="8" s="1"/>
  <c r="L29" i="8" s="1"/>
  <c r="N46" i="10"/>
  <c r="P46" i="10" s="1"/>
  <c r="N31" i="10"/>
  <c r="P31" i="10" s="1"/>
  <c r="R31" i="10" s="1"/>
  <c r="F31" i="8" s="1"/>
  <c r="L31" i="8" s="1"/>
  <c r="N34" i="10"/>
  <c r="P34" i="10" s="1"/>
  <c r="N44" i="10"/>
  <c r="P44" i="10" s="1"/>
  <c r="N28" i="10"/>
  <c r="P28" i="10" s="1"/>
  <c r="R28" i="10" s="1"/>
  <c r="F28" i="8" s="1"/>
  <c r="L28" i="8" s="1"/>
  <c r="N26" i="10"/>
  <c r="P26" i="10" s="1"/>
  <c r="R26" i="10" s="1"/>
  <c r="F26" i="8" s="1"/>
  <c r="L26" i="8" s="1"/>
  <c r="N33" i="10"/>
  <c r="P33" i="10" s="1"/>
  <c r="R33" i="10" s="1"/>
  <c r="F33" i="8" s="1"/>
  <c r="L33" i="8" s="1"/>
  <c r="N32" i="10"/>
  <c r="P32" i="10" s="1"/>
  <c r="R32" i="10" s="1"/>
  <c r="F32" i="8" s="1"/>
  <c r="L32" i="8" s="1"/>
  <c r="P49" i="10" l="1"/>
  <c r="P51" i="10" s="1"/>
  <c r="R25" i="10"/>
  <c r="F25" i="8" s="1"/>
  <c r="L25" i="8" s="1"/>
  <c r="P26" i="9"/>
  <c r="R26" i="9" s="1"/>
  <c r="F26" i="7" s="1"/>
  <c r="L26" i="7" s="1"/>
  <c r="P25" i="9"/>
  <c r="P32" i="9"/>
  <c r="R32" i="9" s="1"/>
  <c r="F32" i="7" s="1"/>
  <c r="L32" i="7" s="1"/>
  <c r="P29" i="9"/>
  <c r="R29" i="9" s="1"/>
  <c r="F29" i="7" s="1"/>
  <c r="L29" i="7" s="1"/>
  <c r="P30" i="9"/>
  <c r="R30" i="9" s="1"/>
  <c r="F30" i="7" s="1"/>
  <c r="L30" i="7" s="1"/>
  <c r="P31" i="9"/>
  <c r="R31" i="9" s="1"/>
  <c r="F31" i="7" s="1"/>
  <c r="L31" i="7" s="1"/>
  <c r="P28" i="9"/>
  <c r="R28" i="9" s="1"/>
  <c r="F28" i="7" s="1"/>
  <c r="L28" i="7" s="1"/>
  <c r="P33" i="9"/>
  <c r="R33" i="9" s="1"/>
  <c r="F33" i="7" s="1"/>
  <c r="L33" i="7" s="1"/>
  <c r="P27" i="9"/>
  <c r="R27" i="9" s="1"/>
  <c r="F27" i="7" s="1"/>
  <c r="L27" i="7" s="1"/>
  <c r="P47" i="7"/>
  <c r="L49" i="8" l="1"/>
  <c r="N25" i="8" s="1"/>
  <c r="P25" i="8" s="1"/>
  <c r="R25" i="9"/>
  <c r="F25" i="7" s="1"/>
  <c r="L25" i="7" s="1"/>
  <c r="P49" i="9"/>
  <c r="P51" i="9" s="1"/>
  <c r="L49" i="7" l="1"/>
  <c r="N25" i="7" s="1"/>
  <c r="P25" i="7" s="1"/>
  <c r="R25" i="7" s="1"/>
  <c r="H26" i="6" s="1"/>
  <c r="N36" i="8"/>
  <c r="P36" i="8" s="1"/>
  <c r="N46" i="8"/>
  <c r="P46" i="8" s="1"/>
  <c r="N45" i="8"/>
  <c r="P45" i="8" s="1"/>
  <c r="N37" i="8"/>
  <c r="P37" i="8" s="1"/>
  <c r="N35" i="8"/>
  <c r="P35" i="8" s="1"/>
  <c r="N38" i="8"/>
  <c r="P38" i="8" s="1"/>
  <c r="N39" i="8"/>
  <c r="P39" i="8" s="1"/>
  <c r="N43" i="8"/>
  <c r="P43" i="8" s="1"/>
  <c r="N44" i="8"/>
  <c r="P44" i="8" s="1"/>
  <c r="N40" i="8"/>
  <c r="P40" i="8" s="1"/>
  <c r="N34" i="8"/>
  <c r="P34" i="8" s="1"/>
  <c r="N41" i="8"/>
  <c r="P41" i="8" s="1"/>
  <c r="N42" i="8"/>
  <c r="P42" i="8" s="1"/>
  <c r="N30" i="8"/>
  <c r="P30" i="8" s="1"/>
  <c r="R30" i="8" s="1"/>
  <c r="F31" i="6" s="1"/>
  <c r="N29" i="8"/>
  <c r="P29" i="8" s="1"/>
  <c r="R29" i="8" s="1"/>
  <c r="F30" i="6" s="1"/>
  <c r="N33" i="8"/>
  <c r="P33" i="8" s="1"/>
  <c r="R33" i="8" s="1"/>
  <c r="F34" i="6" s="1"/>
  <c r="N28" i="8"/>
  <c r="P28" i="8" s="1"/>
  <c r="R28" i="8" s="1"/>
  <c r="F29" i="6" s="1"/>
  <c r="N26" i="8"/>
  <c r="P26" i="8" s="1"/>
  <c r="R26" i="8" s="1"/>
  <c r="F27" i="6" s="1"/>
  <c r="N31" i="8"/>
  <c r="P31" i="8" s="1"/>
  <c r="R31" i="8" s="1"/>
  <c r="F32" i="6" s="1"/>
  <c r="N32" i="8"/>
  <c r="P32" i="8" s="1"/>
  <c r="R32" i="8" s="1"/>
  <c r="F33" i="6" s="1"/>
  <c r="N27" i="8"/>
  <c r="P27" i="8" s="1"/>
  <c r="R27" i="8" s="1"/>
  <c r="F28" i="6" s="1"/>
  <c r="R25" i="8"/>
  <c r="F26" i="6" s="1"/>
  <c r="P49" i="8" l="1"/>
  <c r="P51" i="8" s="1"/>
  <c r="N34" i="7"/>
  <c r="P34" i="7" s="1"/>
  <c r="N40" i="7"/>
  <c r="P40" i="7" s="1"/>
  <c r="N43" i="7"/>
  <c r="P43" i="7" s="1"/>
  <c r="N42" i="7"/>
  <c r="P42" i="7" s="1"/>
  <c r="N44" i="7"/>
  <c r="P44" i="7" s="1"/>
  <c r="N41" i="7"/>
  <c r="P41" i="7" s="1"/>
  <c r="N46" i="7"/>
  <c r="P46" i="7" s="1"/>
  <c r="N45" i="7"/>
  <c r="P45" i="7" s="1"/>
  <c r="N39" i="7"/>
  <c r="P39" i="7" s="1"/>
  <c r="N35" i="7"/>
  <c r="P35" i="7" s="1"/>
  <c r="N38" i="7"/>
  <c r="P38" i="7" s="1"/>
  <c r="N36" i="7"/>
  <c r="P36" i="7" s="1"/>
  <c r="N37" i="7"/>
  <c r="P37" i="7" s="1"/>
  <c r="N27" i="7"/>
  <c r="P27" i="7" s="1"/>
  <c r="R27" i="7" s="1"/>
  <c r="H28" i="6" s="1"/>
  <c r="N31" i="7"/>
  <c r="P31" i="7" s="1"/>
  <c r="R31" i="7" s="1"/>
  <c r="H32" i="6" s="1"/>
  <c r="N29" i="7"/>
  <c r="P29" i="7" s="1"/>
  <c r="R29" i="7" s="1"/>
  <c r="H30" i="6" s="1"/>
  <c r="N26" i="7"/>
  <c r="P26" i="7" s="1"/>
  <c r="R26" i="7" s="1"/>
  <c r="H27" i="6" s="1"/>
  <c r="N30" i="7"/>
  <c r="P30" i="7" s="1"/>
  <c r="R30" i="7" s="1"/>
  <c r="H31" i="6" s="1"/>
  <c r="N28" i="7"/>
  <c r="P28" i="7" s="1"/>
  <c r="R28" i="7" s="1"/>
  <c r="H29" i="6" s="1"/>
  <c r="N32" i="7"/>
  <c r="P32" i="7" s="1"/>
  <c r="R32" i="7" s="1"/>
  <c r="H33" i="6" s="1"/>
  <c r="N33" i="7"/>
  <c r="P33" i="7" s="1"/>
  <c r="R33" i="7" s="1"/>
  <c r="H34" i="6" s="1"/>
</calcChain>
</file>

<file path=xl/sharedStrings.xml><?xml version="1.0" encoding="utf-8"?>
<sst xmlns="http://schemas.openxmlformats.org/spreadsheetml/2006/main" count="541" uniqueCount="118">
  <si>
    <t>Month</t>
  </si>
  <si>
    <t>Units Billed</t>
  </si>
  <si>
    <t>Rate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</si>
  <si>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</si>
  <si>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</si>
  <si>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</si>
  <si>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</si>
  <si>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</si>
  <si>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</si>
  <si>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</si>
  <si>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</si>
  <si>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</si>
  <si>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</si>
  <si>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</si>
  <si>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</si>
  <si>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</si>
  <si>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</si>
  <si>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KITCHENER-WILMOT HYDRO</t>
  </si>
  <si>
    <t>CAMBRIDGE &amp; N. DUMFRIES HYDRO</t>
  </si>
  <si>
    <t>Rate Description</t>
  </si>
  <si>
    <t>Network Service Rate</t>
  </si>
  <si>
    <t>kW</t>
  </si>
  <si>
    <t>Line Connection Service Rate</t>
  </si>
  <si>
    <t>Transformation Connection Service Rate</t>
  </si>
  <si>
    <t>Both Line and Transformation Connection Service Rate</t>
  </si>
  <si>
    <t>RSVA Transmission network – 4714 – which affects 1584</t>
  </si>
  <si>
    <t>RSVA Transmission connection – 4716 – which affects 1586</t>
  </si>
  <si>
    <t>RSVA LV – 4750 – which affects 1550</t>
  </si>
  <si>
    <t xml:space="preserve">RARA 1 – 2252 – which affects 1590 </t>
  </si>
  <si>
    <t>Hydro One Sub-Transmission Rate Rider 6A</t>
  </si>
  <si>
    <t>Residential</t>
  </si>
  <si>
    <t>kWh</t>
  </si>
  <si>
    <t>Choose Rate Class</t>
  </si>
  <si>
    <t>General Service Less Than 50 kW</t>
  </si>
  <si>
    <t>General Service 50 to 999 kW</t>
  </si>
  <si>
    <t>Residential Regular</t>
  </si>
  <si>
    <t>General Service 50 to 999 kW - Interval Metered</t>
  </si>
  <si>
    <t>Residential Urban</t>
  </si>
  <si>
    <t>General Service 1,000 to 4,999 kW - Interval Meters</t>
  </si>
  <si>
    <t>Residential Urban Year-Round</t>
  </si>
  <si>
    <t>Large Use</t>
  </si>
  <si>
    <t>Residential Suburban</t>
  </si>
  <si>
    <t>Unmetered Scattered Load</t>
  </si>
  <si>
    <t>Residential Suburban Seasonal</t>
  </si>
  <si>
    <t>Street Lighting</t>
  </si>
  <si>
    <t>Residential Suburban Year Round</t>
  </si>
  <si>
    <t>Embedded Distributor</t>
  </si>
  <si>
    <t>Residential - Time of Use</t>
  </si>
  <si>
    <t>Residential - Hensall</t>
  </si>
  <si>
    <t>Residential – High Density [R1]</t>
  </si>
  <si>
    <t>Residential – Normal Density [R2]</t>
  </si>
  <si>
    <t>Seasonal Residential – High Density [R3]</t>
  </si>
  <si>
    <t>Seasonal Residential – Normal Density [R4]</t>
  </si>
  <si>
    <t>Residential – Urban [UR]</t>
  </si>
  <si>
    <t>General Service Less Than 50 kW – Single Phase energy-billed [G1]</t>
  </si>
  <si>
    <t>General Service Less Than 50 kW – Three Phase energy-billed [G3]</t>
  </si>
  <si>
    <t>General Service Less Than 50 kW – Transmission Class energy-billed [T]</t>
  </si>
  <si>
    <t>General Service Less Than 50 kW – Urban energy-billed [UG]</t>
  </si>
  <si>
    <t>Westport Sewage Treatment Plant</t>
  </si>
  <si>
    <t>Small Commercial and USL - per meter</t>
  </si>
  <si>
    <t>Small Commercial and USL - per connection</t>
  </si>
  <si>
    <t>Farms – Single Phase energy-billed [F1]</t>
  </si>
  <si>
    <t>General Service 50 to 499 kW</t>
  </si>
  <si>
    <t>General Service 50 to 699 kW</t>
  </si>
  <si>
    <t>General Service 50 to 1,000 kW</t>
  </si>
  <si>
    <t>General Service 50 to 1,000 kW - Interval Meters</t>
  </si>
  <si>
    <t>General Service 50 to 1,000 kW - Non Interval Meters</t>
  </si>
  <si>
    <t>General Service 50 to 1,499 kW</t>
  </si>
  <si>
    <t>General Service 50 to 1,499 kW - Interval Metered</t>
  </si>
  <si>
    <t>General Service  50 to 2,499 kW</t>
  </si>
  <si>
    <t>General Service 50 to 2,999 kW</t>
  </si>
  <si>
    <t>General Service 50 to 2,999 kW - Time of Use</t>
  </si>
  <si>
    <t>General Service 50 to 4,999 kW</t>
  </si>
  <si>
    <t>General Service 50 to 4,999 kW – Interval Metered</t>
  </si>
  <si>
    <t>General Service 50 to 4,999 kW - Time of Use</t>
  </si>
  <si>
    <t>General Service 50 to 4,999 kW (CoGeneration)</t>
  </si>
  <si>
    <t>General Service 50 to 4,999 kW (formerly Time of Use)</t>
  </si>
  <si>
    <t>General Service 500 to 4,999 kW</t>
  </si>
  <si>
    <t>General Service 700 to 4,999 kW</t>
  </si>
  <si>
    <t>General Service 1,000 to 2,999 kW</t>
  </si>
  <si>
    <t>General Service 1,000 to 4,999 kW</t>
  </si>
  <si>
    <t>General Service 1,000 To 4,999 kW (co-generation)</t>
  </si>
  <si>
    <t>General Service Greater Than 1,000 kW</t>
  </si>
  <si>
    <t>General Service Intermediate Rate Class 1,000 To 4,999 kW (formerly Large Use Customers)</t>
  </si>
  <si>
    <t>General Service Intermediate Rate Class 1,000 To 4,999 kW (formerly General Service &gt; 50 kW Customers)</t>
  </si>
  <si>
    <t>General Service 1,500 to 4,999 kW</t>
  </si>
  <si>
    <t>General Service Equal To Or Greater Than 1,500 kW</t>
  </si>
  <si>
    <t>General Service Equal To Or Greater Than 1,500 kW - Interval Metered</t>
  </si>
  <si>
    <t>General Service Intermediate 1,000 To 4,999 kW</t>
  </si>
  <si>
    <t>General Service 2,500 to 4,999 kW</t>
  </si>
  <si>
    <t>General Service 3,000 to 4,999 kW</t>
  </si>
  <si>
    <t>General Service 3,000 to 4,999 kW - Interval Metered</t>
  </si>
  <si>
    <t>General Service 3,000 to 4,999 kW - Intermediate Use</t>
  </si>
  <si>
    <t>General Service 3,000 to 4,999 kW - Time of Use</t>
  </si>
  <si>
    <t>Intermediate With Self Generation</t>
  </si>
  <si>
    <t>General Service - Commercial</t>
  </si>
  <si>
    <t>General Service - Institutional</t>
  </si>
  <si>
    <t>Farms – Three Phase energy-billed [F3]</t>
  </si>
  <si>
    <t>Large Use - Regular</t>
  </si>
  <si>
    <t>Large Use &gt; 5000 kW</t>
  </si>
  <si>
    <t>Large Use - 3TS</t>
  </si>
  <si>
    <t>Large Use - Ford Annex</t>
  </si>
  <si>
    <t>Sentinel Lighting</t>
  </si>
  <si>
    <t>Low Voltage Wheeling Charge Rate</t>
  </si>
  <si>
    <t>Stand-By</t>
  </si>
  <si>
    <t>Standby Power</t>
  </si>
  <si>
    <t>Standby Power – INTERIM APPROVAL</t>
  </si>
  <si>
    <t>Standby Power - APPROVED ON AN INTERIM BASIS</t>
  </si>
  <si>
    <t>Standby - General Service 50 - 1,000 kW</t>
  </si>
  <si>
    <t>Standby Power General Service 50 to 1,499 kW</t>
  </si>
  <si>
    <t>Standby - General Service 1,000 - 5,000 kW</t>
  </si>
  <si>
    <t>Standby Power General Service 1,500 to 4,999 kW</t>
  </si>
  <si>
    <t>Standby - Large Use</t>
  </si>
  <si>
    <t>Standby Power General Service Large Use</t>
  </si>
  <si>
    <t>Standby Distribution Service</t>
  </si>
  <si>
    <t xml:space="preserve"> </t>
  </si>
  <si>
    <t>Rate *</t>
  </si>
  <si>
    <t>* Effective May 1st of each year - 2012 - Kitchener EB-2011-0179; Cambridge EB-2011-0156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</si>
</sst>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&quot;$&quot;#,##0.00;\-&quot;$&quot;#,##0.00"/>
    <numFmt numFmtId="166" formatCode="_-&quot;$&quot;* #,##0_-;\-&quot;$&quot;* #,##0_-;_-&quot;$&quot;* &quot;-&quot;??_-;_-@_-"/>
    <numFmt numFmtId="167" formatCode="_-&quot;$&quot;* #,##0.0000_-;\-&quot;$&quot;* #,##0.0000_-;_-&quot;$&quot;* &quot;-&quot;??_-;_-@_-"/>
    <numFmt numFmtId="168" formatCode="_-* #,##0.0000_-;\-* #,##0.0000_-;_-* &quot;-&quot;??_-;_-@_-"/>
    <numFmt numFmtId="169" formatCode="0.0%"/>
    <numFmt numFmtId="170" formatCode="_(* #,##0_);_(* \(#,##0\);_(* &quot;-&quot;??_);_(@_)"/>
    <numFmt numFmtId="171" formatCode="&quot;$&quot;#,##0.000;\-&quot;$&quot;#,##0.000"/>
    <numFmt numFmtId="172" formatCode="&quot;$&quot;#,##0.0000;\-&quot;$&quot;#,##0.0000"/>
    <numFmt numFmtId="173" formatCode="_(&quot;$&quot;* #,##0.0000_);_(&quot;$&quot;* \(#,##0.000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name val="Book Antiqua"/>
      <family val="1"/>
    </font>
    <font>
      <sz val="10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i/>
      <sz val="10"/>
      <color indexed="14"/>
      <name val="Arial"/>
      <family val="2"/>
    </font>
    <font>
      <sz val="13"/>
      <color indexed="8"/>
      <name val="Book Antiqua"/>
      <family val="1"/>
    </font>
    <font>
      <sz val="13"/>
      <name val="Book Antiqua"/>
      <family val="1"/>
    </font>
    <font>
      <b/>
      <sz val="13"/>
      <name val="Book Antiqua"/>
      <family val="1"/>
    </font>
    <font>
      <sz val="10"/>
      <name val="Arial"/>
      <family val="2"/>
    </font>
    <font>
      <sz val="14"/>
      <name val="Book Antiqua"/>
      <family val="1"/>
    </font>
    <font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</xf>
    <xf numFmtId="0" fontId="3" fillId="2" borderId="0" xfId="0" applyFont="1" applyFill="1" applyProtection="1"/>
    <xf numFmtId="0" fontId="2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wrapText="1"/>
    </xf>
    <xf numFmtId="0" fontId="4" fillId="0" borderId="0" xfId="0" applyFont="1" applyAlignment="1" applyProtection="1">
      <alignment horizontal="center" wrapText="1"/>
    </xf>
    <xf numFmtId="0" fontId="5" fillId="2" borderId="0" xfId="0" applyFont="1" applyFill="1" applyProtection="1"/>
    <xf numFmtId="0" fontId="4" fillId="2" borderId="0" xfId="0" applyFont="1" applyFill="1" applyAlignment="1" applyProtection="1">
      <alignment horizontal="center" wrapText="1"/>
    </xf>
    <xf numFmtId="0" fontId="6" fillId="2" borderId="0" xfId="0" applyFont="1" applyFill="1" applyAlignment="1" applyProtection="1">
      <alignment horizontal="center"/>
    </xf>
    <xf numFmtId="164" fontId="1" fillId="3" borderId="1" xfId="1" applyNumberFormat="1" applyFont="1" applyFill="1" applyBorder="1" applyProtection="1">
      <protection locked="0"/>
    </xf>
    <xf numFmtId="165" fontId="1" fillId="3" borderId="1" xfId="2" applyNumberFormat="1" applyFont="1" applyFill="1" applyBorder="1" applyAlignment="1" applyProtection="1">
      <alignment horizontal="center"/>
      <protection locked="0"/>
    </xf>
    <xf numFmtId="166" fontId="1" fillId="3" borderId="1" xfId="2" applyNumberFormat="1" applyFont="1" applyFill="1" applyBorder="1" applyProtection="1">
      <protection locked="0"/>
    </xf>
    <xf numFmtId="166" fontId="0" fillId="3" borderId="1" xfId="2" applyNumberFormat="1" applyFont="1" applyFill="1" applyBorder="1" applyProtection="1">
      <protection locked="0"/>
    </xf>
    <xf numFmtId="166" fontId="1" fillId="2" borderId="0" xfId="2" applyNumberFormat="1" applyFont="1" applyFill="1" applyProtection="1"/>
    <xf numFmtId="0" fontId="7" fillId="0" borderId="0" xfId="0" applyFont="1" applyAlignment="1" applyProtection="1">
      <alignment horizontal="center" wrapText="1"/>
    </xf>
    <xf numFmtId="164" fontId="1" fillId="2" borderId="2" xfId="1" applyNumberFormat="1" applyFont="1" applyFill="1" applyBorder="1" applyProtection="1"/>
    <xf numFmtId="44" fontId="1" fillId="2" borderId="2" xfId="2" applyFont="1" applyFill="1" applyBorder="1" applyProtection="1"/>
    <xf numFmtId="166" fontId="1" fillId="2" borderId="2" xfId="2" applyNumberFormat="1" applyFont="1" applyFill="1" applyBorder="1" applyProtection="1"/>
    <xf numFmtId="0" fontId="2" fillId="0" borderId="0" xfId="0" applyFont="1" applyAlignment="1" applyProtection="1">
      <alignment horizontal="center" wrapText="1"/>
    </xf>
    <xf numFmtId="0" fontId="4" fillId="0" borderId="0" xfId="0" applyFont="1" applyProtection="1"/>
    <xf numFmtId="0" fontId="4" fillId="0" borderId="0" xfId="0" applyFont="1" applyAlignment="1">
      <alignment horizontal="left" inden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left" inden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7" fontId="8" fillId="2" borderId="3" xfId="2" applyNumberFormat="1" applyFont="1" applyFill="1" applyBorder="1"/>
    <xf numFmtId="164" fontId="8" fillId="2" borderId="3" xfId="1" applyNumberFormat="1" applyFont="1" applyFill="1" applyBorder="1"/>
    <xf numFmtId="168" fontId="8" fillId="2" borderId="0" xfId="1" applyNumberFormat="1" applyFont="1" applyFill="1" applyBorder="1" applyAlignment="1"/>
    <xf numFmtId="10" fontId="8" fillId="2" borderId="3" xfId="3" applyNumberFormat="1" applyFont="1" applyFill="1" applyBorder="1" applyAlignment="1"/>
    <xf numFmtId="166" fontId="8" fillId="2" borderId="3" xfId="2" applyNumberFormat="1" applyFont="1" applyFill="1" applyBorder="1"/>
    <xf numFmtId="164" fontId="1" fillId="2" borderId="3" xfId="1" applyNumberFormat="1" applyFill="1" applyBorder="1" applyAlignment="1"/>
    <xf numFmtId="169" fontId="8" fillId="2" borderId="3" xfId="3" applyNumberFormat="1" applyFont="1" applyFill="1" applyBorder="1" applyAlignment="1"/>
    <xf numFmtId="0" fontId="9" fillId="0" borderId="0" xfId="0" applyFont="1" applyAlignment="1" applyProtection="1">
      <alignment horizontal="center" wrapText="1"/>
    </xf>
    <xf numFmtId="166" fontId="8" fillId="0" borderId="0" xfId="2" applyNumberFormat="1" applyFont="1"/>
    <xf numFmtId="167" fontId="10" fillId="0" borderId="0" xfId="2" applyNumberFormat="1" applyFont="1" applyBorder="1"/>
    <xf numFmtId="10" fontId="8" fillId="2" borderId="4" xfId="3" applyNumberFormat="1" applyFont="1" applyFill="1" applyBorder="1" applyAlignment="1"/>
    <xf numFmtId="168" fontId="8" fillId="2" borderId="3" xfId="1" applyNumberFormat="1" applyFont="1" applyFill="1" applyBorder="1" applyAlignment="1"/>
    <xf numFmtId="0" fontId="8" fillId="2" borderId="0" xfId="0" applyFont="1" applyFill="1"/>
    <xf numFmtId="166" fontId="8" fillId="4" borderId="5" xfId="2" applyNumberFormat="1" applyFont="1" applyFill="1" applyBorder="1"/>
    <xf numFmtId="164" fontId="1" fillId="0" borderId="3" xfId="1" applyNumberFormat="1" applyFill="1" applyBorder="1"/>
    <xf numFmtId="164" fontId="1" fillId="2" borderId="3" xfId="1" applyNumberFormat="1" applyFill="1" applyBorder="1"/>
    <xf numFmtId="0" fontId="0" fillId="2" borderId="0" xfId="0" applyFill="1"/>
    <xf numFmtId="167" fontId="8" fillId="0" borderId="3" xfId="2" applyNumberFormat="1" applyFont="1" applyFill="1" applyBorder="1"/>
    <xf numFmtId="164" fontId="8" fillId="0" borderId="3" xfId="1" applyNumberFormat="1" applyFont="1" applyFill="1" applyBorder="1"/>
    <xf numFmtId="0" fontId="8" fillId="0" borderId="0" xfId="0" applyFont="1" applyFill="1"/>
    <xf numFmtId="167" fontId="10" fillId="0" borderId="0" xfId="2" applyNumberFormat="1" applyFont="1"/>
    <xf numFmtId="0" fontId="1" fillId="2" borderId="0" xfId="0" applyFont="1" applyFill="1" applyBorder="1"/>
    <xf numFmtId="0" fontId="4" fillId="2" borderId="0" xfId="0" applyFont="1" applyFill="1" applyBorder="1"/>
    <xf numFmtId="168" fontId="1" fillId="2" borderId="0" xfId="1" applyNumberFormat="1" applyFill="1" applyBorder="1" applyAlignment="1"/>
    <xf numFmtId="164" fontId="1" fillId="2" borderId="0" xfId="1" applyNumberFormat="1" applyFont="1" applyFill="1" applyBorder="1"/>
    <xf numFmtId="10" fontId="8" fillId="2" borderId="0" xfId="3" applyNumberFormat="1" applyFont="1" applyFill="1" applyBorder="1" applyAlignment="1"/>
    <xf numFmtId="166" fontId="8" fillId="2" borderId="0" xfId="2" applyNumberFormat="1" applyFont="1" applyFill="1" applyBorder="1"/>
    <xf numFmtId="164" fontId="1" fillId="2" borderId="0" xfId="1" applyNumberFormat="1" applyFont="1" applyFill="1" applyBorder="1" applyAlignment="1"/>
    <xf numFmtId="169" fontId="8" fillId="2" borderId="0" xfId="3" applyNumberFormat="1" applyFont="1" applyFill="1" applyBorder="1" applyAlignment="1"/>
    <xf numFmtId="0" fontId="9" fillId="2" borderId="0" xfId="0" applyFont="1" applyFill="1" applyBorder="1" applyAlignment="1" applyProtection="1">
      <alignment horizontal="center" wrapText="1"/>
    </xf>
    <xf numFmtId="167" fontId="8" fillId="2" borderId="0" xfId="2" applyNumberFormat="1" applyFont="1" applyFill="1" applyBorder="1"/>
    <xf numFmtId="0" fontId="0" fillId="2" borderId="0" xfId="0" applyFill="1" applyBorder="1"/>
    <xf numFmtId="0" fontId="12" fillId="0" borderId="0" xfId="0" applyFont="1" applyProtection="1"/>
    <xf numFmtId="0" fontId="5" fillId="0" borderId="0" xfId="0" applyFont="1"/>
    <xf numFmtId="0" fontId="4" fillId="0" borderId="0" xfId="0" applyFont="1" applyAlignment="1" applyProtection="1">
      <alignment horizontal="center"/>
    </xf>
    <xf numFmtId="0" fontId="5" fillId="0" borderId="0" xfId="0" applyFont="1" applyProtection="1"/>
    <xf numFmtId="0" fontId="13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14" fillId="2" borderId="0" xfId="0" applyFont="1" applyFill="1"/>
    <xf numFmtId="44" fontId="15" fillId="2" borderId="0" xfId="2" applyFont="1" applyFill="1" applyProtection="1"/>
    <xf numFmtId="0" fontId="14" fillId="2" borderId="0" xfId="0" applyFont="1" applyFill="1" applyProtection="1"/>
    <xf numFmtId="0" fontId="14" fillId="0" borderId="0" xfId="0" applyFont="1" applyProtection="1"/>
    <xf numFmtId="0" fontId="2" fillId="2" borderId="0" xfId="0" applyFont="1" applyFill="1" applyProtection="1"/>
    <xf numFmtId="44" fontId="2" fillId="2" borderId="0" xfId="2" applyFont="1" applyFill="1" applyProtection="1"/>
    <xf numFmtId="167" fontId="15" fillId="2" borderId="0" xfId="2" applyNumberFormat="1" applyFont="1" applyFill="1" applyProtection="1"/>
    <xf numFmtId="167" fontId="0" fillId="0" borderId="0" xfId="0" applyNumberFormat="1" applyProtection="1"/>
    <xf numFmtId="167" fontId="2" fillId="2" borderId="0" xfId="2" applyNumberFormat="1" applyFont="1" applyFill="1" applyProtection="1"/>
    <xf numFmtId="167" fontId="0" fillId="2" borderId="0" xfId="0" applyNumberFormat="1" applyFill="1" applyProtection="1"/>
    <xf numFmtId="167" fontId="14" fillId="2" borderId="0" xfId="0" applyNumberFormat="1" applyFont="1" applyFill="1" applyProtection="1"/>
    <xf numFmtId="167" fontId="15" fillId="2" borderId="2" xfId="2" applyNumberFormat="1" applyFont="1" applyFill="1" applyBorder="1" applyProtection="1"/>
    <xf numFmtId="170" fontId="1" fillId="3" borderId="1" xfId="1" applyNumberFormat="1" applyFont="1" applyFill="1" applyBorder="1" applyProtection="1">
      <protection locked="0"/>
    </xf>
    <xf numFmtId="171" fontId="1" fillId="3" borderId="1" xfId="2" applyNumberFormat="1" applyFont="1" applyFill="1" applyBorder="1" applyAlignment="1" applyProtection="1">
      <alignment horizontal="center"/>
      <protection locked="0"/>
    </xf>
    <xf numFmtId="172" fontId="1" fillId="3" borderId="1" xfId="2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173" fontId="15" fillId="2" borderId="0" xfId="2" applyNumberFormat="1" applyFont="1" applyFill="1" applyProtection="1"/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/>
    <xf numFmtId="167" fontId="8" fillId="0" borderId="0" xfId="2" applyNumberFormat="1" applyFont="1" applyAlignment="1" applyProtection="1">
      <alignment horizontal="right"/>
      <protection locked="0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 applyProtection="1">
      <protection locked="0"/>
    </xf>
    <xf numFmtId="0" fontId="4" fillId="0" borderId="0" xfId="0" applyFont="1" applyFill="1" applyAlignment="1" applyProtection="1">
      <alignment horizontal="left" indent="1"/>
    </xf>
    <xf numFmtId="0" fontId="0" fillId="0" borderId="0" xfId="0" applyFill="1" applyProtection="1"/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0" fontId="4" fillId="0" borderId="0" xfId="0" applyFont="1" applyAlignment="1" applyProtection="1">
      <alignment horizontal="left" inden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164" fontId="0" fillId="3" borderId="3" xfId="1" applyNumberFormat="1" applyFont="1" applyFill="1" applyBorder="1" applyProtection="1">
      <protection locked="0"/>
    </xf>
    <xf numFmtId="164" fontId="0" fillId="2" borderId="3" xfId="1" applyNumberFormat="1" applyFont="1" applyFill="1" applyBorder="1" applyAlignment="1" applyProtection="1"/>
    <xf numFmtId="164" fontId="0" fillId="3" borderId="4" xfId="1" applyNumberFormat="1" applyFont="1" applyFill="1" applyBorder="1" applyProtection="1">
      <protection locked="0"/>
    </xf>
    <xf numFmtId="167" fontId="8" fillId="0" borderId="0" xfId="2" applyNumberFormat="1" applyFont="1" applyAlignment="1" applyProtection="1">
      <protection locked="0"/>
    </xf>
    <xf numFmtId="0" fontId="17" fillId="0" borderId="0" xfId="0" applyFont="1" applyAlignment="1" applyProtection="1">
      <alignment horizontal="center" wrapText="1"/>
    </xf>
    <xf numFmtId="0" fontId="18" fillId="2" borderId="0" xfId="0" applyFont="1" applyFill="1" applyProtection="1"/>
    <xf numFmtId="0" fontId="18" fillId="0" borderId="0" xfId="0" applyFont="1" applyProtection="1"/>
    <xf numFmtId="164" fontId="8" fillId="2" borderId="2" xfId="1" applyNumberFormat="1" applyFont="1" applyFill="1" applyBorder="1" applyProtection="1"/>
    <xf numFmtId="44" fontId="8" fillId="2" borderId="2" xfId="2" applyFont="1" applyFill="1" applyBorder="1" applyProtection="1"/>
    <xf numFmtId="166" fontId="8" fillId="2" borderId="2" xfId="2" applyNumberFormat="1" applyFont="1" applyFill="1" applyBorder="1" applyProtection="1"/>
    <xf numFmtId="0" fontId="8" fillId="2" borderId="0" xfId="0" applyFont="1" applyFill="1" applyProtection="1"/>
    <xf numFmtId="166" fontId="0" fillId="0" borderId="0" xfId="0" applyNumberFormat="1"/>
    <xf numFmtId="166" fontId="0" fillId="0" borderId="5" xfId="0" applyNumberFormat="1" applyBorder="1"/>
    <xf numFmtId="0" fontId="18" fillId="0" borderId="0" xfId="0" applyFont="1"/>
    <xf numFmtId="166" fontId="16" fillId="2" borderId="0" xfId="2" applyNumberFormat="1" applyFont="1" applyFill="1" applyProtection="1"/>
    <xf numFmtId="164" fontId="16" fillId="2" borderId="0" xfId="1" applyNumberFormat="1" applyFont="1" applyFill="1" applyProtection="1"/>
    <xf numFmtId="165" fontId="16" fillId="2" borderId="1" xfId="2" applyNumberFormat="1" applyFont="1" applyFill="1" applyBorder="1" applyAlignment="1" applyProtection="1">
      <alignment horizontal="center"/>
    </xf>
    <xf numFmtId="0" fontId="16" fillId="2" borderId="0" xfId="0" applyFont="1" applyFill="1" applyProtection="1"/>
    <xf numFmtId="44" fontId="16" fillId="2" borderId="2" xfId="2" applyFont="1" applyFill="1" applyBorder="1" applyProtection="1"/>
    <xf numFmtId="166" fontId="16" fillId="2" borderId="2" xfId="2" applyNumberFormat="1" applyFont="1" applyFill="1" applyBorder="1" applyProtection="1"/>
    <xf numFmtId="0" fontId="16" fillId="0" borderId="0" xfId="0" applyFont="1" applyProtection="1"/>
    <xf numFmtId="43" fontId="0" fillId="0" borderId="0" xfId="1" applyFont="1"/>
    <xf numFmtId="44" fontId="15" fillId="6" borderId="0" xfId="2" applyFont="1" applyFill="1" applyProtection="1"/>
    <xf numFmtId="0" fontId="19" fillId="0" borderId="0" xfId="0" applyFont="1"/>
    <xf numFmtId="0" fontId="0" fillId="0" borderId="0" xfId="0" applyAlignment="1" applyProtection="1">
      <alignment horizontal="left"/>
      <protection locked="0"/>
    </xf>
    <xf numFmtId="167" fontId="8" fillId="0" borderId="0" xfId="2" applyNumberFormat="1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168" fontId="0" fillId="0" borderId="3" xfId="1" applyNumberFormat="1" applyFont="1" applyFill="1" applyBorder="1" applyAlignment="1" applyProtection="1">
      <alignment horizontal="center"/>
    </xf>
    <xf numFmtId="10" fontId="8" fillId="2" borderId="3" xfId="3" applyNumberFormat="1" applyFont="1" applyFill="1" applyBorder="1" applyAlignment="1" applyProtection="1">
      <alignment horizontal="right"/>
    </xf>
    <xf numFmtId="168" fontId="0" fillId="0" borderId="3" xfId="1" applyNumberFormat="1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fill>
        <patternFill>
          <bgColor indexed="9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  <dxf>
      <font>
        <b/>
        <i val="0"/>
        <condense val="0"/>
        <extend val="0"/>
        <color indexed="8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66674</xdr:rowOff>
    </xdr:from>
    <xdr:to>
      <xdr:col>17</xdr:col>
      <xdr:colOff>581025</xdr:colOff>
      <xdr:row>46</xdr:row>
      <xdr:rowOff>104775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87" t="36129" r="10067" b="25116"/>
        <a:stretch/>
      </xdr:blipFill>
      <xdr:spPr>
        <a:xfrm>
          <a:off x="247650" y="4600574"/>
          <a:ext cx="10696575" cy="29527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18</xdr:col>
      <xdr:colOff>9525</xdr:colOff>
      <xdr:row>28</xdr:row>
      <xdr:rowOff>76201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44" t="31379" r="9911" b="9739"/>
        <a:stretch/>
      </xdr:blipFill>
      <xdr:spPr>
        <a:xfrm>
          <a:off x="285750" y="2390775"/>
          <a:ext cx="10696575" cy="44862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247650</xdr:colOff>
      <xdr:row>20</xdr:row>
      <xdr:rowOff>92738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43" t="30879" r="4051" b="27615"/>
        <a:stretch/>
      </xdr:blipFill>
      <xdr:spPr>
        <a:xfrm>
          <a:off x="0" y="0"/>
          <a:ext cx="12020550" cy="33312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19049</xdr:rowOff>
    </xdr:from>
    <xdr:to>
      <xdr:col>18</xdr:col>
      <xdr:colOff>171449</xdr:colOff>
      <xdr:row>21</xdr:row>
      <xdr:rowOff>74032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22" t="30879" r="1784" b="23990"/>
        <a:stretch/>
      </xdr:blipFill>
      <xdr:spPr>
        <a:xfrm>
          <a:off x="47624" y="19049"/>
          <a:ext cx="11896725" cy="35030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256767</xdr:colOff>
      <xdr:row>21</xdr:row>
      <xdr:rowOff>38100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5" t="30879" r="2018" b="24740"/>
        <a:stretch/>
      </xdr:blipFill>
      <xdr:spPr>
        <a:xfrm>
          <a:off x="0" y="0"/>
          <a:ext cx="12029667" cy="3486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561975</xdr:colOff>
      <xdr:row>25</xdr:row>
      <xdr:rowOff>11244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88" t="31004" r="22100" b="18115"/>
        <a:stretch/>
      </xdr:blipFill>
      <xdr:spPr>
        <a:xfrm>
          <a:off x="0" y="0"/>
          <a:ext cx="9505950" cy="3992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57150</xdr:rowOff>
    </xdr:from>
    <xdr:to>
      <xdr:col>15</xdr:col>
      <xdr:colOff>19051</xdr:colOff>
      <xdr:row>28</xdr:row>
      <xdr:rowOff>28575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44" t="30504" r="24834" b="10364"/>
        <a:stretch/>
      </xdr:blipFill>
      <xdr:spPr>
        <a:xfrm>
          <a:off x="285751" y="2324100"/>
          <a:ext cx="8877300" cy="450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12</xdr:row>
      <xdr:rowOff>142875</xdr:rowOff>
    </xdr:from>
    <xdr:to>
      <xdr:col>14</xdr:col>
      <xdr:colOff>390525</xdr:colOff>
      <xdr:row>15</xdr:row>
      <xdr:rowOff>95250</xdr:rowOff>
    </xdr:to>
    <xdr:grpSp>
      <xdr:nvGrpSpPr>
        <xdr:cNvPr id="12266" name="Group 43"/>
        <xdr:cNvGrpSpPr>
          <a:grpSpLocks/>
        </xdr:cNvGrpSpPr>
      </xdr:nvGrpSpPr>
      <xdr:grpSpPr bwMode="auto">
        <a:xfrm>
          <a:off x="1047750" y="2085975"/>
          <a:ext cx="9334500" cy="438150"/>
          <a:chOff x="110" y="287"/>
          <a:chExt cx="980" cy="46"/>
        </a:xfrm>
      </xdr:grpSpPr>
      <xdr:pic>
        <xdr:nvPicPr>
          <xdr:cNvPr id="1227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937" t="68555" r="12968" b="23633"/>
          <a:stretch>
            <a:fillRect/>
          </a:stretch>
        </xdr:blipFill>
        <xdr:spPr bwMode="auto">
          <a:xfrm>
            <a:off x="110" y="287"/>
            <a:ext cx="980" cy="4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2" name="Text Box 9"/>
          <xdr:cNvSpPr txBox="1">
            <a:spLocks noChangeArrowheads="1"/>
          </xdr:cNvSpPr>
        </xdr:nvSpPr>
        <xdr:spPr bwMode="auto">
          <a:xfrm>
            <a:off x="111" y="295"/>
            <a:ext cx="903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 Select the appropriate rate classes that appear on your most recent Board-Approved Tariff of Rates and Charges.</a:t>
            </a:r>
          </a:p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 Enter the RTS Network and Connection Rate as it appears on the Tariff of Rates and Charges</a:t>
            </a:r>
          </a:p>
        </xdr:txBody>
      </xdr:sp>
    </xdr:grpSp>
    <xdr:clientData/>
  </xdr:twoCellAnchor>
  <xdr:twoCellAnchor>
    <xdr:from>
      <xdr:col>1</xdr:col>
      <xdr:colOff>571500</xdr:colOff>
      <xdr:row>16</xdr:row>
      <xdr:rowOff>47625</xdr:rowOff>
    </xdr:from>
    <xdr:to>
      <xdr:col>3</xdr:col>
      <xdr:colOff>600075</xdr:colOff>
      <xdr:row>18</xdr:row>
      <xdr:rowOff>9525</xdr:rowOff>
    </xdr:to>
    <xdr:grpSp>
      <xdr:nvGrpSpPr>
        <xdr:cNvPr id="12267" name="Group 10"/>
        <xdr:cNvGrpSpPr>
          <a:grpSpLocks/>
        </xdr:cNvGrpSpPr>
      </xdr:nvGrpSpPr>
      <xdr:grpSpPr bwMode="auto">
        <a:xfrm>
          <a:off x="571500" y="2638425"/>
          <a:ext cx="1247775" cy="285750"/>
          <a:chOff x="65" y="344"/>
          <a:chExt cx="114" cy="30"/>
        </a:xfrm>
      </xdr:grpSpPr>
      <xdr:pic>
        <xdr:nvPicPr>
          <xdr:cNvPr id="12277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5" name="Text Box 12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Rate Class</a:t>
            </a:r>
          </a:p>
        </xdr:txBody>
      </xdr:sp>
    </xdr:grpSp>
    <xdr:clientData/>
  </xdr:twoCellAnchor>
  <xdr:twoCellAnchor>
    <xdr:from>
      <xdr:col>8</xdr:col>
      <xdr:colOff>571500</xdr:colOff>
      <xdr:row>16</xdr:row>
      <xdr:rowOff>28575</xdr:rowOff>
    </xdr:from>
    <xdr:to>
      <xdr:col>11</xdr:col>
      <xdr:colOff>323850</xdr:colOff>
      <xdr:row>17</xdr:row>
      <xdr:rowOff>152400</xdr:rowOff>
    </xdr:to>
    <xdr:grpSp>
      <xdr:nvGrpSpPr>
        <xdr:cNvPr id="12268" name="Group 17"/>
        <xdr:cNvGrpSpPr>
          <a:grpSpLocks/>
        </xdr:cNvGrpSpPr>
      </xdr:nvGrpSpPr>
      <xdr:grpSpPr bwMode="auto">
        <a:xfrm>
          <a:off x="6877050" y="2619375"/>
          <a:ext cx="1600200" cy="285750"/>
          <a:chOff x="65" y="344"/>
          <a:chExt cx="114" cy="30"/>
        </a:xfrm>
      </xdr:grpSpPr>
      <xdr:pic>
        <xdr:nvPicPr>
          <xdr:cNvPr id="12275" name="Picture 1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8" name="Text Box 19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RTSR - Network</a:t>
            </a:r>
          </a:p>
        </xdr:txBody>
      </xdr:sp>
    </xdr:grpSp>
    <xdr:clientData/>
  </xdr:twoCellAnchor>
  <xdr:twoCellAnchor>
    <xdr:from>
      <xdr:col>11</xdr:col>
      <xdr:colOff>447675</xdr:colOff>
      <xdr:row>16</xdr:row>
      <xdr:rowOff>28575</xdr:rowOff>
    </xdr:from>
    <xdr:to>
      <xdr:col>14</xdr:col>
      <xdr:colOff>485775</xdr:colOff>
      <xdr:row>17</xdr:row>
      <xdr:rowOff>152400</xdr:rowOff>
    </xdr:to>
    <xdr:grpSp>
      <xdr:nvGrpSpPr>
        <xdr:cNvPr id="12269" name="Group 20"/>
        <xdr:cNvGrpSpPr>
          <a:grpSpLocks/>
        </xdr:cNvGrpSpPr>
      </xdr:nvGrpSpPr>
      <xdr:grpSpPr bwMode="auto">
        <a:xfrm>
          <a:off x="8601075" y="2619375"/>
          <a:ext cx="1876425" cy="285750"/>
          <a:chOff x="65" y="344"/>
          <a:chExt cx="114" cy="30"/>
        </a:xfrm>
      </xdr:grpSpPr>
      <xdr:pic>
        <xdr:nvPicPr>
          <xdr:cNvPr id="12273" name="Picture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1" name="Text Box 22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RTSR - Connection</a:t>
            </a:r>
          </a:p>
        </xdr:txBody>
      </xdr:sp>
    </xdr:grpSp>
    <xdr:clientData/>
  </xdr:twoCellAnchor>
  <xdr:twoCellAnchor>
    <xdr:from>
      <xdr:col>7</xdr:col>
      <xdr:colOff>57150</xdr:colOff>
      <xdr:row>16</xdr:row>
      <xdr:rowOff>28575</xdr:rowOff>
    </xdr:from>
    <xdr:to>
      <xdr:col>8</xdr:col>
      <xdr:colOff>47625</xdr:colOff>
      <xdr:row>17</xdr:row>
      <xdr:rowOff>152400</xdr:rowOff>
    </xdr:to>
    <xdr:grpSp>
      <xdr:nvGrpSpPr>
        <xdr:cNvPr id="12270" name="Group 30"/>
        <xdr:cNvGrpSpPr>
          <a:grpSpLocks/>
        </xdr:cNvGrpSpPr>
      </xdr:nvGrpSpPr>
      <xdr:grpSpPr bwMode="auto">
        <a:xfrm>
          <a:off x="5753100" y="2619375"/>
          <a:ext cx="600075" cy="285750"/>
          <a:chOff x="65" y="344"/>
          <a:chExt cx="114" cy="30"/>
        </a:xfrm>
      </xdr:grpSpPr>
      <xdr:pic>
        <xdr:nvPicPr>
          <xdr:cNvPr id="12271" name="Picture 3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4" name="Text Box 32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Unit</a:t>
            </a:r>
          </a:p>
        </xdr:txBody>
      </xdr:sp>
    </xdr:grpSp>
    <xdr:clientData/>
  </xdr:twoCellAnchor>
  <xdr:twoCellAnchor editAs="oneCell">
    <xdr:from>
      <xdr:col>1</xdr:col>
      <xdr:colOff>571500</xdr:colOff>
      <xdr:row>0</xdr:row>
      <xdr:rowOff>38100</xdr:rowOff>
    </xdr:from>
    <xdr:to>
      <xdr:col>13</xdr:col>
      <xdr:colOff>371475</xdr:colOff>
      <xdr:row>11</xdr:row>
      <xdr:rowOff>95251</xdr:rowOff>
    </xdr:to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44" t="30629" r="22334" b="45243"/>
        <a:stretch/>
      </xdr:blipFill>
      <xdr:spPr>
        <a:xfrm>
          <a:off x="571500" y="38100"/>
          <a:ext cx="9182100" cy="1838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16</xdr:row>
      <xdr:rowOff>85725</xdr:rowOff>
    </xdr:from>
    <xdr:to>
      <xdr:col>13</xdr:col>
      <xdr:colOff>9525</xdr:colOff>
      <xdr:row>19</xdr:row>
      <xdr:rowOff>0</xdr:rowOff>
    </xdr:to>
    <xdr:grpSp>
      <xdr:nvGrpSpPr>
        <xdr:cNvPr id="13234" name="Group 75"/>
        <xdr:cNvGrpSpPr>
          <a:grpSpLocks/>
        </xdr:cNvGrpSpPr>
      </xdr:nvGrpSpPr>
      <xdr:grpSpPr bwMode="auto">
        <a:xfrm>
          <a:off x="1047750" y="2676525"/>
          <a:ext cx="9820275" cy="400050"/>
          <a:chOff x="110" y="281"/>
          <a:chExt cx="1031" cy="42"/>
        </a:xfrm>
      </xdr:grpSpPr>
      <xdr:pic>
        <xdr:nvPicPr>
          <xdr:cNvPr id="1325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5937" t="68555" r="12968" b="23633"/>
          <a:stretch>
            <a:fillRect/>
          </a:stretch>
        </xdr:blipFill>
        <xdr:spPr bwMode="auto">
          <a:xfrm>
            <a:off x="110" y="281"/>
            <a:ext cx="1031" cy="3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1" name="Text Box 9"/>
          <xdr:cNvSpPr txBox="1">
            <a:spLocks noChangeArrowheads="1"/>
          </xdr:cNvSpPr>
        </xdr:nvSpPr>
        <xdr:spPr bwMode="auto">
          <a:xfrm>
            <a:off x="111" y="290"/>
            <a:ext cx="976" cy="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 the green shaded cells, enter the most recent reported RRR billing determinants.  Please ensure that billing determinants are non-loss adjusted.</a:t>
            </a:r>
          </a:p>
        </xdr:txBody>
      </xdr:sp>
    </xdr:grpSp>
    <xdr:clientData/>
  </xdr:twoCellAnchor>
  <xdr:twoCellAnchor>
    <xdr:from>
      <xdr:col>1</xdr:col>
      <xdr:colOff>0</xdr:colOff>
      <xdr:row>23</xdr:row>
      <xdr:rowOff>66675</xdr:rowOff>
    </xdr:from>
    <xdr:to>
      <xdr:col>2</xdr:col>
      <xdr:colOff>0</xdr:colOff>
      <xdr:row>24</xdr:row>
      <xdr:rowOff>142875</xdr:rowOff>
    </xdr:to>
    <xdr:grpSp>
      <xdr:nvGrpSpPr>
        <xdr:cNvPr id="13235" name="Group 26"/>
        <xdr:cNvGrpSpPr>
          <a:grpSpLocks/>
        </xdr:cNvGrpSpPr>
      </xdr:nvGrpSpPr>
      <xdr:grpSpPr bwMode="auto">
        <a:xfrm>
          <a:off x="914400" y="3933825"/>
          <a:ext cx="2152650" cy="285750"/>
          <a:chOff x="65" y="344"/>
          <a:chExt cx="114" cy="30"/>
        </a:xfrm>
      </xdr:grpSpPr>
      <xdr:pic>
        <xdr:nvPicPr>
          <xdr:cNvPr id="13257" name="Picture 2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4" name="Text Box 28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Rate Class</a:t>
            </a:r>
          </a:p>
        </xdr:txBody>
      </xdr:sp>
    </xdr:grpSp>
    <xdr:clientData/>
  </xdr:twoCellAnchor>
  <xdr:twoCellAnchor>
    <xdr:from>
      <xdr:col>3</xdr:col>
      <xdr:colOff>38100</xdr:colOff>
      <xdr:row>23</xdr:row>
      <xdr:rowOff>57150</xdr:rowOff>
    </xdr:from>
    <xdr:to>
      <xdr:col>4</xdr:col>
      <xdr:colOff>47625</xdr:colOff>
      <xdr:row>24</xdr:row>
      <xdr:rowOff>133350</xdr:rowOff>
    </xdr:to>
    <xdr:grpSp>
      <xdr:nvGrpSpPr>
        <xdr:cNvPr id="13236" name="Group 29"/>
        <xdr:cNvGrpSpPr>
          <a:grpSpLocks/>
        </xdr:cNvGrpSpPr>
      </xdr:nvGrpSpPr>
      <xdr:grpSpPr bwMode="auto">
        <a:xfrm>
          <a:off x="4171950" y="3924300"/>
          <a:ext cx="619125" cy="285750"/>
          <a:chOff x="65" y="344"/>
          <a:chExt cx="114" cy="30"/>
        </a:xfrm>
      </xdr:grpSpPr>
      <xdr:pic>
        <xdr:nvPicPr>
          <xdr:cNvPr id="13255" name="Picture 3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7" name="Text Box 31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Unit</a:t>
            </a:r>
          </a:p>
        </xdr:txBody>
      </xdr:sp>
    </xdr:grpSp>
    <xdr:clientData/>
  </xdr:twoCellAnchor>
  <xdr:twoCellAnchor>
    <xdr:from>
      <xdr:col>4</xdr:col>
      <xdr:colOff>209550</xdr:colOff>
      <xdr:row>21</xdr:row>
      <xdr:rowOff>66675</xdr:rowOff>
    </xdr:from>
    <xdr:to>
      <xdr:col>6</xdr:col>
      <xdr:colOff>142875</xdr:colOff>
      <xdr:row>26</xdr:row>
      <xdr:rowOff>9525</xdr:rowOff>
    </xdr:to>
    <xdr:grpSp>
      <xdr:nvGrpSpPr>
        <xdr:cNvPr id="13237" name="Group 45"/>
        <xdr:cNvGrpSpPr>
          <a:grpSpLocks/>
        </xdr:cNvGrpSpPr>
      </xdr:nvGrpSpPr>
      <xdr:grpSpPr bwMode="auto">
        <a:xfrm>
          <a:off x="4953000" y="3514725"/>
          <a:ext cx="1238250" cy="733425"/>
          <a:chOff x="513" y="392"/>
          <a:chExt cx="116" cy="30"/>
        </a:xfrm>
      </xdr:grpSpPr>
      <xdr:pic>
        <xdr:nvPicPr>
          <xdr:cNvPr id="13253" name="Picture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513" y="392"/>
            <a:ext cx="101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" name="Text Box 34"/>
          <xdr:cNvSpPr txBox="1">
            <a:spLocks noChangeArrowheads="1"/>
          </xdr:cNvSpPr>
        </xdr:nvSpPr>
        <xdr:spPr bwMode="auto">
          <a:xfrm>
            <a:off x="515" y="393"/>
            <a:ext cx="114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Non-Loss Adjusted Metered kWh</a:t>
            </a:r>
          </a:p>
        </xdr:txBody>
      </xdr:sp>
    </xdr:grpSp>
    <xdr:clientData/>
  </xdr:twoCellAnchor>
  <xdr:twoCellAnchor>
    <xdr:from>
      <xdr:col>6</xdr:col>
      <xdr:colOff>95250</xdr:colOff>
      <xdr:row>21</xdr:row>
      <xdr:rowOff>66675</xdr:rowOff>
    </xdr:from>
    <xdr:to>
      <xdr:col>7</xdr:col>
      <xdr:colOff>133350</xdr:colOff>
      <xdr:row>26</xdr:row>
      <xdr:rowOff>9525</xdr:rowOff>
    </xdr:to>
    <xdr:grpSp>
      <xdr:nvGrpSpPr>
        <xdr:cNvPr id="13238" name="Group 44"/>
        <xdr:cNvGrpSpPr>
          <a:grpSpLocks/>
        </xdr:cNvGrpSpPr>
      </xdr:nvGrpSpPr>
      <xdr:grpSpPr bwMode="auto">
        <a:xfrm>
          <a:off x="6143625" y="3514725"/>
          <a:ext cx="1114425" cy="733425"/>
          <a:chOff x="619" y="392"/>
          <a:chExt cx="131" cy="30"/>
        </a:xfrm>
      </xdr:grpSpPr>
      <xdr:pic>
        <xdr:nvPicPr>
          <xdr:cNvPr id="13251" name="Picture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19" y="392"/>
            <a:ext cx="113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3" name="Text Box 40"/>
          <xdr:cNvSpPr txBox="1">
            <a:spLocks noChangeArrowheads="1"/>
          </xdr:cNvSpPr>
        </xdr:nvSpPr>
        <xdr:spPr bwMode="auto">
          <a:xfrm>
            <a:off x="622" y="393"/>
            <a:ext cx="128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Non-Loss Adjusted Metered kW</a:t>
            </a:r>
          </a:p>
        </xdr:txBody>
      </xdr:sp>
    </xdr:grpSp>
    <xdr:clientData/>
  </xdr:twoCellAnchor>
  <xdr:twoCellAnchor>
    <xdr:from>
      <xdr:col>7</xdr:col>
      <xdr:colOff>57150</xdr:colOff>
      <xdr:row>22</xdr:row>
      <xdr:rowOff>85725</xdr:rowOff>
    </xdr:from>
    <xdr:to>
      <xdr:col>9</xdr:col>
      <xdr:colOff>228600</xdr:colOff>
      <xdr:row>25</xdr:row>
      <xdr:rowOff>9525</xdr:rowOff>
    </xdr:to>
    <xdr:grpSp>
      <xdr:nvGrpSpPr>
        <xdr:cNvPr id="13239" name="Group 41"/>
        <xdr:cNvGrpSpPr>
          <a:grpSpLocks/>
        </xdr:cNvGrpSpPr>
      </xdr:nvGrpSpPr>
      <xdr:grpSpPr bwMode="auto">
        <a:xfrm>
          <a:off x="7181850" y="3743325"/>
          <a:ext cx="1143000" cy="495300"/>
          <a:chOff x="65" y="344"/>
          <a:chExt cx="114" cy="30"/>
        </a:xfrm>
      </xdr:grpSpPr>
      <xdr:pic>
        <xdr:nvPicPr>
          <xdr:cNvPr id="13249" name="Picture 4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5" y="344"/>
            <a:ext cx="95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6" name="Text Box 43"/>
          <xdr:cNvSpPr txBox="1">
            <a:spLocks noChangeArrowheads="1"/>
          </xdr:cNvSpPr>
        </xdr:nvSpPr>
        <xdr:spPr bwMode="auto">
          <a:xfrm>
            <a:off x="72" y="345"/>
            <a:ext cx="107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Applicable 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Loss Factor</a:t>
            </a:r>
          </a:p>
        </xdr:txBody>
      </xdr:sp>
    </xdr:grpSp>
    <xdr:clientData/>
  </xdr:twoCellAnchor>
  <xdr:twoCellAnchor>
    <xdr:from>
      <xdr:col>9</xdr:col>
      <xdr:colOff>114300</xdr:colOff>
      <xdr:row>22</xdr:row>
      <xdr:rowOff>85725</xdr:rowOff>
    </xdr:from>
    <xdr:to>
      <xdr:col>11</xdr:col>
      <xdr:colOff>66675</xdr:colOff>
      <xdr:row>25</xdr:row>
      <xdr:rowOff>0</xdr:rowOff>
    </xdr:to>
    <xdr:grpSp>
      <xdr:nvGrpSpPr>
        <xdr:cNvPr id="13240" name="Group 46"/>
        <xdr:cNvGrpSpPr>
          <a:grpSpLocks/>
        </xdr:cNvGrpSpPr>
      </xdr:nvGrpSpPr>
      <xdr:grpSpPr bwMode="auto">
        <a:xfrm>
          <a:off x="8210550" y="3743325"/>
          <a:ext cx="561975" cy="495300"/>
          <a:chOff x="619" y="392"/>
          <a:chExt cx="131" cy="30"/>
        </a:xfrm>
      </xdr:grpSpPr>
      <xdr:pic>
        <xdr:nvPicPr>
          <xdr:cNvPr id="13247" name="Picture 4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19" y="392"/>
            <a:ext cx="113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9" name="Text Box 48"/>
          <xdr:cNvSpPr txBox="1">
            <a:spLocks noChangeArrowheads="1"/>
          </xdr:cNvSpPr>
        </xdr:nvSpPr>
        <xdr:spPr bwMode="auto">
          <a:xfrm>
            <a:off x="621" y="393"/>
            <a:ext cx="129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0" bIns="0" anchor="t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Load </a:t>
            </a:r>
          </a:p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FFFFFF"/>
                </a:solidFill>
                <a:latin typeface="Book Antiqua"/>
              </a:rPr>
              <a:t>Factor</a:t>
            </a:r>
          </a:p>
        </xdr:txBody>
      </xdr:sp>
    </xdr:grpSp>
    <xdr:clientData/>
  </xdr:twoCellAnchor>
  <xdr:twoCellAnchor>
    <xdr:from>
      <xdr:col>11</xdr:col>
      <xdr:colOff>38100</xdr:colOff>
      <xdr:row>22</xdr:row>
      <xdr:rowOff>85725</xdr:rowOff>
    </xdr:from>
    <xdr:to>
      <xdr:col>12</xdr:col>
      <xdr:colOff>152400</xdr:colOff>
      <xdr:row>25</xdr:row>
      <xdr:rowOff>0</xdr:rowOff>
    </xdr:to>
    <xdr:grpSp>
      <xdr:nvGrpSpPr>
        <xdr:cNvPr id="13241" name="Group 49"/>
        <xdr:cNvGrpSpPr>
          <a:grpSpLocks/>
        </xdr:cNvGrpSpPr>
      </xdr:nvGrpSpPr>
      <xdr:grpSpPr bwMode="auto">
        <a:xfrm>
          <a:off x="8743950" y="3743325"/>
          <a:ext cx="1190625" cy="495300"/>
          <a:chOff x="619" y="392"/>
          <a:chExt cx="131" cy="30"/>
        </a:xfrm>
      </xdr:grpSpPr>
      <xdr:pic>
        <xdr:nvPicPr>
          <xdr:cNvPr id="13245" name="Picture 5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619" y="392"/>
            <a:ext cx="113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2" name="Text Box 51"/>
          <xdr:cNvSpPr txBox="1">
            <a:spLocks noChangeArrowheads="1"/>
          </xdr:cNvSpPr>
        </xdr:nvSpPr>
        <xdr:spPr bwMode="auto">
          <a:xfrm>
            <a:off x="622" y="393"/>
            <a:ext cx="128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n-US" sz="1100" b="1" i="0" u="none" strike="noStrike" baseline="0">
                <a:solidFill>
                  <a:srgbClr val="FFFFFF"/>
                </a:solidFill>
                <a:latin typeface="Book Antiqua"/>
              </a:rPr>
              <a:t>Loss Adjusted Billed kWh</a:t>
            </a:r>
          </a:p>
        </xdr:txBody>
      </xdr:sp>
    </xdr:grpSp>
    <xdr:clientData/>
  </xdr:twoCellAnchor>
  <xdr:twoCellAnchor>
    <xdr:from>
      <xdr:col>12</xdr:col>
      <xdr:colOff>0</xdr:colOff>
      <xdr:row>22</xdr:row>
      <xdr:rowOff>85725</xdr:rowOff>
    </xdr:from>
    <xdr:to>
      <xdr:col>13</xdr:col>
      <xdr:colOff>47625</xdr:colOff>
      <xdr:row>24</xdr:row>
      <xdr:rowOff>133350</xdr:rowOff>
    </xdr:to>
    <xdr:grpSp>
      <xdr:nvGrpSpPr>
        <xdr:cNvPr id="13242" name="Group 76"/>
        <xdr:cNvGrpSpPr>
          <a:grpSpLocks/>
        </xdr:cNvGrpSpPr>
      </xdr:nvGrpSpPr>
      <xdr:grpSpPr bwMode="auto">
        <a:xfrm>
          <a:off x="9782175" y="3743325"/>
          <a:ext cx="1123950" cy="466725"/>
          <a:chOff x="1022" y="393"/>
          <a:chExt cx="123" cy="49"/>
        </a:xfrm>
      </xdr:grpSpPr>
      <xdr:pic>
        <xdr:nvPicPr>
          <xdr:cNvPr id="13243" name="Picture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1" t="45313" r="24376" b="50000"/>
          <a:stretch>
            <a:fillRect/>
          </a:stretch>
        </xdr:blipFill>
        <xdr:spPr bwMode="auto">
          <a:xfrm>
            <a:off x="1032" y="393"/>
            <a:ext cx="110" cy="4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5" name="Text Box 54"/>
          <xdr:cNvSpPr txBox="1">
            <a:spLocks noChangeArrowheads="1"/>
          </xdr:cNvSpPr>
        </xdr:nvSpPr>
        <xdr:spPr bwMode="auto">
          <a:xfrm>
            <a:off x="1022" y="403"/>
            <a:ext cx="123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27432" bIns="27432" anchor="ctr" upright="1"/>
          <a:lstStyle/>
          <a:p>
            <a:pPr algn="ctr" rtl="0">
              <a:defRPr sz="1000"/>
            </a:pPr>
            <a:r>
              <a:rPr lang="en-US" sz="1100" b="1" i="0" u="none" strike="noStrike" baseline="0">
                <a:solidFill>
                  <a:srgbClr val="FFFFFF"/>
                </a:solidFill>
                <a:latin typeface="Book Antiqua"/>
              </a:rPr>
              <a:t> Billed kW</a:t>
            </a:r>
          </a:p>
        </xdr:txBody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13</xdr:col>
      <xdr:colOff>156033</xdr:colOff>
      <xdr:row>11</xdr:row>
      <xdr:rowOff>85725</xdr:rowOff>
    </xdr:to>
    <xdr:pic>
      <xdr:nvPicPr>
        <xdr:cNvPr id="37" name="Picture 3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079" t="40880" r="57298" b="36867"/>
        <a:stretch/>
      </xdr:blipFill>
      <xdr:spPr>
        <a:xfrm>
          <a:off x="914400" y="0"/>
          <a:ext cx="10100133" cy="1866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0</xdr:rowOff>
    </xdr:from>
    <xdr:to>
      <xdr:col>8</xdr:col>
      <xdr:colOff>914400</xdr:colOff>
      <xdr:row>18</xdr:row>
      <xdr:rowOff>57150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43" t="30754" r="12020" b="28491"/>
        <a:stretch/>
      </xdr:blipFill>
      <xdr:spPr>
        <a:xfrm>
          <a:off x="330200" y="0"/>
          <a:ext cx="10439400" cy="310515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28</xdr:row>
      <xdr:rowOff>152400</xdr:rowOff>
    </xdr:from>
    <xdr:to>
      <xdr:col>8</xdr:col>
      <xdr:colOff>987425</xdr:colOff>
      <xdr:row>30</xdr:row>
      <xdr:rowOff>136525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51" t="71259" r="12099" b="24115"/>
        <a:stretch/>
      </xdr:blipFill>
      <xdr:spPr>
        <a:xfrm>
          <a:off x="1193800" y="5156200"/>
          <a:ext cx="9648825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43</xdr:row>
      <xdr:rowOff>190500</xdr:rowOff>
    </xdr:from>
    <xdr:to>
      <xdr:col>8</xdr:col>
      <xdr:colOff>1000125</xdr:colOff>
      <xdr:row>45</xdr:row>
      <xdr:rowOff>88900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985" t="74759" r="12177" b="21241"/>
        <a:stretch/>
      </xdr:blipFill>
      <xdr:spPr>
        <a:xfrm>
          <a:off x="1244600" y="8153400"/>
          <a:ext cx="9610725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64</xdr:row>
      <xdr:rowOff>0</xdr:rowOff>
    </xdr:from>
    <xdr:to>
      <xdr:col>8</xdr:col>
      <xdr:colOff>923925</xdr:colOff>
      <xdr:row>65</xdr:row>
      <xdr:rowOff>149226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5943" t="74634" r="12099" b="21240"/>
        <a:stretch/>
      </xdr:blipFill>
      <xdr:spPr>
        <a:xfrm>
          <a:off x="5664200" y="12014200"/>
          <a:ext cx="5114925" cy="314326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77</xdr:row>
      <xdr:rowOff>139700</xdr:rowOff>
    </xdr:from>
    <xdr:to>
      <xdr:col>8</xdr:col>
      <xdr:colOff>974725</xdr:colOff>
      <xdr:row>79</xdr:row>
      <xdr:rowOff>123826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5943" t="74634" r="12099" b="21240"/>
        <a:stretch/>
      </xdr:blipFill>
      <xdr:spPr>
        <a:xfrm>
          <a:off x="5715000" y="14630400"/>
          <a:ext cx="5114925" cy="3143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16</xdr:col>
      <xdr:colOff>76200</xdr:colOff>
      <xdr:row>39</xdr:row>
      <xdr:rowOff>171450</xdr:rowOff>
    </xdr:to>
    <xdr:pic>
      <xdr:nvPicPr>
        <xdr:cNvPr id="185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40666" r="26726" b="55048"/>
        <a:stretch>
          <a:fillRect/>
        </a:stretch>
      </xdr:blipFill>
      <xdr:spPr bwMode="auto">
        <a:xfrm>
          <a:off x="0" y="7353300"/>
          <a:ext cx="114585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16</xdr:col>
      <xdr:colOff>114300</xdr:colOff>
      <xdr:row>60</xdr:row>
      <xdr:rowOff>95250</xdr:rowOff>
    </xdr:to>
    <xdr:pic>
      <xdr:nvPicPr>
        <xdr:cNvPr id="185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266950" y="11544300"/>
          <a:ext cx="92297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16</xdr:col>
      <xdr:colOff>114300</xdr:colOff>
      <xdr:row>82</xdr:row>
      <xdr:rowOff>95250</xdr:rowOff>
    </xdr:to>
    <xdr:pic>
      <xdr:nvPicPr>
        <xdr:cNvPr id="185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266950" y="15916275"/>
          <a:ext cx="92297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16</xdr:col>
      <xdr:colOff>0</xdr:colOff>
      <xdr:row>105</xdr:row>
      <xdr:rowOff>19050</xdr:rowOff>
    </xdr:to>
    <xdr:pic>
      <xdr:nvPicPr>
        <xdr:cNvPr id="185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80380" r="27202" b="14857"/>
        <a:stretch>
          <a:fillRect/>
        </a:stretch>
      </xdr:blipFill>
      <xdr:spPr bwMode="auto">
        <a:xfrm>
          <a:off x="0" y="20545425"/>
          <a:ext cx="113823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101600</xdr:colOff>
      <xdr:row>0</xdr:row>
      <xdr:rowOff>12700</xdr:rowOff>
    </xdr:from>
    <xdr:to>
      <xdr:col>16</xdr:col>
      <xdr:colOff>53975</xdr:colOff>
      <xdr:row>20</xdr:row>
      <xdr:rowOff>107951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65" t="30879" r="4362" b="19865"/>
        <a:stretch/>
      </xdr:blipFill>
      <xdr:spPr>
        <a:xfrm>
          <a:off x="101600" y="12700"/>
          <a:ext cx="11382375" cy="37528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102</xdr:row>
      <xdr:rowOff>95250</xdr:rowOff>
    </xdr:from>
    <xdr:to>
      <xdr:col>16</xdr:col>
      <xdr:colOff>180975</xdr:colOff>
      <xdr:row>104</xdr:row>
      <xdr:rowOff>57150</xdr:rowOff>
    </xdr:to>
    <xdr:pic>
      <xdr:nvPicPr>
        <xdr:cNvPr id="159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80380" r="27202" b="14857"/>
        <a:stretch>
          <a:fillRect/>
        </a:stretch>
      </xdr:blipFill>
      <xdr:spPr bwMode="auto">
        <a:xfrm>
          <a:off x="171450" y="20383500"/>
          <a:ext cx="113919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219075</xdr:colOff>
      <xdr:row>38</xdr:row>
      <xdr:rowOff>180975</xdr:rowOff>
    </xdr:from>
    <xdr:to>
      <xdr:col>16</xdr:col>
      <xdr:colOff>304800</xdr:colOff>
      <xdr:row>40</xdr:row>
      <xdr:rowOff>142875</xdr:rowOff>
    </xdr:to>
    <xdr:pic>
      <xdr:nvPicPr>
        <xdr:cNvPr id="15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40666" r="26726" b="55048"/>
        <a:stretch>
          <a:fillRect/>
        </a:stretch>
      </xdr:blipFill>
      <xdr:spPr bwMode="auto">
        <a:xfrm>
          <a:off x="219075" y="7534275"/>
          <a:ext cx="1146810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209550</xdr:colOff>
      <xdr:row>57</xdr:row>
      <xdr:rowOff>114300</xdr:rowOff>
    </xdr:from>
    <xdr:to>
      <xdr:col>16</xdr:col>
      <xdr:colOff>333375</xdr:colOff>
      <xdr:row>60</xdr:row>
      <xdr:rowOff>47625</xdr:rowOff>
    </xdr:to>
    <xdr:pic>
      <xdr:nvPicPr>
        <xdr:cNvPr id="159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76500" y="11487150"/>
          <a:ext cx="923925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161925</xdr:colOff>
      <xdr:row>79</xdr:row>
      <xdr:rowOff>95250</xdr:rowOff>
    </xdr:from>
    <xdr:to>
      <xdr:col>16</xdr:col>
      <xdr:colOff>285750</xdr:colOff>
      <xdr:row>82</xdr:row>
      <xdr:rowOff>28575</xdr:rowOff>
    </xdr:to>
    <xdr:pic>
      <xdr:nvPicPr>
        <xdr:cNvPr id="159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28875" y="15840075"/>
          <a:ext cx="923925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56029</xdr:colOff>
      <xdr:row>19</xdr:row>
      <xdr:rowOff>243571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22" t="30754" r="1707" b="22366"/>
        <a:stretch/>
      </xdr:blipFill>
      <xdr:spPr>
        <a:xfrm>
          <a:off x="0" y="0"/>
          <a:ext cx="11430000" cy="34932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102</xdr:row>
      <xdr:rowOff>95250</xdr:rowOff>
    </xdr:from>
    <xdr:to>
      <xdr:col>15</xdr:col>
      <xdr:colOff>771525</xdr:colOff>
      <xdr:row>104</xdr:row>
      <xdr:rowOff>114300</xdr:rowOff>
    </xdr:to>
    <xdr:pic>
      <xdr:nvPicPr>
        <xdr:cNvPr id="25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80380" r="27202" b="14857"/>
        <a:stretch>
          <a:fillRect/>
        </a:stretch>
      </xdr:blipFill>
      <xdr:spPr bwMode="auto">
        <a:xfrm>
          <a:off x="228600" y="20640675"/>
          <a:ext cx="1103947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323849</xdr:colOff>
      <xdr:row>36</xdr:row>
      <xdr:rowOff>228600</xdr:rowOff>
    </xdr:from>
    <xdr:to>
      <xdr:col>15</xdr:col>
      <xdr:colOff>885824</xdr:colOff>
      <xdr:row>39</xdr:row>
      <xdr:rowOff>65878</xdr:rowOff>
    </xdr:to>
    <xdr:pic>
      <xdr:nvPicPr>
        <xdr:cNvPr id="25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" t="40666" r="26726" b="55048"/>
        <a:stretch>
          <a:fillRect/>
        </a:stretch>
      </xdr:blipFill>
      <xdr:spPr bwMode="auto">
        <a:xfrm>
          <a:off x="323849" y="7124700"/>
          <a:ext cx="11058525" cy="51355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209550</xdr:colOff>
      <xdr:row>56</xdr:row>
      <xdr:rowOff>114300</xdr:rowOff>
    </xdr:from>
    <xdr:to>
      <xdr:col>16</xdr:col>
      <xdr:colOff>37042</xdr:colOff>
      <xdr:row>59</xdr:row>
      <xdr:rowOff>95250</xdr:rowOff>
    </xdr:to>
    <xdr:pic>
      <xdr:nvPicPr>
        <xdr:cNvPr id="258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76500" y="11239500"/>
          <a:ext cx="8942917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161925</xdr:colOff>
      <xdr:row>78</xdr:row>
      <xdr:rowOff>95250</xdr:rowOff>
    </xdr:from>
    <xdr:to>
      <xdr:col>15</xdr:col>
      <xdr:colOff>875242</xdr:colOff>
      <xdr:row>81</xdr:row>
      <xdr:rowOff>76200</xdr:rowOff>
    </xdr:to>
    <xdr:pic>
      <xdr:nvPicPr>
        <xdr:cNvPr id="258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1" t="40666" r="26726" b="55048"/>
        <a:stretch>
          <a:fillRect/>
        </a:stretch>
      </xdr:blipFill>
      <xdr:spPr bwMode="auto">
        <a:xfrm>
          <a:off x="2428875" y="15592425"/>
          <a:ext cx="8942917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0</xdr:rowOff>
    </xdr:from>
    <xdr:to>
      <xdr:col>15</xdr:col>
      <xdr:colOff>847725</xdr:colOff>
      <xdr:row>19</xdr:row>
      <xdr:rowOff>52485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22" t="31130" r="1550" b="22490"/>
        <a:stretch/>
      </xdr:blipFill>
      <xdr:spPr>
        <a:xfrm>
          <a:off x="95250" y="0"/>
          <a:ext cx="11249025" cy="33957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76200</xdr:colOff>
      <xdr:row>20</xdr:row>
      <xdr:rowOff>96876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22" t="30879" r="5145" b="27491"/>
        <a:stretch/>
      </xdr:blipFill>
      <xdr:spPr>
        <a:xfrm>
          <a:off x="0" y="0"/>
          <a:ext cx="11849100" cy="3335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OEB/May%201,2012%20Rate%20Application%20EB-2011-0201/Models/RTSR/2012_RTSR_Adjustment_Work_Form%202%20WNH%20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2 RTS Rates"/>
      <sheetName val="hidden1"/>
    </sheetNames>
    <sheetDataSet>
      <sheetData sheetId="0"/>
      <sheetData sheetId="1"/>
      <sheetData sheetId="2">
        <row r="24">
          <cell r="C24" t="str">
            <v>Residential</v>
          </cell>
          <cell r="H24" t="str">
            <v>kWh</v>
          </cell>
          <cell r="J24">
            <v>6.7000000000000002E-3</v>
          </cell>
          <cell r="M24">
            <v>2.2000000000000001E-3</v>
          </cell>
          <cell r="Q24">
            <v>1</v>
          </cell>
        </row>
        <row r="25">
          <cell r="C25" t="str">
            <v>General Service Less Than 50 kW</v>
          </cell>
          <cell r="H25" t="str">
            <v>kWh</v>
          </cell>
          <cell r="J25">
            <v>6.1000000000000004E-3</v>
          </cell>
          <cell r="M25">
            <v>2E-3</v>
          </cell>
          <cell r="Q25">
            <v>1</v>
          </cell>
        </row>
        <row r="26">
          <cell r="C26" t="str">
            <v>General Service 50 to 999 kW</v>
          </cell>
          <cell r="H26" t="str">
            <v>kW</v>
          </cell>
          <cell r="J26">
            <v>2.4944999999999999</v>
          </cell>
          <cell r="M26">
            <v>0.78220000000000001</v>
          </cell>
          <cell r="Q26">
            <v>1</v>
          </cell>
        </row>
        <row r="27">
          <cell r="C27" t="str">
            <v>General Service 50 to 999 kW - Interval Metered</v>
          </cell>
          <cell r="H27" t="str">
            <v>kW</v>
          </cell>
          <cell r="J27">
            <v>2.6495000000000002</v>
          </cell>
          <cell r="M27">
            <v>0.97589999999999999</v>
          </cell>
          <cell r="Q27">
            <v>1</v>
          </cell>
        </row>
        <row r="28">
          <cell r="C28" t="str">
            <v>General Service 1,000 to 4,999 kW - Interval Meters</v>
          </cell>
          <cell r="H28" t="str">
            <v>kW</v>
          </cell>
          <cell r="J28">
            <v>2.6461000000000001</v>
          </cell>
          <cell r="M28">
            <v>0.97709999999999997</v>
          </cell>
          <cell r="Q28">
            <v>1</v>
          </cell>
        </row>
        <row r="29">
          <cell r="C29" t="str">
            <v>Large Use</v>
          </cell>
          <cell r="H29" t="str">
            <v>kW</v>
          </cell>
          <cell r="J29">
            <v>2.9335</v>
          </cell>
          <cell r="M29">
            <v>0.98040000000000005</v>
          </cell>
          <cell r="Q29">
            <v>1</v>
          </cell>
        </row>
        <row r="30">
          <cell r="C30" t="str">
            <v>Unmetered Scattered Load</v>
          </cell>
          <cell r="H30" t="str">
            <v>kWh</v>
          </cell>
          <cell r="J30">
            <v>6.1000000000000004E-3</v>
          </cell>
          <cell r="M30">
            <v>2E-3</v>
          </cell>
          <cell r="Q30">
            <v>1</v>
          </cell>
        </row>
        <row r="31">
          <cell r="C31" t="str">
            <v>Street Lighting</v>
          </cell>
          <cell r="H31" t="str">
            <v>kW</v>
          </cell>
          <cell r="J31">
            <v>1.8815</v>
          </cell>
          <cell r="M31">
            <v>0.60460000000000003</v>
          </cell>
          <cell r="Q31">
            <v>1</v>
          </cell>
        </row>
        <row r="32">
          <cell r="C32" t="str">
            <v>Embedded Distributor</v>
          </cell>
          <cell r="H32" t="str">
            <v>kW</v>
          </cell>
          <cell r="J32">
            <v>0</v>
          </cell>
          <cell r="M32">
            <v>0</v>
          </cell>
          <cell r="Q32">
            <v>1</v>
          </cell>
        </row>
        <row r="33">
          <cell r="C33" t="str">
            <v>Choose Rate Class</v>
          </cell>
          <cell r="Q33">
            <v>0</v>
          </cell>
        </row>
        <row r="34">
          <cell r="C34" t="str">
            <v>Choose Rate Class</v>
          </cell>
          <cell r="Q34">
            <v>0</v>
          </cell>
        </row>
        <row r="35">
          <cell r="C35" t="str">
            <v>Choose Rate Class</v>
          </cell>
          <cell r="Q35">
            <v>0</v>
          </cell>
        </row>
        <row r="36">
          <cell r="C36" t="str">
            <v>Choose Rate Class</v>
          </cell>
          <cell r="Q36">
            <v>0</v>
          </cell>
        </row>
        <row r="37">
          <cell r="C37" t="str">
            <v>Choose Rate Class</v>
          </cell>
          <cell r="Q37">
            <v>0</v>
          </cell>
        </row>
        <row r="38">
          <cell r="C38" t="str">
            <v>Choose Rate Class</v>
          </cell>
          <cell r="Q38">
            <v>0</v>
          </cell>
        </row>
        <row r="39">
          <cell r="C39" t="str">
            <v>Choose Rate Class</v>
          </cell>
          <cell r="Q39">
            <v>0</v>
          </cell>
        </row>
        <row r="40">
          <cell r="C40" t="str">
            <v>Choose Rate Class</v>
          </cell>
          <cell r="Q40">
            <v>0</v>
          </cell>
        </row>
        <row r="41">
          <cell r="C41" t="str">
            <v>Choose Rate Class</v>
          </cell>
          <cell r="Q41">
            <v>0</v>
          </cell>
        </row>
        <row r="42">
          <cell r="C42" t="str">
            <v>Choose Rate Class</v>
          </cell>
          <cell r="Q42">
            <v>0</v>
          </cell>
        </row>
        <row r="43">
          <cell r="C43" t="str">
            <v>Choose Rate Class</v>
          </cell>
          <cell r="Q43">
            <v>0</v>
          </cell>
        </row>
        <row r="44">
          <cell r="C44" t="str">
            <v>Choose Rate Class</v>
          </cell>
          <cell r="Q44">
            <v>0</v>
          </cell>
        </row>
        <row r="45">
          <cell r="C45" t="str">
            <v>Choose Rate Class</v>
          </cell>
          <cell r="Q45">
            <v>0</v>
          </cell>
        </row>
      </sheetData>
      <sheetData sheetId="3">
        <row r="27">
          <cell r="B27" t="str">
            <v>Residential</v>
          </cell>
          <cell r="D27" t="str">
            <v>kWh</v>
          </cell>
          <cell r="F27">
            <v>393848053.66683358</v>
          </cell>
          <cell r="H27">
            <v>1.0404</v>
          </cell>
          <cell r="J27" t="str">
            <v/>
          </cell>
          <cell r="L27">
            <v>409759515.03497368</v>
          </cell>
          <cell r="M27">
            <v>0</v>
          </cell>
        </row>
        <row r="28">
          <cell r="B28" t="str">
            <v>General Service Less Than 50 kW</v>
          </cell>
          <cell r="D28" t="str">
            <v>kWh</v>
          </cell>
          <cell r="F28">
            <v>179687810.22845057</v>
          </cell>
          <cell r="H28">
            <v>1.0404</v>
          </cell>
          <cell r="J28" t="str">
            <v/>
          </cell>
          <cell r="L28">
            <v>186947197.76167998</v>
          </cell>
          <cell r="M28">
            <v>0</v>
          </cell>
        </row>
        <row r="29">
          <cell r="B29" t="str">
            <v>General Service 50 to 999 kW</v>
          </cell>
          <cell r="D29" t="str">
            <v>kW</v>
          </cell>
          <cell r="F29">
            <v>141818043.92225248</v>
          </cell>
          <cell r="G29">
            <v>405418.50862246769</v>
          </cell>
          <cell r="J29">
            <v>0.47944974709956734</v>
          </cell>
          <cell r="L29">
            <v>141818043.92225248</v>
          </cell>
          <cell r="M29">
            <v>405418.50862246769</v>
          </cell>
        </row>
        <row r="30">
          <cell r="B30" t="str">
            <v>General Service 50 to 999 kW - Interval Metered</v>
          </cell>
          <cell r="D30" t="str">
            <v>kW</v>
          </cell>
          <cell r="F30">
            <v>314724309.29104507</v>
          </cell>
          <cell r="G30">
            <v>719365.55701908888</v>
          </cell>
          <cell r="J30">
            <v>0.59964721870350557</v>
          </cell>
          <cell r="L30">
            <v>314724309.29104507</v>
          </cell>
          <cell r="M30">
            <v>719365.55701908888</v>
          </cell>
        </row>
        <row r="31">
          <cell r="B31" t="str">
            <v>General Service 1,000 to 4,999 kW - Interval Meters</v>
          </cell>
          <cell r="D31" t="str">
            <v>kW</v>
          </cell>
          <cell r="F31">
            <v>249190335.80982751</v>
          </cell>
          <cell r="G31">
            <v>456422.45368093351</v>
          </cell>
          <cell r="J31">
            <v>0.7483062432943558</v>
          </cell>
          <cell r="L31">
            <v>249190335.80982751</v>
          </cell>
          <cell r="M31">
            <v>456422.45368093351</v>
          </cell>
        </row>
        <row r="32">
          <cell r="B32" t="str">
            <v>Large Use</v>
          </cell>
          <cell r="D32" t="str">
            <v>kW</v>
          </cell>
          <cell r="F32">
            <v>79638262.482273534</v>
          </cell>
          <cell r="G32">
            <v>153851.807669359</v>
          </cell>
          <cell r="J32">
            <v>0.70947050893795094</v>
          </cell>
          <cell r="L32">
            <v>79638262.482273534</v>
          </cell>
          <cell r="M32">
            <v>153851.807669359</v>
          </cell>
        </row>
        <row r="33">
          <cell r="B33" t="str">
            <v>Unmetered Scattered Load</v>
          </cell>
          <cell r="D33" t="str">
            <v>kWh</v>
          </cell>
          <cell r="F33">
            <v>1648665.9189081476</v>
          </cell>
          <cell r="H33">
            <v>1.0404</v>
          </cell>
          <cell r="J33" t="str">
            <v/>
          </cell>
          <cell r="L33">
            <v>1715272.0220320367</v>
          </cell>
          <cell r="M33">
            <v>0</v>
          </cell>
        </row>
        <row r="34">
          <cell r="B34" t="str">
            <v>Street Lighting</v>
          </cell>
          <cell r="D34" t="str">
            <v>kW</v>
          </cell>
          <cell r="F34">
            <v>7792005.6676361058</v>
          </cell>
          <cell r="G34">
            <v>21835.28338443664</v>
          </cell>
          <cell r="J34">
            <v>0.48910894086024453</v>
          </cell>
          <cell r="L34">
            <v>7792005.6676361058</v>
          </cell>
          <cell r="M34">
            <v>21835.28338443664</v>
          </cell>
        </row>
        <row r="35">
          <cell r="B35" t="str">
            <v>Embedded Distributor</v>
          </cell>
          <cell r="D35" t="str">
            <v>kW</v>
          </cell>
          <cell r="F35">
            <v>28618000</v>
          </cell>
          <cell r="G35">
            <v>71600</v>
          </cell>
          <cell r="J35">
            <v>0.54782447564441827</v>
          </cell>
          <cell r="L35">
            <v>28618000</v>
          </cell>
          <cell r="M35">
            <v>71600</v>
          </cell>
        </row>
        <row r="36">
          <cell r="B36">
            <v>0</v>
          </cell>
          <cell r="D36" t="e">
            <v>#N/A</v>
          </cell>
          <cell r="J36" t="str">
            <v/>
          </cell>
          <cell r="L36">
            <v>0</v>
          </cell>
          <cell r="M36">
            <v>0</v>
          </cell>
        </row>
        <row r="37">
          <cell r="B37">
            <v>0</v>
          </cell>
          <cell r="D37" t="e">
            <v>#N/A</v>
          </cell>
          <cell r="J37" t="str">
            <v/>
          </cell>
          <cell r="L37">
            <v>0</v>
          </cell>
          <cell r="M37">
            <v>0</v>
          </cell>
        </row>
        <row r="38">
          <cell r="B38">
            <v>0</v>
          </cell>
          <cell r="D38" t="e">
            <v>#N/A</v>
          </cell>
          <cell r="J38" t="str">
            <v/>
          </cell>
          <cell r="L38">
            <v>0</v>
          </cell>
          <cell r="M38">
            <v>0</v>
          </cell>
        </row>
        <row r="39">
          <cell r="B39">
            <v>0</v>
          </cell>
          <cell r="D39" t="e">
            <v>#N/A</v>
          </cell>
          <cell r="J39" t="str">
            <v/>
          </cell>
          <cell r="L39">
            <v>0</v>
          </cell>
          <cell r="M39">
            <v>0</v>
          </cell>
        </row>
        <row r="40">
          <cell r="B40">
            <v>0</v>
          </cell>
          <cell r="D40" t="e">
            <v>#N/A</v>
          </cell>
          <cell r="J40" t="str">
            <v/>
          </cell>
          <cell r="L40">
            <v>0</v>
          </cell>
          <cell r="M40">
            <v>0</v>
          </cell>
        </row>
        <row r="41">
          <cell r="B41">
            <v>0</v>
          </cell>
          <cell r="D41" t="e">
            <v>#N/A</v>
          </cell>
          <cell r="J41" t="str">
            <v/>
          </cell>
          <cell r="L41">
            <v>0</v>
          </cell>
          <cell r="M41">
            <v>0</v>
          </cell>
        </row>
        <row r="42">
          <cell r="B42">
            <v>0</v>
          </cell>
          <cell r="D42" t="e">
            <v>#N/A</v>
          </cell>
          <cell r="J42" t="str">
            <v/>
          </cell>
          <cell r="L42">
            <v>0</v>
          </cell>
          <cell r="M42">
            <v>0</v>
          </cell>
        </row>
        <row r="43">
          <cell r="B43">
            <v>0</v>
          </cell>
          <cell r="D43" t="e">
            <v>#N/A</v>
          </cell>
          <cell r="J43" t="str">
            <v/>
          </cell>
          <cell r="L43">
            <v>0</v>
          </cell>
          <cell r="M43">
            <v>0</v>
          </cell>
        </row>
        <row r="44">
          <cell r="B44">
            <v>0</v>
          </cell>
          <cell r="D44" t="e">
            <v>#N/A</v>
          </cell>
          <cell r="J44" t="str">
            <v/>
          </cell>
          <cell r="L44">
            <v>0</v>
          </cell>
          <cell r="M44">
            <v>0</v>
          </cell>
        </row>
        <row r="45">
          <cell r="B45">
            <v>0</v>
          </cell>
          <cell r="D45" t="e">
            <v>#N/A</v>
          </cell>
          <cell r="J45" t="str">
            <v/>
          </cell>
          <cell r="L45">
            <v>0</v>
          </cell>
          <cell r="M45">
            <v>0</v>
          </cell>
        </row>
        <row r="46">
          <cell r="B46">
            <v>0</v>
          </cell>
          <cell r="D46" t="e">
            <v>#N/A</v>
          </cell>
          <cell r="J46" t="str">
            <v/>
          </cell>
          <cell r="L46">
            <v>0</v>
          </cell>
          <cell r="M46">
            <v>0</v>
          </cell>
        </row>
        <row r="47">
          <cell r="B47">
            <v>0</v>
          </cell>
          <cell r="D47" t="e">
            <v>#N/A</v>
          </cell>
          <cell r="J47" t="str">
            <v/>
          </cell>
          <cell r="L47">
            <v>0</v>
          </cell>
          <cell r="M47">
            <v>0</v>
          </cell>
        </row>
        <row r="48">
          <cell r="B48">
            <v>0</v>
          </cell>
          <cell r="D48" t="e">
            <v>#N/A</v>
          </cell>
          <cell r="J48" t="str">
            <v/>
          </cell>
          <cell r="L48">
            <v>0</v>
          </cell>
          <cell r="M48">
            <v>0</v>
          </cell>
        </row>
      </sheetData>
      <sheetData sheetId="4"/>
      <sheetData sheetId="5"/>
      <sheetData sheetId="6">
        <row r="75">
          <cell r="F75">
            <v>8335870.726331966</v>
          </cell>
          <cell r="P75">
            <v>0</v>
          </cell>
        </row>
      </sheetData>
      <sheetData sheetId="7">
        <row r="75">
          <cell r="F75">
            <v>8335870.726331966</v>
          </cell>
        </row>
      </sheetData>
      <sheetData sheetId="8">
        <row r="25">
          <cell r="B25" t="str">
            <v>Residential</v>
          </cell>
          <cell r="D25" t="str">
            <v>kWh</v>
          </cell>
          <cell r="F25">
            <v>6.7000000000000002E-3</v>
          </cell>
          <cell r="H25">
            <v>409759515.03497368</v>
          </cell>
          <cell r="J25">
            <v>0</v>
          </cell>
          <cell r="L25">
            <v>2745388.7507343236</v>
          </cell>
          <cell r="N25">
            <v>0.32246898312455857</v>
          </cell>
          <cell r="P25">
            <v>2688059.7565780445</v>
          </cell>
          <cell r="R25">
            <v>6.5600911216146234E-3</v>
          </cell>
        </row>
        <row r="26">
          <cell r="B26" t="str">
            <v>General Service Less Than 50 kW</v>
          </cell>
          <cell r="D26" t="str">
            <v>kWh</v>
          </cell>
          <cell r="F26">
            <v>6.1000000000000004E-3</v>
          </cell>
          <cell r="H26">
            <v>186947197.76167998</v>
          </cell>
          <cell r="J26">
            <v>0</v>
          </cell>
          <cell r="L26">
            <v>1140377.906346248</v>
          </cell>
          <cell r="N26">
            <v>0.13394696971014661</v>
          </cell>
          <cell r="P26">
            <v>1116564.6236876857</v>
          </cell>
          <cell r="R26">
            <v>5.9726202749028666E-3</v>
          </cell>
        </row>
        <row r="27">
          <cell r="B27" t="str">
            <v>General Service 50 to 999 kW</v>
          </cell>
          <cell r="D27" t="str">
            <v>kW</v>
          </cell>
          <cell r="F27">
            <v>2.4944999999999999</v>
          </cell>
          <cell r="H27">
            <v>141818043.92225248</v>
          </cell>
          <cell r="J27">
            <v>405418.50862246769</v>
          </cell>
          <cell r="L27">
            <v>1011316.4697587456</v>
          </cell>
          <cell r="N27">
            <v>0.11878761925173348</v>
          </cell>
          <cell r="P27">
            <v>990198.23797119258</v>
          </cell>
          <cell r="R27">
            <v>2.4424100452041309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2.6495000000000002</v>
          </cell>
          <cell r="H28">
            <v>314724309.29104507</v>
          </cell>
          <cell r="J28">
            <v>719365.55701908888</v>
          </cell>
          <cell r="L28">
            <v>1905959.0433220761</v>
          </cell>
          <cell r="N28">
            <v>0.22387090877848634</v>
          </cell>
          <cell r="P28">
            <v>1866158.9549639183</v>
          </cell>
          <cell r="R28">
            <v>2.5941733472713353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2.6461000000000001</v>
          </cell>
          <cell r="H29">
            <v>249190335.80982751</v>
          </cell>
          <cell r="J29">
            <v>456422.45368093351</v>
          </cell>
          <cell r="L29">
            <v>1207739.4546851183</v>
          </cell>
          <cell r="N29">
            <v>0.14185914972061731</v>
          </cell>
          <cell r="P29">
            <v>1182519.5334184372</v>
          </cell>
          <cell r="R29">
            <v>2.5908443458066346</v>
          </cell>
        </row>
        <row r="30">
          <cell r="B30" t="str">
            <v>Large Use</v>
          </cell>
          <cell r="D30" t="str">
            <v>kW</v>
          </cell>
          <cell r="F30">
            <v>2.9335</v>
          </cell>
          <cell r="H30">
            <v>79638262.482273534</v>
          </cell>
          <cell r="J30">
            <v>153851.807669359</v>
          </cell>
          <cell r="L30">
            <v>451324.27779806464</v>
          </cell>
          <cell r="N30">
            <v>5.3011829702456471E-2</v>
          </cell>
          <cell r="P30">
            <v>441899.75936600234</v>
          </cell>
          <cell r="R30">
            <v>2.8722428813815668</v>
          </cell>
        </row>
        <row r="31">
          <cell r="B31" t="str">
            <v>Unmetered Scattered Load</v>
          </cell>
          <cell r="D31" t="str">
            <v>kWh</v>
          </cell>
          <cell r="F31">
            <v>6.1000000000000004E-3</v>
          </cell>
          <cell r="H31">
            <v>1715272.0220320367</v>
          </cell>
          <cell r="J31">
            <v>0</v>
          </cell>
          <cell r="L31">
            <v>10463.159334395425</v>
          </cell>
          <cell r="N31">
            <v>1.2289860042335541E-3</v>
          </cell>
          <cell r="P31">
            <v>10244.668455762177</v>
          </cell>
          <cell r="R31">
            <v>5.9726202749028658E-3</v>
          </cell>
        </row>
        <row r="32">
          <cell r="B32" t="str">
            <v>Street Lighting</v>
          </cell>
          <cell r="D32" t="str">
            <v>kW</v>
          </cell>
          <cell r="F32">
            <v>1.8815</v>
          </cell>
          <cell r="H32">
            <v>7792005.6676361058</v>
          </cell>
          <cell r="J32">
            <v>21835.28338443664</v>
          </cell>
          <cell r="L32">
            <v>41083.085687817533</v>
          </cell>
          <cell r="N32">
            <v>4.825553707767655E-3</v>
          </cell>
          <cell r="P32">
            <v>40225.191890923074</v>
          </cell>
          <cell r="R32">
            <v>1.8422106634802855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9">
        <row r="25">
          <cell r="B25" t="str">
            <v>Residential</v>
          </cell>
          <cell r="D25" t="str">
            <v>kWh</v>
          </cell>
          <cell r="F25">
            <v>2.2000000000000001E-3</v>
          </cell>
          <cell r="H25">
            <v>409759515.03497368</v>
          </cell>
          <cell r="J25">
            <v>0</v>
          </cell>
          <cell r="L25">
            <v>901470.93307694211</v>
          </cell>
          <cell r="N25">
            <v>0.31000206498976701</v>
          </cell>
          <cell r="P25">
            <v>0</v>
          </cell>
          <cell r="R25">
            <v>0</v>
          </cell>
        </row>
        <row r="26">
          <cell r="B26" t="str">
            <v>General Service Less Than 50 kW</v>
          </cell>
          <cell r="D26" t="str">
            <v>kWh</v>
          </cell>
          <cell r="F26">
            <v>2E-3</v>
          </cell>
          <cell r="H26">
            <v>186947197.76167998</v>
          </cell>
          <cell r="J26">
            <v>0</v>
          </cell>
          <cell r="L26">
            <v>373894.39552335994</v>
          </cell>
          <cell r="N26">
            <v>0.12857656353346816</v>
          </cell>
          <cell r="P26">
            <v>0</v>
          </cell>
          <cell r="R26">
            <v>0</v>
          </cell>
        </row>
        <row r="27">
          <cell r="B27" t="str">
            <v>General Service 50 to 999 kW</v>
          </cell>
          <cell r="D27" t="str">
            <v>kW</v>
          </cell>
          <cell r="F27">
            <v>0.78220000000000001</v>
          </cell>
          <cell r="H27">
            <v>141818043.92225248</v>
          </cell>
          <cell r="J27">
            <v>405418.50862246769</v>
          </cell>
          <cell r="L27">
            <v>317118.35744449421</v>
          </cell>
          <cell r="N27">
            <v>0.10905215248417284</v>
          </cell>
          <cell r="P27">
            <v>0</v>
          </cell>
          <cell r="R27">
            <v>0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0.97589999999999999</v>
          </cell>
          <cell r="H28">
            <v>314724309.29104507</v>
          </cell>
          <cell r="J28">
            <v>719365.55701908888</v>
          </cell>
          <cell r="L28">
            <v>702028.84709492885</v>
          </cell>
          <cell r="N28">
            <v>0.2414169822858151</v>
          </cell>
          <cell r="P28">
            <v>0</v>
          </cell>
          <cell r="R28">
            <v>0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0.97709999999999997</v>
          </cell>
          <cell r="H29">
            <v>249190335.80982751</v>
          </cell>
          <cell r="J29">
            <v>456422.45368093351</v>
          </cell>
          <cell r="L29">
            <v>445970.37949164014</v>
          </cell>
          <cell r="N29">
            <v>0.15336239194622869</v>
          </cell>
          <cell r="P29">
            <v>0</v>
          </cell>
          <cell r="R29">
            <v>0</v>
          </cell>
        </row>
        <row r="30">
          <cell r="B30" t="str">
            <v>Large Use</v>
          </cell>
          <cell r="D30" t="str">
            <v>kW</v>
          </cell>
          <cell r="F30">
            <v>0.98040000000000005</v>
          </cell>
          <cell r="H30">
            <v>79638262.482273534</v>
          </cell>
          <cell r="J30">
            <v>153851.807669359</v>
          </cell>
          <cell r="L30">
            <v>150836.31223903957</v>
          </cell>
          <cell r="N30">
            <v>5.1870300587442818E-2</v>
          </cell>
          <cell r="P30">
            <v>0</v>
          </cell>
          <cell r="R30">
            <v>0</v>
          </cell>
        </row>
        <row r="31">
          <cell r="B31" t="str">
            <v>Unmetered Scattered Load</v>
          </cell>
          <cell r="D31" t="str">
            <v>kWh</v>
          </cell>
          <cell r="F31">
            <v>2E-3</v>
          </cell>
          <cell r="H31">
            <v>1715272.0220320367</v>
          </cell>
          <cell r="J31">
            <v>0</v>
          </cell>
          <cell r="L31">
            <v>3430.5440440640732</v>
          </cell>
          <cell r="N31">
            <v>1.1797116231671548E-3</v>
          </cell>
          <cell r="P31">
            <v>0</v>
          </cell>
          <cell r="R31">
            <v>0</v>
          </cell>
        </row>
        <row r="32">
          <cell r="B32" t="str">
            <v>Street Lighting</v>
          </cell>
          <cell r="D32" t="str">
            <v>kW</v>
          </cell>
          <cell r="F32">
            <v>0.60460000000000003</v>
          </cell>
          <cell r="H32">
            <v>7792005.6676361058</v>
          </cell>
          <cell r="J32">
            <v>21835.28338443664</v>
          </cell>
          <cell r="L32">
            <v>13201.612334230393</v>
          </cell>
          <cell r="N32">
            <v>4.5398325499381303E-3</v>
          </cell>
          <cell r="P32">
            <v>0</v>
          </cell>
          <cell r="R32">
            <v>0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10">
        <row r="25">
          <cell r="B25" t="str">
            <v>Residential</v>
          </cell>
          <cell r="D25" t="str">
            <v>kWh</v>
          </cell>
          <cell r="F25">
            <v>6.5600911216146234E-3</v>
          </cell>
          <cell r="H25">
            <v>409759515.03497368</v>
          </cell>
          <cell r="J25">
            <v>0</v>
          </cell>
          <cell r="L25">
            <v>2688059.7565780445</v>
          </cell>
          <cell r="N25">
            <v>0.32246898312455863</v>
          </cell>
          <cell r="P25">
            <v>2688059.756578045</v>
          </cell>
          <cell r="R25">
            <v>6.5600911216146243E-3</v>
          </cell>
        </row>
        <row r="26">
          <cell r="B26" t="str">
            <v>General Service Less Than 50 kW</v>
          </cell>
          <cell r="D26" t="str">
            <v>kWh</v>
          </cell>
          <cell r="F26">
            <v>5.9726202749028666E-3</v>
          </cell>
          <cell r="H26">
            <v>186947197.76167998</v>
          </cell>
          <cell r="J26">
            <v>0</v>
          </cell>
          <cell r="L26">
            <v>1116564.6236876857</v>
          </cell>
          <cell r="N26">
            <v>0.13394696971014664</v>
          </cell>
          <cell r="P26">
            <v>1116564.6236876859</v>
          </cell>
          <cell r="R26">
            <v>5.9726202749028684E-3</v>
          </cell>
        </row>
        <row r="27">
          <cell r="B27" t="str">
            <v>General Service 50 to 999 kW</v>
          </cell>
          <cell r="D27" t="str">
            <v>kW</v>
          </cell>
          <cell r="F27">
            <v>2.4424100452041309</v>
          </cell>
          <cell r="H27">
            <v>141818043.92225248</v>
          </cell>
          <cell r="J27">
            <v>405418.50862246769</v>
          </cell>
          <cell r="L27">
            <v>990198.23797119258</v>
          </cell>
          <cell r="N27">
            <v>0.11878761925173349</v>
          </cell>
          <cell r="P27">
            <v>990198.23797119269</v>
          </cell>
          <cell r="R27">
            <v>2.4424100452041309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2.5941733472713353</v>
          </cell>
          <cell r="H28">
            <v>314724309.29104507</v>
          </cell>
          <cell r="J28">
            <v>719365.55701908888</v>
          </cell>
          <cell r="L28">
            <v>1866158.9549639183</v>
          </cell>
          <cell r="N28">
            <v>0.22387090877848637</v>
          </cell>
          <cell r="P28">
            <v>1866158.9549639185</v>
          </cell>
          <cell r="R28">
            <v>2.5941733472713353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2.5908443458066346</v>
          </cell>
          <cell r="H29">
            <v>249190335.80982751</v>
          </cell>
          <cell r="J29">
            <v>456422.45368093351</v>
          </cell>
          <cell r="L29">
            <v>1182519.5334184372</v>
          </cell>
          <cell r="N29">
            <v>0.14185914972061731</v>
          </cell>
          <cell r="P29">
            <v>1182519.5334184372</v>
          </cell>
          <cell r="R29">
            <v>2.5908443458066346</v>
          </cell>
        </row>
        <row r="30">
          <cell r="B30" t="str">
            <v>Large Use</v>
          </cell>
          <cell r="D30" t="str">
            <v>kW</v>
          </cell>
          <cell r="F30">
            <v>2.8722428813815668</v>
          </cell>
          <cell r="H30">
            <v>79638262.482273534</v>
          </cell>
          <cell r="J30">
            <v>153851.807669359</v>
          </cell>
          <cell r="L30">
            <v>441899.75936600234</v>
          </cell>
          <cell r="N30">
            <v>5.3011829702456478E-2</v>
          </cell>
          <cell r="P30">
            <v>441899.7593660024</v>
          </cell>
          <cell r="R30">
            <v>2.8722428813815672</v>
          </cell>
        </row>
        <row r="31">
          <cell r="B31" t="str">
            <v>Unmetered Scattered Load</v>
          </cell>
          <cell r="D31" t="str">
            <v>kWh</v>
          </cell>
          <cell r="F31">
            <v>5.9726202749028658E-3</v>
          </cell>
          <cell r="H31">
            <v>1715272.0220320367</v>
          </cell>
          <cell r="J31">
            <v>0</v>
          </cell>
          <cell r="L31">
            <v>10244.668455762177</v>
          </cell>
          <cell r="N31">
            <v>1.2289860042335543E-3</v>
          </cell>
          <cell r="P31">
            <v>10244.668455762179</v>
          </cell>
          <cell r="R31">
            <v>5.9726202749028666E-3</v>
          </cell>
        </row>
        <row r="32">
          <cell r="B32" t="str">
            <v>Street Lighting</v>
          </cell>
          <cell r="D32" t="str">
            <v>kW</v>
          </cell>
          <cell r="F32">
            <v>1.8422106634802855</v>
          </cell>
          <cell r="H32">
            <v>7792005.6676361058</v>
          </cell>
          <cell r="J32">
            <v>21835.28338443664</v>
          </cell>
          <cell r="L32">
            <v>40225.191890923074</v>
          </cell>
          <cell r="N32">
            <v>4.8255537077676559E-3</v>
          </cell>
          <cell r="P32">
            <v>40225.191890923081</v>
          </cell>
          <cell r="R32">
            <v>1.8422106634802857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>
            <v>0</v>
          </cell>
          <cell r="P33">
            <v>0</v>
          </cell>
          <cell r="R33">
            <v>0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11">
        <row r="25">
          <cell r="B25" t="str">
            <v>Residential</v>
          </cell>
          <cell r="D25" t="str">
            <v>kWh</v>
          </cell>
          <cell r="F25">
            <v>0</v>
          </cell>
          <cell r="H25">
            <v>409759515.03497368</v>
          </cell>
          <cell r="J25">
            <v>0</v>
          </cell>
          <cell r="L25">
            <v>0</v>
          </cell>
          <cell r="N25" t="str">
            <v/>
          </cell>
          <cell r="P25" t="str">
            <v/>
          </cell>
          <cell r="R25" t="e">
            <v>#VALUE!</v>
          </cell>
        </row>
        <row r="26">
          <cell r="B26" t="str">
            <v>General Service Less Than 50 kW</v>
          </cell>
          <cell r="D26" t="str">
            <v>kWh</v>
          </cell>
          <cell r="F26">
            <v>0</v>
          </cell>
          <cell r="H26">
            <v>186947197.76167998</v>
          </cell>
          <cell r="J26">
            <v>0</v>
          </cell>
          <cell r="L26">
            <v>0</v>
          </cell>
          <cell r="N26" t="str">
            <v/>
          </cell>
          <cell r="P26" t="str">
            <v/>
          </cell>
          <cell r="R26" t="e">
            <v>#VALUE!</v>
          </cell>
        </row>
        <row r="27">
          <cell r="B27" t="str">
            <v>General Service 50 to 999 kW</v>
          </cell>
          <cell r="D27" t="str">
            <v>kW</v>
          </cell>
          <cell r="F27">
            <v>0</v>
          </cell>
          <cell r="H27">
            <v>141818043.92225248</v>
          </cell>
          <cell r="J27">
            <v>405418.50862246769</v>
          </cell>
          <cell r="L27">
            <v>0</v>
          </cell>
          <cell r="N27" t="str">
            <v/>
          </cell>
          <cell r="P27" t="str">
            <v/>
          </cell>
          <cell r="R27" t="e">
            <v>#VALUE!</v>
          </cell>
        </row>
        <row r="28">
          <cell r="B28" t="str">
            <v>General Service 50 to 999 kW - Interval Metered</v>
          </cell>
          <cell r="D28" t="str">
            <v>kW</v>
          </cell>
          <cell r="F28">
            <v>0</v>
          </cell>
          <cell r="H28">
            <v>314724309.29104507</v>
          </cell>
          <cell r="J28">
            <v>719365.55701908888</v>
          </cell>
          <cell r="L28">
            <v>0</v>
          </cell>
          <cell r="N28" t="str">
            <v/>
          </cell>
          <cell r="P28" t="str">
            <v/>
          </cell>
          <cell r="R28" t="e">
            <v>#VALUE!</v>
          </cell>
        </row>
        <row r="29">
          <cell r="B29" t="str">
            <v>General Service 1,000 to 4,999 kW - Interval Meters</v>
          </cell>
          <cell r="D29" t="str">
            <v>kW</v>
          </cell>
          <cell r="F29">
            <v>0</v>
          </cell>
          <cell r="H29">
            <v>249190335.80982751</v>
          </cell>
          <cell r="J29">
            <v>456422.45368093351</v>
          </cell>
          <cell r="L29">
            <v>0</v>
          </cell>
          <cell r="N29" t="str">
            <v/>
          </cell>
          <cell r="P29" t="str">
            <v/>
          </cell>
          <cell r="R29" t="e">
            <v>#VALUE!</v>
          </cell>
        </row>
        <row r="30">
          <cell r="B30" t="str">
            <v>Large Use</v>
          </cell>
          <cell r="D30" t="str">
            <v>kW</v>
          </cell>
          <cell r="F30">
            <v>0</v>
          </cell>
          <cell r="H30">
            <v>79638262.482273534</v>
          </cell>
          <cell r="J30">
            <v>153851.807669359</v>
          </cell>
          <cell r="L30">
            <v>0</v>
          </cell>
          <cell r="N30" t="str">
            <v/>
          </cell>
          <cell r="P30" t="str">
            <v/>
          </cell>
          <cell r="R30" t="e">
            <v>#VALUE!</v>
          </cell>
        </row>
        <row r="31">
          <cell r="B31" t="str">
            <v>Unmetered Scattered Load</v>
          </cell>
          <cell r="D31" t="str">
            <v>kWh</v>
          </cell>
          <cell r="F31">
            <v>0</v>
          </cell>
          <cell r="H31">
            <v>1715272.0220320367</v>
          </cell>
          <cell r="J31">
            <v>0</v>
          </cell>
          <cell r="L31">
            <v>0</v>
          </cell>
          <cell r="N31" t="str">
            <v/>
          </cell>
          <cell r="P31" t="str">
            <v/>
          </cell>
          <cell r="R31" t="e">
            <v>#VALUE!</v>
          </cell>
        </row>
        <row r="32">
          <cell r="B32" t="str">
            <v>Street Lighting</v>
          </cell>
          <cell r="D32" t="str">
            <v>kW</v>
          </cell>
          <cell r="F32">
            <v>0</v>
          </cell>
          <cell r="H32">
            <v>7792005.6676361058</v>
          </cell>
          <cell r="J32">
            <v>21835.28338443664</v>
          </cell>
          <cell r="L32">
            <v>0</v>
          </cell>
          <cell r="N32" t="str">
            <v/>
          </cell>
          <cell r="P32" t="str">
            <v/>
          </cell>
          <cell r="R32" t="e">
            <v>#VALUE!</v>
          </cell>
        </row>
        <row r="33">
          <cell r="B33" t="str">
            <v>Embedded Distributor</v>
          </cell>
          <cell r="D33" t="str">
            <v>kW</v>
          </cell>
          <cell r="F33">
            <v>0</v>
          </cell>
          <cell r="H33">
            <v>28618000</v>
          </cell>
          <cell r="J33">
            <v>71600</v>
          </cell>
          <cell r="L33">
            <v>0</v>
          </cell>
          <cell r="N33" t="str">
            <v/>
          </cell>
          <cell r="P33" t="str">
            <v/>
          </cell>
          <cell r="R33" t="e">
            <v>#VALUE!</v>
          </cell>
        </row>
        <row r="34">
          <cell r="B34">
            <v>0</v>
          </cell>
          <cell r="D34" t="str">
            <v/>
          </cell>
          <cell r="F34" t="str">
            <v/>
          </cell>
          <cell r="H34">
            <v>0</v>
          </cell>
          <cell r="J34">
            <v>0</v>
          </cell>
          <cell r="L34" t="str">
            <v/>
          </cell>
          <cell r="N34" t="str">
            <v/>
          </cell>
          <cell r="P34" t="str">
            <v/>
          </cell>
          <cell r="R34" t="str">
            <v/>
          </cell>
        </row>
        <row r="35">
          <cell r="B35">
            <v>0</v>
          </cell>
          <cell r="D35" t="str">
            <v/>
          </cell>
          <cell r="F35" t="str">
            <v/>
          </cell>
          <cell r="H35">
            <v>0</v>
          </cell>
          <cell r="J35">
            <v>0</v>
          </cell>
          <cell r="L35" t="str">
            <v/>
          </cell>
          <cell r="N35" t="str">
            <v/>
          </cell>
          <cell r="P35" t="str">
            <v/>
          </cell>
          <cell r="R35" t="str">
            <v/>
          </cell>
        </row>
        <row r="36">
          <cell r="B36">
            <v>0</v>
          </cell>
          <cell r="D36" t="str">
            <v/>
          </cell>
          <cell r="F36" t="str">
            <v/>
          </cell>
          <cell r="H36">
            <v>0</v>
          </cell>
          <cell r="J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</row>
        <row r="37">
          <cell r="B37">
            <v>0</v>
          </cell>
          <cell r="D37" t="str">
            <v/>
          </cell>
          <cell r="F37" t="str">
            <v/>
          </cell>
          <cell r="H37">
            <v>0</v>
          </cell>
          <cell r="J37">
            <v>0</v>
          </cell>
          <cell r="L37" t="str">
            <v/>
          </cell>
          <cell r="N37" t="str">
            <v/>
          </cell>
          <cell r="P37" t="str">
            <v/>
          </cell>
          <cell r="R37" t="str">
            <v/>
          </cell>
        </row>
        <row r="38">
          <cell r="B38">
            <v>0</v>
          </cell>
          <cell r="D38" t="str">
            <v/>
          </cell>
          <cell r="F38" t="str">
            <v/>
          </cell>
          <cell r="H38">
            <v>0</v>
          </cell>
          <cell r="J38">
            <v>0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</row>
        <row r="39">
          <cell r="B39">
            <v>0</v>
          </cell>
          <cell r="D39" t="str">
            <v/>
          </cell>
          <cell r="F39" t="str">
            <v/>
          </cell>
          <cell r="H39">
            <v>0</v>
          </cell>
          <cell r="J39">
            <v>0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</row>
        <row r="40">
          <cell r="B40">
            <v>0</v>
          </cell>
          <cell r="D40" t="str">
            <v/>
          </cell>
          <cell r="F40" t="str">
            <v/>
          </cell>
          <cell r="H40">
            <v>0</v>
          </cell>
          <cell r="J40">
            <v>0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</row>
        <row r="41">
          <cell r="B41">
            <v>0</v>
          </cell>
          <cell r="D41" t="str">
            <v/>
          </cell>
          <cell r="F41" t="str">
            <v/>
          </cell>
          <cell r="H41">
            <v>0</v>
          </cell>
          <cell r="J41">
            <v>0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</row>
        <row r="42">
          <cell r="B42">
            <v>0</v>
          </cell>
          <cell r="D42" t="str">
            <v/>
          </cell>
          <cell r="F42" t="str">
            <v/>
          </cell>
          <cell r="H42">
            <v>0</v>
          </cell>
          <cell r="J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</row>
        <row r="43">
          <cell r="B43">
            <v>0</v>
          </cell>
          <cell r="D43" t="str">
            <v/>
          </cell>
          <cell r="F43" t="str">
            <v/>
          </cell>
          <cell r="H43">
            <v>0</v>
          </cell>
          <cell r="J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</row>
        <row r="44">
          <cell r="B44">
            <v>0</v>
          </cell>
          <cell r="D44" t="str">
            <v/>
          </cell>
          <cell r="F44" t="str">
            <v/>
          </cell>
          <cell r="H44">
            <v>0</v>
          </cell>
          <cell r="J44">
            <v>0</v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  <row r="45">
          <cell r="B45">
            <v>0</v>
          </cell>
          <cell r="D45" t="str">
            <v/>
          </cell>
          <cell r="F45" t="str">
            <v/>
          </cell>
          <cell r="H45">
            <v>0</v>
          </cell>
          <cell r="J45">
            <v>0</v>
          </cell>
          <cell r="L45" t="str">
            <v/>
          </cell>
          <cell r="N45" t="str">
            <v/>
          </cell>
          <cell r="P45" t="str">
            <v/>
          </cell>
          <cell r="R45" t="str">
            <v/>
          </cell>
        </row>
        <row r="46">
          <cell r="B46">
            <v>0</v>
          </cell>
          <cell r="D46" t="str">
            <v/>
          </cell>
          <cell r="F46" t="str">
            <v/>
          </cell>
          <cell r="H46">
            <v>0</v>
          </cell>
          <cell r="J46">
            <v>0</v>
          </cell>
          <cell r="L46" t="str">
            <v/>
          </cell>
          <cell r="N46" t="str">
            <v/>
          </cell>
          <cell r="P46" t="str">
            <v/>
          </cell>
          <cell r="R46" t="str">
            <v/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topLeftCell="A19" workbookViewId="0">
      <selection activeCell="H50" sqref="H50"/>
    </sheetView>
  </sheetViews>
  <sheetFormatPr defaultRowHeight="12.75" x14ac:dyDescent="0.2"/>
  <sheetData/>
  <phoneticPr fontId="11" type="noConversion"/>
  <pageMargins left="0.75" right="0.75" top="1" bottom="1" header="0.5" footer="0.5"/>
  <pageSetup scale="5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7"/>
  <sheetViews>
    <sheetView showGridLines="0" tabSelected="1" topLeftCell="C23" workbookViewId="0">
      <selection activeCell="H50" sqref="H50"/>
    </sheetView>
  </sheetViews>
  <sheetFormatPr defaultRowHeight="12.75" x14ac:dyDescent="0.2"/>
  <cols>
    <col min="1" max="1" width="13.7109375" hidden="1" customWidth="1"/>
    <col min="2" max="2" width="32.28515625" customWidth="1"/>
    <col min="3" max="3" width="16" customWidth="1"/>
    <col min="5" max="5" width="3.42578125" customWidth="1"/>
    <col min="6" max="6" width="16.140625" customWidth="1"/>
    <col min="7" max="7" width="2.5703125" customWidth="1"/>
    <col min="8" max="8" width="16.140625" customWidth="1"/>
    <col min="9" max="9" width="2.5703125" customWidth="1"/>
    <col min="10" max="10" width="16.140625" customWidth="1"/>
    <col min="11" max="11" width="2.5703125" customWidth="1"/>
    <col min="12" max="12" width="14.5703125" customWidth="1"/>
    <col min="13" max="13" width="2.5703125" customWidth="1"/>
    <col min="14" max="14" width="11.5703125" customWidth="1"/>
    <col min="15" max="15" width="2.5703125" customWidth="1"/>
    <col min="16" max="16" width="14.28515625" customWidth="1"/>
    <col min="17" max="17" width="2.5703125" customWidth="1"/>
    <col min="18" max="18" width="11.42578125" customWidth="1"/>
  </cols>
  <sheetData>
    <row r="21" spans="2:18" ht="16.5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6.5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25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31">
        <f>+'3. Rate Classes'!N20</f>
        <v>2.3E-3</v>
      </c>
      <c r="G25" s="46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 t="shared" ref="L25:L46" si="0">IF(F25="", "", IF(D25="kWh", F25*H25, F25*J25))</f>
        <v>942446.88458043942</v>
      </c>
      <c r="M25" s="36"/>
      <c r="N25" s="37">
        <f t="shared" ref="N25:N46" si="1">IF(ISERROR(L25/$L$49), "", L25/$L$49)</f>
        <v>0.30999596578142513</v>
      </c>
      <c r="O25" s="38"/>
      <c r="P25" s="39">
        <f>+'7 Current Wholesale'!$P$121*N25</f>
        <v>945504.53551201918</v>
      </c>
      <c r="R25" s="40">
        <f t="shared" ref="R25:R46" si="2">IF(D25="","",IF(D25="kWh",IF(H25&lt;&gt;0,P25/H25,),IF(J25&lt;&gt;0,P25/J25,0)))</f>
        <v>2.3074620620617404E-3</v>
      </c>
    </row>
    <row r="26" spans="2:18" ht="25.5" customHeight="1" thickBot="1" x14ac:dyDescent="0.25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+'3. Rate Classes'!N21</f>
        <v>2.0999999999999999E-3</v>
      </c>
      <c r="G26" s="46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si="0"/>
        <v>392589.11529952794</v>
      </c>
      <c r="M26" s="36"/>
      <c r="N26" s="37">
        <f t="shared" si="1"/>
        <v>0.12913305136207393</v>
      </c>
      <c r="P26" s="39">
        <f>+'7 Current Wholesale'!$P$121*N26</f>
        <v>393862.82153567101</v>
      </c>
      <c r="R26" s="40">
        <f t="shared" si="2"/>
        <v>2.1068131870998503E-3</v>
      </c>
    </row>
    <row r="27" spans="2:18" ht="25.5" customHeight="1" thickBot="1" x14ac:dyDescent="0.25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31">
        <f>+'3. Rate Classes'!N22</f>
        <v>0.81679999999999997</v>
      </c>
      <c r="G27" s="46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0"/>
        <v>331145.83784283162</v>
      </c>
      <c r="M27" s="36"/>
      <c r="N27" s="37">
        <f t="shared" si="1"/>
        <v>0.10892271542951459</v>
      </c>
      <c r="P27" s="39">
        <f>+'7 Current Wholesale'!$P$121*N27</f>
        <v>332220.19905738393</v>
      </c>
      <c r="R27" s="40">
        <f t="shared" si="2"/>
        <v>0.81945000534436074</v>
      </c>
    </row>
    <row r="28" spans="2:18" ht="25.5" customHeight="1" thickBot="1" x14ac:dyDescent="0.25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31">
        <f>+'3. Rate Classes'!N23</f>
        <v>1.0203</v>
      </c>
      <c r="G28" s="46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0"/>
        <v>733968.6778265764</v>
      </c>
      <c r="M28" s="36"/>
      <c r="N28" s="37">
        <f t="shared" si="1"/>
        <v>0.24142191232077376</v>
      </c>
      <c r="P28" s="39">
        <f>+'7 Current Wholesale'!$P$121*N28</f>
        <v>736349.94731584413</v>
      </c>
      <c r="R28" s="40">
        <f t="shared" si="2"/>
        <v>1.0236102356180845</v>
      </c>
    </row>
    <row r="29" spans="2:18" ht="25.5" customHeight="1" thickBot="1" x14ac:dyDescent="0.25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31">
        <f>+'3. Rate Classes'!N24</f>
        <v>1.0190999999999999</v>
      </c>
      <c r="G29" s="46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0"/>
        <v>465140.12254623929</v>
      </c>
      <c r="M29" s="36"/>
      <c r="N29" s="37">
        <f t="shared" si="1"/>
        <v>0.15299701645955721</v>
      </c>
      <c r="P29" s="39">
        <f>+'7 Current Wholesale'!$P$121*N29</f>
        <v>466649.21144269401</v>
      </c>
      <c r="R29" s="40">
        <f t="shared" si="2"/>
        <v>1.022406342368313</v>
      </c>
    </row>
    <row r="30" spans="2:18" ht="25.5" customHeight="1" thickBot="1" x14ac:dyDescent="0.25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31">
        <f>+'3. Rate Classes'!N25</f>
        <v>1.0238</v>
      </c>
      <c r="G30" s="46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0"/>
        <v>157513.48069188974</v>
      </c>
      <c r="M30" s="36"/>
      <c r="N30" s="37">
        <f t="shared" si="1"/>
        <v>5.1810393104979938E-2</v>
      </c>
      <c r="P30" s="39">
        <f>+'7 Current Wholesale'!$P$121*N30</f>
        <v>158024.51346079569</v>
      </c>
      <c r="R30" s="40">
        <f t="shared" si="2"/>
        <v>1.0271215909299174</v>
      </c>
    </row>
    <row r="31" spans="2:18" ht="25.5" customHeight="1" thickBot="1" x14ac:dyDescent="0.25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31">
        <f>+'3. Rate Classes'!N26</f>
        <v>2.0999999999999999E-3</v>
      </c>
      <c r="G31" s="46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0"/>
        <v>3602.0712462672768</v>
      </c>
      <c r="M31" s="36"/>
      <c r="N31" s="37">
        <f t="shared" si="1"/>
        <v>1.184817492709129E-3</v>
      </c>
      <c r="P31" s="39">
        <f>+'7 Current Wholesale'!$P$121*N31</f>
        <v>3613.7577154805194</v>
      </c>
      <c r="R31" s="40">
        <f t="shared" si="2"/>
        <v>2.1068131870998499E-3</v>
      </c>
    </row>
    <row r="32" spans="2:18" ht="25.5" customHeight="1" thickBot="1" x14ac:dyDescent="0.25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31">
        <f>+'3. Rate Classes'!N27</f>
        <v>0.63129999999999997</v>
      </c>
      <c r="G32" s="46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0"/>
        <v>13784.61440059485</v>
      </c>
      <c r="M32" s="36"/>
      <c r="N32" s="37">
        <f t="shared" si="1"/>
        <v>4.5341280489661576E-3</v>
      </c>
      <c r="P32" s="39">
        <f>+'7 Current Wholesale'!$P$121*N32</f>
        <v>13829.336856314156</v>
      </c>
      <c r="R32" s="40">
        <f t="shared" si="2"/>
        <v>0.63334817381720732</v>
      </c>
    </row>
    <row r="33" spans="2:18" ht="25.5" customHeight="1" thickBot="1" x14ac:dyDescent="0.25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31">
        <f>+'3. Rate Classes'!N28</f>
        <v>0</v>
      </c>
      <c r="G33" s="46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0"/>
        <v>0</v>
      </c>
      <c r="M33" s="36"/>
      <c r="N33" s="37">
        <f t="shared" si="1"/>
        <v>0</v>
      </c>
      <c r="P33" s="39">
        <f>+'7 Current Wholesale'!$P$121*N33</f>
        <v>0</v>
      </c>
      <c r="R33" s="40">
        <f t="shared" si="2"/>
        <v>0</v>
      </c>
    </row>
    <row r="34" spans="2:18" ht="25.5" hidden="1" customHeight="1" x14ac:dyDescent="0.2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31" t="str">
        <f>IF(ISERROR(VLOOKUP($B34,'[1]3. Rate Classes'!$C$24:$N$45, 11,0)), "", VLOOKUP($B34,'[1]3. Rate Classes'!$C$24:$N$45, 11,0))</f>
        <v/>
      </c>
      <c r="G34" s="46"/>
      <c r="H34" s="32">
        <f>VLOOKUP('[1]9. Adj Network to Current WS'!$B34, '[1]4. RRR Data'!$B$27:$M$49,11,0)</f>
        <v>0</v>
      </c>
      <c r="I34" s="33"/>
      <c r="J34" s="32">
        <f>VLOOKUP('[1]9. Adj Network to Current WS'!$B34, '[1]4. RRR Data'!$B$27:$M$49,12,0)</f>
        <v>0</v>
      </c>
      <c r="K34" s="41"/>
      <c r="L34" s="35" t="str">
        <f t="shared" si="0"/>
        <v/>
      </c>
      <c r="M34" s="36"/>
      <c r="N34" s="37" t="str">
        <f t="shared" si="1"/>
        <v/>
      </c>
      <c r="P34" s="39" t="str">
        <f>IF(ISERROR('[1]7. Current Wholesale'!$P$75*N34), "", '[1]7. Current Wholesale'!$P$75*N34)</f>
        <v/>
      </c>
      <c r="R34" s="40" t="str">
        <f t="shared" si="2"/>
        <v/>
      </c>
    </row>
    <row r="35" spans="2:18" ht="25.5" hidden="1" customHeight="1" x14ac:dyDescent="0.2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IF(ISERROR(VLOOKUP($B35,'[1]3. Rate Classes'!$C$24:$N$45, 11,0)), "", VLOOKUP($B35,'[1]3. Rate Classes'!$C$24:$N$45, 11,0))</f>
        <v/>
      </c>
      <c r="G35" s="46"/>
      <c r="H35" s="32">
        <f>VLOOKUP('[1]9. Adj Network to Current WS'!$B35, '[1]4. RRR Data'!$B$27:$M$49,11,0)</f>
        <v>0</v>
      </c>
      <c r="I35" s="33"/>
      <c r="J35" s="32">
        <f>VLOOKUP('[1]9. Adj Network to Current WS'!$B35, '[1]4. RRR Data'!$B$27:$M$49,12,0)</f>
        <v>0</v>
      </c>
      <c r="K35" s="41"/>
      <c r="L35" s="35" t="str">
        <f t="shared" si="0"/>
        <v/>
      </c>
      <c r="M35" s="36"/>
      <c r="N35" s="37" t="str">
        <f t="shared" si="1"/>
        <v/>
      </c>
      <c r="P35" s="39" t="str">
        <f>IF(ISERROR('[1]7. Current Wholesale'!$P$75*N35), "", '[1]7. Current Wholesale'!$P$75*N35)</f>
        <v/>
      </c>
      <c r="R35" s="40" t="str">
        <f t="shared" si="2"/>
        <v/>
      </c>
    </row>
    <row r="36" spans="2:18" ht="25.5" hidden="1" customHeight="1" x14ac:dyDescent="0.2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IF(ISERROR(VLOOKUP($B36,'[1]3. Rate Classes'!$C$24:$N$45, 11,0)), "", VLOOKUP($B36,'[1]3. Rate Classes'!$C$24:$N$45, 11,0))</f>
        <v/>
      </c>
      <c r="G36" s="46"/>
      <c r="H36" s="32">
        <f>VLOOKUP('[1]9. Adj Network to Current WS'!$B36, '[1]4. RRR Data'!$B$27:$M$49,11,0)</f>
        <v>0</v>
      </c>
      <c r="I36" s="33"/>
      <c r="J36" s="32">
        <f>VLOOKUP('[1]9. Adj Network to Current WS'!$B36, '[1]4. RRR Data'!$B$27:$M$49,12,0)</f>
        <v>0</v>
      </c>
      <c r="K36" s="41"/>
      <c r="L36" s="35" t="str">
        <f t="shared" si="0"/>
        <v/>
      </c>
      <c r="M36" s="36"/>
      <c r="N36" s="37" t="str">
        <f t="shared" si="1"/>
        <v/>
      </c>
      <c r="P36" s="39" t="str">
        <f>IF(ISERROR('[1]7. Current Wholesale'!$P$75*N36), "", '[1]7. Current Wholesale'!$P$75*N36)</f>
        <v/>
      </c>
      <c r="R36" s="40" t="str">
        <f t="shared" si="2"/>
        <v/>
      </c>
    </row>
    <row r="37" spans="2:18" ht="25.5" hidden="1" customHeight="1" x14ac:dyDescent="0.2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IF(ISERROR(VLOOKUP($B37,'[1]3. Rate Classes'!$C$24:$N$45, 11,0)), "", VLOOKUP($B37,'[1]3. Rate Classes'!$C$24:$N$45, 11,0))</f>
        <v/>
      </c>
      <c r="G37" s="46"/>
      <c r="H37" s="32">
        <f>VLOOKUP('[1]9. Adj Network to Current WS'!$B37, '[1]4. RRR Data'!$B$27:$M$49,11,0)</f>
        <v>0</v>
      </c>
      <c r="I37" s="33"/>
      <c r="J37" s="32">
        <f>VLOOKUP('[1]9. Adj Network to Current WS'!$B37, '[1]4. RRR Data'!$B$27:$M$49,12,0)</f>
        <v>0</v>
      </c>
      <c r="K37" s="41"/>
      <c r="L37" s="35" t="str">
        <f t="shared" si="0"/>
        <v/>
      </c>
      <c r="M37" s="36"/>
      <c r="N37" s="37" t="str">
        <f t="shared" si="1"/>
        <v/>
      </c>
      <c r="P37" s="39" t="str">
        <f>IF(ISERROR('[1]7. Current Wholesale'!$P$75*N37), "", '[1]7. Current Wholesale'!$P$75*N37)</f>
        <v/>
      </c>
      <c r="R37" s="40" t="str">
        <f t="shared" si="2"/>
        <v/>
      </c>
    </row>
    <row r="38" spans="2:18" ht="25.5" hidden="1" customHeight="1" x14ac:dyDescent="0.2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IF(ISERROR(VLOOKUP($B38,'[1]3. Rate Classes'!$C$24:$N$45, 11,0)), "", VLOOKUP($B38,'[1]3. Rate Classes'!$C$24:$N$45, 11,0))</f>
        <v/>
      </c>
      <c r="G38" s="46"/>
      <c r="H38" s="32">
        <f>VLOOKUP('[1]9. Adj Network to Current WS'!$B38, '[1]4. RRR Data'!$B$27:$M$49,11,0)</f>
        <v>0</v>
      </c>
      <c r="I38" s="33"/>
      <c r="J38" s="32">
        <f>VLOOKUP('[1]9. Adj Network to Current WS'!$B38, '[1]4. RRR Data'!$B$27:$M$49,12,0)</f>
        <v>0</v>
      </c>
      <c r="K38" s="41"/>
      <c r="L38" s="35" t="str">
        <f t="shared" si="0"/>
        <v/>
      </c>
      <c r="M38" s="36"/>
      <c r="N38" s="37" t="str">
        <f t="shared" si="1"/>
        <v/>
      </c>
      <c r="P38" s="39" t="str">
        <f>IF(ISERROR('[1]7. Current Wholesale'!$P$75*N38), "", '[1]7. Current Wholesale'!$P$75*N38)</f>
        <v/>
      </c>
      <c r="R38" s="40" t="str">
        <f t="shared" si="2"/>
        <v/>
      </c>
    </row>
    <row r="39" spans="2:18" ht="25.5" hidden="1" customHeight="1" x14ac:dyDescent="0.2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IF(ISERROR(VLOOKUP($B39,'[1]3. Rate Classes'!$C$24:$N$45, 11,0)), "", VLOOKUP($B39,'[1]3. Rate Classes'!$C$24:$N$45, 11,0))</f>
        <v/>
      </c>
      <c r="G39" s="46"/>
      <c r="H39" s="32">
        <f>VLOOKUP('[1]9. Adj Network to Current WS'!$B39, '[1]4. RRR Data'!$B$27:$M$49,11,0)</f>
        <v>0</v>
      </c>
      <c r="I39" s="33"/>
      <c r="J39" s="32">
        <f>VLOOKUP('[1]9. Adj Network to Current WS'!$B39, '[1]4. RRR Data'!$B$27:$M$49,12,0)</f>
        <v>0</v>
      </c>
      <c r="K39" s="41"/>
      <c r="L39" s="35" t="str">
        <f t="shared" si="0"/>
        <v/>
      </c>
      <c r="M39" s="36"/>
      <c r="N39" s="37" t="str">
        <f t="shared" si="1"/>
        <v/>
      </c>
      <c r="P39" s="39" t="str">
        <f>IF(ISERROR('[1]7. Current Wholesale'!$P$75*N39), "", '[1]7. Current Wholesale'!$P$75*N39)</f>
        <v/>
      </c>
      <c r="R39" s="40" t="str">
        <f t="shared" si="2"/>
        <v/>
      </c>
    </row>
    <row r="40" spans="2:18" ht="25.5" hidden="1" customHeight="1" x14ac:dyDescent="0.2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IF(ISERROR(VLOOKUP($B40,'[1]3. Rate Classes'!$C$24:$N$45, 11,0)), "", VLOOKUP($B40,'[1]3. Rate Classes'!$C$24:$N$45, 11,0))</f>
        <v/>
      </c>
      <c r="G40" s="46"/>
      <c r="H40" s="32">
        <f>VLOOKUP('[1]9. Adj Network to Current WS'!$B40, '[1]4. RRR Data'!$B$27:$M$49,11,0)</f>
        <v>0</v>
      </c>
      <c r="I40" s="33"/>
      <c r="J40" s="32">
        <f>VLOOKUP('[1]9. Adj Network to Current WS'!$B40, '[1]4. RRR Data'!$B$27:$M$49,12,0)</f>
        <v>0</v>
      </c>
      <c r="K40" s="41"/>
      <c r="L40" s="35" t="str">
        <f t="shared" si="0"/>
        <v/>
      </c>
      <c r="M40" s="36"/>
      <c r="N40" s="37" t="str">
        <f t="shared" si="1"/>
        <v/>
      </c>
      <c r="P40" s="39" t="str">
        <f>IF(ISERROR('[1]7. Current Wholesale'!$P$75*N40), "", '[1]7. Current Wholesale'!$P$75*N40)</f>
        <v/>
      </c>
      <c r="R40" s="40" t="str">
        <f t="shared" si="2"/>
        <v/>
      </c>
    </row>
    <row r="41" spans="2:18" ht="25.5" hidden="1" customHeight="1" x14ac:dyDescent="0.2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IF(ISERROR(VLOOKUP($B41,'[1]3. Rate Classes'!$C$24:$N$45, 11,0)), "", VLOOKUP($B41,'[1]3. Rate Classes'!$C$24:$N$45, 11,0))</f>
        <v/>
      </c>
      <c r="G41" s="46"/>
      <c r="H41" s="32">
        <f>VLOOKUP('[1]9. Adj Network to Current WS'!$B41, '[1]4. RRR Data'!$B$27:$M$49,11,0)</f>
        <v>0</v>
      </c>
      <c r="I41" s="33"/>
      <c r="J41" s="32">
        <f>VLOOKUP('[1]9. Adj Network to Current WS'!$B41, '[1]4. RRR Data'!$B$27:$M$49,12,0)</f>
        <v>0</v>
      </c>
      <c r="K41" s="41"/>
      <c r="L41" s="35" t="str">
        <f t="shared" si="0"/>
        <v/>
      </c>
      <c r="M41" s="36"/>
      <c r="N41" s="37" t="str">
        <f t="shared" si="1"/>
        <v/>
      </c>
      <c r="P41" s="39" t="str">
        <f>IF(ISERROR('[1]7. Current Wholesale'!$P$75*N41), "", '[1]7. Current Wholesale'!$P$75*N41)</f>
        <v/>
      </c>
      <c r="R41" s="40" t="str">
        <f t="shared" si="2"/>
        <v/>
      </c>
    </row>
    <row r="42" spans="2:18" ht="25.5" hidden="1" customHeight="1" x14ac:dyDescent="0.2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IF(ISERROR(VLOOKUP($B42,'[1]3. Rate Classes'!$C$24:$N$45, 11,0)), "", VLOOKUP($B42,'[1]3. Rate Classes'!$C$24:$N$45, 11,0))</f>
        <v/>
      </c>
      <c r="G42" s="46"/>
      <c r="H42" s="32">
        <f>VLOOKUP('[1]9. Adj Network to Current WS'!$B42, '[1]4. RRR Data'!$B$27:$M$49,11,0)</f>
        <v>0</v>
      </c>
      <c r="I42" s="33"/>
      <c r="J42" s="32">
        <f>VLOOKUP('[1]9. Adj Network to Current WS'!$B42, '[1]4. RRR Data'!$B$27:$M$49,12,0)</f>
        <v>0</v>
      </c>
      <c r="K42" s="41"/>
      <c r="L42" s="35" t="str">
        <f t="shared" si="0"/>
        <v/>
      </c>
      <c r="M42" s="36"/>
      <c r="N42" s="37" t="str">
        <f t="shared" si="1"/>
        <v/>
      </c>
      <c r="P42" s="39" t="str">
        <f>IF(ISERROR('[1]7. Current Wholesale'!$P$75*N42), "", '[1]7. Current Wholesale'!$P$75*N42)</f>
        <v/>
      </c>
      <c r="R42" s="40" t="str">
        <f t="shared" si="2"/>
        <v/>
      </c>
    </row>
    <row r="43" spans="2:18" ht="25.5" hidden="1" customHeight="1" x14ac:dyDescent="0.2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IF(ISERROR(VLOOKUP($B43,'[1]3. Rate Classes'!$C$24:$N$45, 11,0)), "", VLOOKUP($B43,'[1]3. Rate Classes'!$C$24:$N$45, 11,0))</f>
        <v/>
      </c>
      <c r="G43" s="46"/>
      <c r="H43" s="32">
        <f>VLOOKUP('[1]9. Adj Network to Current WS'!$B43, '[1]4. RRR Data'!$B$27:$M$49,11,0)</f>
        <v>0</v>
      </c>
      <c r="I43" s="33"/>
      <c r="J43" s="32">
        <f>VLOOKUP('[1]9. Adj Network to Current WS'!$B43, '[1]4. RRR Data'!$B$27:$M$49,12,0)</f>
        <v>0</v>
      </c>
      <c r="K43" s="41"/>
      <c r="L43" s="35" t="str">
        <f t="shared" si="0"/>
        <v/>
      </c>
      <c r="M43" s="36"/>
      <c r="N43" s="37" t="str">
        <f t="shared" si="1"/>
        <v/>
      </c>
      <c r="P43" s="39" t="str">
        <f>IF(ISERROR('[1]7. Current Wholesale'!$P$75*N43), "", '[1]7. Current Wholesale'!$P$75*N43)</f>
        <v/>
      </c>
      <c r="R43" s="40" t="str">
        <f t="shared" si="2"/>
        <v/>
      </c>
    </row>
    <row r="44" spans="2:18" ht="25.5" hidden="1" customHeight="1" x14ac:dyDescent="0.2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IF(ISERROR(VLOOKUP($B44,'[1]3. Rate Classes'!$C$24:$N$45, 11,0)), "", VLOOKUP($B44,'[1]3. Rate Classes'!$C$24:$N$45, 11,0))</f>
        <v/>
      </c>
      <c r="G44" s="46"/>
      <c r="H44" s="32">
        <f>VLOOKUP('[1]9. Adj Network to Current WS'!$B44, '[1]4. RRR Data'!$B$27:$M$49,11,0)</f>
        <v>0</v>
      </c>
      <c r="I44" s="33"/>
      <c r="J44" s="32">
        <f>VLOOKUP('[1]9. Adj Network to Current WS'!$B44, '[1]4. RRR Data'!$B$27:$M$49,12,0)</f>
        <v>0</v>
      </c>
      <c r="K44" s="41"/>
      <c r="L44" s="35" t="str">
        <f t="shared" si="0"/>
        <v/>
      </c>
      <c r="M44" s="36"/>
      <c r="N44" s="37" t="str">
        <f t="shared" si="1"/>
        <v/>
      </c>
      <c r="P44" s="39" t="str">
        <f>IF(ISERROR('[1]7. Current Wholesale'!$P$75*N44), "", '[1]7. Current Wholesale'!$P$75*N44)</f>
        <v/>
      </c>
      <c r="R44" s="40" t="str">
        <f t="shared" si="2"/>
        <v/>
      </c>
    </row>
    <row r="45" spans="2:18" ht="25.5" hidden="1" customHeight="1" x14ac:dyDescent="0.2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IF(ISERROR(VLOOKUP($B45,'[1]3. Rate Classes'!$C$24:$N$45, 11,0)), "", VLOOKUP($B45,'[1]3. Rate Classes'!$C$24:$N$45, 11,0))</f>
        <v/>
      </c>
      <c r="G45" s="46"/>
      <c r="H45" s="32">
        <f>VLOOKUP('[1]9. Adj Network to Current WS'!$B45, '[1]4. RRR Data'!$B$27:$M$49,11,0)</f>
        <v>0</v>
      </c>
      <c r="I45" s="33"/>
      <c r="J45" s="32">
        <f>VLOOKUP('[1]9. Adj Network to Current WS'!$B45, '[1]4. RRR Data'!$B$27:$M$49,12,0)</f>
        <v>0</v>
      </c>
      <c r="K45" s="41"/>
      <c r="L45" s="35" t="str">
        <f t="shared" si="0"/>
        <v/>
      </c>
      <c r="M45" s="36"/>
      <c r="N45" s="37" t="str">
        <f t="shared" si="1"/>
        <v/>
      </c>
      <c r="P45" s="39" t="str">
        <f>IF(ISERROR('[1]7. Current Wholesale'!$P$75*N45), "", '[1]7. Current Wholesale'!$P$75*N45)</f>
        <v/>
      </c>
      <c r="R45" s="40" t="str">
        <f t="shared" si="2"/>
        <v/>
      </c>
    </row>
    <row r="46" spans="2:18" ht="25.5" hidden="1" customHeight="1" x14ac:dyDescent="0.2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IF(ISERROR(VLOOKUP($B46,'[1]3. Rate Classes'!$C$24:$N$45, 11,0)), "", VLOOKUP($B46,'[1]3. Rate Classes'!$C$24:$N$45, 11,0))</f>
        <v/>
      </c>
      <c r="G46" s="46"/>
      <c r="H46" s="32">
        <f>VLOOKUP('[1]9. Adj Network to Current WS'!$B46, '[1]4. RRR Data'!$B$27:$M$49,11,0)</f>
        <v>0</v>
      </c>
      <c r="I46" s="33"/>
      <c r="J46" s="32">
        <f>VLOOKUP('[1]9. Adj Network to Current WS'!$B46, '[1]4. RRR Data'!$B$27:$M$49,12,0)</f>
        <v>0</v>
      </c>
      <c r="K46" s="41"/>
      <c r="L46" s="35" t="str">
        <f t="shared" si="0"/>
        <v/>
      </c>
      <c r="M46" s="36"/>
      <c r="N46" s="37" t="str">
        <f t="shared" si="1"/>
        <v/>
      </c>
      <c r="P46" s="39" t="str">
        <f>IF(ISERROR('[1]7. Current Wholesale'!$P$75*N46), "", '[1]7. Current Wholesale'!$P$75*N46)</f>
        <v/>
      </c>
      <c r="R46" s="40" t="str">
        <f t="shared" si="2"/>
        <v/>
      </c>
    </row>
    <row r="47" spans="2:18" ht="13.5" hidden="1" thickBot="1" x14ac:dyDescent="0.25">
      <c r="F47" s="31"/>
      <c r="G47" s="47"/>
      <c r="H47" s="43"/>
      <c r="I47" s="43"/>
      <c r="J47" s="43"/>
      <c r="R47" s="40"/>
    </row>
    <row r="48" spans="2:18" ht="13.5" thickBot="1" x14ac:dyDescent="0.25">
      <c r="F48" s="31"/>
      <c r="G48" s="47"/>
      <c r="H48" s="43"/>
      <c r="I48" s="43"/>
      <c r="J48" s="43"/>
    </row>
    <row r="49" spans="6:16" ht="13.5" thickBot="1" x14ac:dyDescent="0.25">
      <c r="F49" s="31"/>
      <c r="G49" s="47"/>
      <c r="H49" s="43"/>
      <c r="I49" s="43"/>
      <c r="J49" s="43"/>
      <c r="L49" s="44">
        <f>SUM(L25:L46)</f>
        <v>3040190.804434367</v>
      </c>
      <c r="P49" s="113">
        <f>SUM(P25:P48)</f>
        <v>3050054.3228962026</v>
      </c>
    </row>
    <row r="50" spans="6:16" ht="13.5" thickBot="1" x14ac:dyDescent="0.25">
      <c r="F50" s="31"/>
      <c r="G50" s="47"/>
      <c r="H50" s="43"/>
      <c r="I50" s="43"/>
      <c r="J50" s="43"/>
    </row>
    <row r="51" spans="6:16" ht="13.5" thickBot="1" x14ac:dyDescent="0.25">
      <c r="F51" s="31"/>
      <c r="G51" s="47"/>
      <c r="H51" s="43"/>
      <c r="I51" s="43"/>
      <c r="J51" s="43"/>
      <c r="P51" s="122">
        <f>+P49-'7 Current Wholesale'!P121</f>
        <v>0</v>
      </c>
    </row>
    <row r="52" spans="6:16" ht="13.5" thickBot="1" x14ac:dyDescent="0.25">
      <c r="F52" s="31"/>
      <c r="G52" s="47"/>
      <c r="H52" s="43"/>
      <c r="I52" s="43"/>
      <c r="J52" s="43"/>
    </row>
    <row r="53" spans="6:16" ht="13.5" thickBot="1" x14ac:dyDescent="0.25">
      <c r="F53" s="31"/>
      <c r="G53" s="47"/>
      <c r="H53" s="47"/>
      <c r="I53" s="47"/>
      <c r="J53" s="47"/>
    </row>
    <row r="54" spans="6:16" ht="13.5" thickBot="1" x14ac:dyDescent="0.25">
      <c r="F54" s="31"/>
      <c r="G54" s="47"/>
      <c r="H54" s="47"/>
      <c r="I54" s="47"/>
      <c r="J54" s="47"/>
    </row>
    <row r="55" spans="6:16" ht="13.5" thickBot="1" x14ac:dyDescent="0.25">
      <c r="F55" s="46"/>
      <c r="G55" s="47"/>
      <c r="H55" s="47"/>
      <c r="I55" s="47"/>
      <c r="J55" s="47"/>
    </row>
    <row r="56" spans="6:16" ht="13.5" thickBot="1" x14ac:dyDescent="0.25">
      <c r="F56" s="46"/>
      <c r="G56" s="47"/>
      <c r="H56" s="47"/>
      <c r="I56" s="47"/>
      <c r="J56" s="47"/>
    </row>
    <row r="57" spans="6:16" x14ac:dyDescent="0.2">
      <c r="F57" s="47"/>
      <c r="G57" s="47"/>
      <c r="H57" s="47"/>
      <c r="I57" s="47"/>
      <c r="J57" s="47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6"/>
  <sheetViews>
    <sheetView showGridLines="0" tabSelected="1" topLeftCell="C25" workbookViewId="0">
      <selection activeCell="H50" sqref="H50"/>
    </sheetView>
  </sheetViews>
  <sheetFormatPr defaultRowHeight="12.75" x14ac:dyDescent="0.2"/>
  <cols>
    <col min="1" max="1" width="13.7109375" hidden="1" customWidth="1"/>
    <col min="2" max="2" width="32.28515625" customWidth="1"/>
    <col min="3" max="3" width="16" customWidth="1"/>
    <col min="5" max="5" width="3.42578125" customWidth="1"/>
    <col min="6" max="6" width="16.140625" customWidth="1"/>
    <col min="7" max="7" width="2.5703125" customWidth="1"/>
    <col min="8" max="8" width="16.140625" customWidth="1"/>
    <col min="9" max="9" width="2.5703125" customWidth="1"/>
    <col min="10" max="10" width="16.140625" customWidth="1"/>
    <col min="11" max="11" width="2.5703125" customWidth="1"/>
    <col min="12" max="12" width="14.5703125" customWidth="1"/>
    <col min="13" max="13" width="2.5703125" customWidth="1"/>
    <col min="14" max="14" width="11.5703125" customWidth="1"/>
    <col min="15" max="15" width="2.5703125" customWidth="1"/>
    <col min="16" max="16" width="14.28515625" customWidth="1"/>
    <col min="17" max="17" width="2.5703125" customWidth="1"/>
    <col min="18" max="18" width="11.42578125" customWidth="1"/>
  </cols>
  <sheetData>
    <row r="21" spans="2:18" ht="16.5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6.5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25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48">
        <f>+'9 Adj NW to Current WS'!R25</f>
        <v>7.5281937232429602E-3</v>
      </c>
      <c r="G25" s="49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 t="shared" ref="L25:L46" si="0">IF(F25="", "", IF(D25="kWh", F25*H25, F25*J25))</f>
        <v>3084749.0091253682</v>
      </c>
      <c r="M25" s="36"/>
      <c r="N25" s="37">
        <f t="shared" ref="N25:N46" si="1">IF(ISERROR(L25/$L$49), "", L25/$L$49)</f>
        <v>0.32299077573215673</v>
      </c>
      <c r="O25" s="38"/>
      <c r="P25" s="39">
        <f>+'8 Forecast Wholesale'!$F$120*N25</f>
        <v>3092327.7932269676</v>
      </c>
      <c r="R25" s="40">
        <f t="shared" ref="R25:R46" si="2">IF(D25="","",IF(D25="kWh",IF(H25&lt;&gt;0,P25/H25,),IF(J25&lt;&gt;0,P25/J25,0)))</f>
        <v>7.5466894111367545E-3</v>
      </c>
    </row>
    <row r="26" spans="2:18" ht="25.5" customHeight="1" thickBot="1" x14ac:dyDescent="0.25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48">
        <f>+'9 Adj NW to Current WS'!R26</f>
        <v>6.8255623090736168E-3</v>
      </c>
      <c r="G26" s="49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si="0"/>
        <v>1276019.7468290546</v>
      </c>
      <c r="M26" s="36"/>
      <c r="N26" s="37">
        <f t="shared" si="1"/>
        <v>0.13360652897809766</v>
      </c>
      <c r="P26" s="39">
        <f>+'8 Forecast Wholesale'!$F$120*N26</f>
        <v>1279154.7435960481</v>
      </c>
      <c r="R26" s="40">
        <f t="shared" si="2"/>
        <v>6.8423317327639902E-3</v>
      </c>
    </row>
    <row r="27" spans="2:18" ht="25.5" customHeight="1" thickBot="1" x14ac:dyDescent="0.25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48">
        <f>+'9 Adj NW to Current WS'!R27</f>
        <v>2.7973764116407742</v>
      </c>
      <c r="G27" s="49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0"/>
        <v>1134108.1728630729</v>
      </c>
      <c r="M27" s="36"/>
      <c r="N27" s="37">
        <f t="shared" si="1"/>
        <v>0.11874757960326998</v>
      </c>
      <c r="P27" s="39">
        <f>+'8 Forecast Wholesale'!$F$120*N27</f>
        <v>1136894.5133285574</v>
      </c>
      <c r="R27" s="40">
        <f t="shared" si="2"/>
        <v>2.8042491626529364</v>
      </c>
    </row>
    <row r="28" spans="2:18" ht="25.5" customHeight="1" thickBot="1" x14ac:dyDescent="0.25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48">
        <f>+'9 Adj NW to Current WS'!R28</f>
        <v>2.9712274986895313</v>
      </c>
      <c r="G28" s="49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0"/>
        <v>2137398.7246252289</v>
      </c>
      <c r="M28" s="36"/>
      <c r="N28" s="37">
        <f t="shared" si="1"/>
        <v>0.22379780982938571</v>
      </c>
      <c r="P28" s="39">
        <f>+'8 Forecast Wholesale'!$F$120*N28</f>
        <v>2142650.0054993127</v>
      </c>
      <c r="R28" s="40">
        <f t="shared" si="2"/>
        <v>2.9785273767874543</v>
      </c>
    </row>
    <row r="29" spans="2:18" ht="25.5" customHeight="1" thickBot="1" x14ac:dyDescent="0.25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48">
        <f>+'9 Adj NW to Current WS'!R29</f>
        <v>2.9674132138697549</v>
      </c>
      <c r="G29" s="49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0"/>
        <v>1354394.0201596583</v>
      </c>
      <c r="M29" s="36"/>
      <c r="N29" s="37">
        <f t="shared" si="1"/>
        <v>0.14181276140271662</v>
      </c>
      <c r="P29" s="39">
        <f>+'8 Forecast Wholesale'!$F$120*N29</f>
        <v>1357721.5712300767</v>
      </c>
      <c r="R29" s="40">
        <f t="shared" si="2"/>
        <v>2.9747037208191447</v>
      </c>
    </row>
    <row r="30" spans="2:18" ht="25.5" customHeight="1" thickBot="1" x14ac:dyDescent="0.25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48">
        <f>+'9 Adj NW to Current WS'!R30</f>
        <v>3.2897202811408635</v>
      </c>
      <c r="G30" s="49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0"/>
        <v>506129.41198007372</v>
      </c>
      <c r="M30" s="36"/>
      <c r="N30" s="37">
        <f t="shared" si="1"/>
        <v>5.2994629680634911E-2</v>
      </c>
      <c r="P30" s="39">
        <f>+'8 Forecast Wholesale'!$F$120*N30</f>
        <v>507372.89906103862</v>
      </c>
      <c r="R30" s="40">
        <f t="shared" si="2"/>
        <v>3.2978026501412803</v>
      </c>
    </row>
    <row r="31" spans="2:18" ht="25.5" customHeight="1" thickBot="1" x14ac:dyDescent="0.25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48">
        <f>+'9 Adj NW to Current WS'!R31</f>
        <v>6.8255623090736168E-3</v>
      </c>
      <c r="G31" s="49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0"/>
        <v>11707.69606339036</v>
      </c>
      <c r="M31" s="36"/>
      <c r="N31" s="37">
        <f t="shared" si="1"/>
        <v>1.2258624031855831E-3</v>
      </c>
      <c r="P31" s="39">
        <f>+'8 Forecast Wholesale'!$F$120*N31</f>
        <v>11736.460186672059</v>
      </c>
      <c r="R31" s="40">
        <f t="shared" si="2"/>
        <v>6.8423317327639902E-3</v>
      </c>
    </row>
    <row r="32" spans="2:18" ht="25.5" customHeight="1" thickBot="1" x14ac:dyDescent="0.25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48">
        <f>+'9 Adj NW to Current WS'!R32</f>
        <v>2.1100021367505368</v>
      </c>
      <c r="G32" s="49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0"/>
        <v>46072.494597714802</v>
      </c>
      <c r="M32" s="36"/>
      <c r="N32" s="37">
        <f t="shared" si="1"/>
        <v>4.8240523705527583E-3</v>
      </c>
      <c r="P32" s="39">
        <f>+'8 Forecast Wholesale'!$F$120*N32</f>
        <v>46185.688082353343</v>
      </c>
      <c r="R32" s="40">
        <f t="shared" si="2"/>
        <v>2.1151861081534094</v>
      </c>
    </row>
    <row r="33" spans="2:18" ht="25.5" customHeight="1" thickBot="1" x14ac:dyDescent="0.25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48">
        <f>+'9 Adj NW to Current WS'!R33</f>
        <v>0</v>
      </c>
      <c r="G33" s="49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0"/>
        <v>0</v>
      </c>
      <c r="M33" s="36"/>
      <c r="N33" s="37">
        <f t="shared" si="1"/>
        <v>0</v>
      </c>
      <c r="P33" s="39">
        <f>+'8 Forecast Wholesale'!$F$120*N33</f>
        <v>0</v>
      </c>
      <c r="R33" s="40">
        <f t="shared" si="2"/>
        <v>0</v>
      </c>
    </row>
    <row r="34" spans="2:18" ht="25.5" hidden="1" customHeight="1" x14ac:dyDescent="0.2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48" t="str">
        <f>VLOOKUP($B34, '[1]9. Adj Network to Current WS'!$B$25:$R$47, 17,0)</f>
        <v/>
      </c>
      <c r="G34" s="49"/>
      <c r="H34" s="32">
        <f>VLOOKUP('[1]9. Adj Network to Current WS'!$B34, '[1]4. RRR Data'!$B$27:$M$49,11,0)</f>
        <v>0</v>
      </c>
      <c r="I34" s="33"/>
      <c r="J34" s="32">
        <f>+'4. RRR Data'!M36</f>
        <v>0</v>
      </c>
      <c r="K34" s="41"/>
      <c r="L34" s="35" t="str">
        <f t="shared" si="0"/>
        <v/>
      </c>
      <c r="M34" s="36"/>
      <c r="N34" s="37" t="str">
        <f t="shared" si="1"/>
        <v/>
      </c>
      <c r="P34" s="39" t="str">
        <f>IF(ISERROR('[1]8. Forecast Wholesale'!$F$75*N34), "", '[1]8. Forecast Wholesale'!$F$75*N34)</f>
        <v/>
      </c>
      <c r="R34" s="40" t="str">
        <f t="shared" si="2"/>
        <v/>
      </c>
    </row>
    <row r="35" spans="2:18" ht="25.5" hidden="1" customHeight="1" x14ac:dyDescent="0.2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48" t="str">
        <f>VLOOKUP($B35, '[1]9. Adj Network to Current WS'!$B$25:$R$47, 17,0)</f>
        <v/>
      </c>
      <c r="G35" s="49"/>
      <c r="H35" s="32">
        <f>VLOOKUP('[1]9. Adj Network to Current WS'!$B35, '[1]4. RRR Data'!$B$27:$M$49,11,0)</f>
        <v>0</v>
      </c>
      <c r="I35" s="33"/>
      <c r="J35" s="32">
        <f>+'4. RRR Data'!M37</f>
        <v>0</v>
      </c>
      <c r="K35" s="41"/>
      <c r="L35" s="35" t="str">
        <f t="shared" si="0"/>
        <v/>
      </c>
      <c r="M35" s="36"/>
      <c r="N35" s="37" t="str">
        <f t="shared" si="1"/>
        <v/>
      </c>
      <c r="P35" s="39" t="str">
        <f>IF(ISERROR('[1]8. Forecast Wholesale'!$F$75*N35), "", '[1]8. Forecast Wholesale'!$F$75*N35)</f>
        <v/>
      </c>
      <c r="R35" s="40" t="str">
        <f t="shared" si="2"/>
        <v/>
      </c>
    </row>
    <row r="36" spans="2:18" ht="25.5" hidden="1" customHeight="1" x14ac:dyDescent="0.2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48" t="str">
        <f>VLOOKUP($B36, '[1]9. Adj Network to Current WS'!$B$25:$R$47, 17,0)</f>
        <v/>
      </c>
      <c r="G36" s="49"/>
      <c r="H36" s="32">
        <f>VLOOKUP('[1]9. Adj Network to Current WS'!$B36, '[1]4. RRR Data'!$B$27:$M$49,11,0)</f>
        <v>0</v>
      </c>
      <c r="I36" s="33"/>
      <c r="J36" s="32">
        <f>+'4. RRR Data'!M38</f>
        <v>0</v>
      </c>
      <c r="K36" s="41"/>
      <c r="L36" s="35" t="str">
        <f t="shared" si="0"/>
        <v/>
      </c>
      <c r="M36" s="36"/>
      <c r="N36" s="37" t="str">
        <f t="shared" si="1"/>
        <v/>
      </c>
      <c r="P36" s="39" t="str">
        <f>IF(ISERROR('[1]8. Forecast Wholesale'!$F$75*N36), "", '[1]8. Forecast Wholesale'!$F$75*N36)</f>
        <v/>
      </c>
      <c r="R36" s="40" t="str">
        <f t="shared" si="2"/>
        <v/>
      </c>
    </row>
    <row r="37" spans="2:18" ht="25.5" hidden="1" customHeight="1" x14ac:dyDescent="0.2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48" t="str">
        <f>VLOOKUP($B37, '[1]9. Adj Network to Current WS'!$B$25:$R$47, 17,0)</f>
        <v/>
      </c>
      <c r="G37" s="49"/>
      <c r="H37" s="32">
        <f>VLOOKUP('[1]9. Adj Network to Current WS'!$B37, '[1]4. RRR Data'!$B$27:$M$49,11,0)</f>
        <v>0</v>
      </c>
      <c r="I37" s="33"/>
      <c r="J37" s="32">
        <f>+'4. RRR Data'!M39</f>
        <v>0</v>
      </c>
      <c r="K37" s="41"/>
      <c r="L37" s="35" t="str">
        <f t="shared" si="0"/>
        <v/>
      </c>
      <c r="M37" s="36"/>
      <c r="N37" s="37" t="str">
        <f t="shared" si="1"/>
        <v/>
      </c>
      <c r="P37" s="39" t="str">
        <f>IF(ISERROR('[1]8. Forecast Wholesale'!$F$75*N37), "", '[1]8. Forecast Wholesale'!$F$75*N37)</f>
        <v/>
      </c>
      <c r="R37" s="40" t="str">
        <f t="shared" si="2"/>
        <v/>
      </c>
    </row>
    <row r="38" spans="2:18" ht="25.5" hidden="1" customHeight="1" x14ac:dyDescent="0.2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48" t="str">
        <f>VLOOKUP($B38, '[1]9. Adj Network to Current WS'!$B$25:$R$47, 17,0)</f>
        <v/>
      </c>
      <c r="G38" s="49"/>
      <c r="H38" s="32">
        <f>VLOOKUP('[1]9. Adj Network to Current WS'!$B38, '[1]4. RRR Data'!$B$27:$M$49,11,0)</f>
        <v>0</v>
      </c>
      <c r="I38" s="33"/>
      <c r="J38" s="32">
        <f>+'4. RRR Data'!M40</f>
        <v>0</v>
      </c>
      <c r="K38" s="41"/>
      <c r="L38" s="35" t="str">
        <f t="shared" si="0"/>
        <v/>
      </c>
      <c r="M38" s="36"/>
      <c r="N38" s="37" t="str">
        <f t="shared" si="1"/>
        <v/>
      </c>
      <c r="P38" s="39" t="str">
        <f>IF(ISERROR('[1]8. Forecast Wholesale'!$F$75*N38), "", '[1]8. Forecast Wholesale'!$F$75*N38)</f>
        <v/>
      </c>
      <c r="R38" s="40" t="str">
        <f t="shared" si="2"/>
        <v/>
      </c>
    </row>
    <row r="39" spans="2:18" ht="25.5" hidden="1" customHeight="1" x14ac:dyDescent="0.2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48" t="str">
        <f>VLOOKUP($B39, '[1]9. Adj Network to Current WS'!$B$25:$R$47, 17,0)</f>
        <v/>
      </c>
      <c r="G39" s="49"/>
      <c r="H39" s="32">
        <f>VLOOKUP('[1]9. Adj Network to Current WS'!$B39, '[1]4. RRR Data'!$B$27:$M$49,11,0)</f>
        <v>0</v>
      </c>
      <c r="I39" s="33"/>
      <c r="J39" s="32">
        <f>+'4. RRR Data'!M41</f>
        <v>0</v>
      </c>
      <c r="K39" s="41"/>
      <c r="L39" s="35" t="str">
        <f t="shared" si="0"/>
        <v/>
      </c>
      <c r="M39" s="36"/>
      <c r="N39" s="37" t="str">
        <f t="shared" si="1"/>
        <v/>
      </c>
      <c r="P39" s="39" t="str">
        <f>IF(ISERROR('[1]8. Forecast Wholesale'!$F$75*N39), "", '[1]8. Forecast Wholesale'!$F$75*N39)</f>
        <v/>
      </c>
      <c r="R39" s="40" t="str">
        <f t="shared" si="2"/>
        <v/>
      </c>
    </row>
    <row r="40" spans="2:18" ht="25.5" hidden="1" customHeight="1" x14ac:dyDescent="0.2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48" t="str">
        <f>VLOOKUP($B40, '[1]9. Adj Network to Current WS'!$B$25:$R$47, 17,0)</f>
        <v/>
      </c>
      <c r="G40" s="49"/>
      <c r="H40" s="32">
        <f>VLOOKUP('[1]9. Adj Network to Current WS'!$B40, '[1]4. RRR Data'!$B$27:$M$49,11,0)</f>
        <v>0</v>
      </c>
      <c r="I40" s="33"/>
      <c r="J40" s="32">
        <f>+'4. RRR Data'!M42</f>
        <v>0</v>
      </c>
      <c r="K40" s="41"/>
      <c r="L40" s="35" t="str">
        <f t="shared" si="0"/>
        <v/>
      </c>
      <c r="M40" s="36"/>
      <c r="N40" s="37" t="str">
        <f t="shared" si="1"/>
        <v/>
      </c>
      <c r="P40" s="39" t="str">
        <f>IF(ISERROR('[1]8. Forecast Wholesale'!$F$75*N40), "", '[1]8. Forecast Wholesale'!$F$75*N40)</f>
        <v/>
      </c>
      <c r="R40" s="40" t="str">
        <f t="shared" si="2"/>
        <v/>
      </c>
    </row>
    <row r="41" spans="2:18" ht="25.5" hidden="1" customHeight="1" x14ac:dyDescent="0.2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48" t="str">
        <f>VLOOKUP($B41, '[1]9. Adj Network to Current WS'!$B$25:$R$47, 17,0)</f>
        <v/>
      </c>
      <c r="G41" s="49"/>
      <c r="H41" s="32">
        <f>VLOOKUP('[1]9. Adj Network to Current WS'!$B41, '[1]4. RRR Data'!$B$27:$M$49,11,0)</f>
        <v>0</v>
      </c>
      <c r="I41" s="33"/>
      <c r="J41" s="32">
        <f>+'4. RRR Data'!M43</f>
        <v>0</v>
      </c>
      <c r="K41" s="41"/>
      <c r="L41" s="35" t="str">
        <f t="shared" si="0"/>
        <v/>
      </c>
      <c r="M41" s="36"/>
      <c r="N41" s="37" t="str">
        <f t="shared" si="1"/>
        <v/>
      </c>
      <c r="P41" s="39" t="str">
        <f>IF(ISERROR('[1]8. Forecast Wholesale'!$F$75*N41), "", '[1]8. Forecast Wholesale'!$F$75*N41)</f>
        <v/>
      </c>
      <c r="R41" s="40" t="str">
        <f t="shared" si="2"/>
        <v/>
      </c>
    </row>
    <row r="42" spans="2:18" ht="25.5" hidden="1" customHeight="1" x14ac:dyDescent="0.2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48" t="str">
        <f>VLOOKUP($B42, '[1]9. Adj Network to Current WS'!$B$25:$R$47, 17,0)</f>
        <v/>
      </c>
      <c r="G42" s="49"/>
      <c r="H42" s="32">
        <f>VLOOKUP('[1]9. Adj Network to Current WS'!$B42, '[1]4. RRR Data'!$B$27:$M$49,11,0)</f>
        <v>0</v>
      </c>
      <c r="I42" s="33"/>
      <c r="J42" s="32">
        <f>+'4. RRR Data'!M44</f>
        <v>0</v>
      </c>
      <c r="K42" s="41"/>
      <c r="L42" s="35" t="str">
        <f t="shared" si="0"/>
        <v/>
      </c>
      <c r="M42" s="36"/>
      <c r="N42" s="37" t="str">
        <f t="shared" si="1"/>
        <v/>
      </c>
      <c r="P42" s="39" t="str">
        <f>IF(ISERROR('[1]8. Forecast Wholesale'!$F$75*N42), "", '[1]8. Forecast Wholesale'!$F$75*N42)</f>
        <v/>
      </c>
      <c r="R42" s="40" t="str">
        <f t="shared" si="2"/>
        <v/>
      </c>
    </row>
    <row r="43" spans="2:18" ht="25.5" hidden="1" customHeight="1" x14ac:dyDescent="0.2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48" t="str">
        <f>VLOOKUP($B43, '[1]9. Adj Network to Current WS'!$B$25:$R$47, 17,0)</f>
        <v/>
      </c>
      <c r="G43" s="49"/>
      <c r="H43" s="32">
        <f>VLOOKUP('[1]9. Adj Network to Current WS'!$B43, '[1]4. RRR Data'!$B$27:$M$49,11,0)</f>
        <v>0</v>
      </c>
      <c r="I43" s="33"/>
      <c r="J43" s="32">
        <f>+'4. RRR Data'!M45</f>
        <v>0</v>
      </c>
      <c r="K43" s="41"/>
      <c r="L43" s="35" t="str">
        <f t="shared" si="0"/>
        <v/>
      </c>
      <c r="M43" s="36"/>
      <c r="N43" s="37" t="str">
        <f t="shared" si="1"/>
        <v/>
      </c>
      <c r="P43" s="39" t="str">
        <f>IF(ISERROR('[1]8. Forecast Wholesale'!$F$75*N43), "", '[1]8. Forecast Wholesale'!$F$75*N43)</f>
        <v/>
      </c>
      <c r="R43" s="40" t="str">
        <f t="shared" si="2"/>
        <v/>
      </c>
    </row>
    <row r="44" spans="2:18" ht="25.5" hidden="1" customHeight="1" x14ac:dyDescent="0.2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48" t="str">
        <f>VLOOKUP($B44, '[1]9. Adj Network to Current WS'!$B$25:$R$47, 17,0)</f>
        <v/>
      </c>
      <c r="G44" s="49"/>
      <c r="H44" s="32">
        <f>VLOOKUP('[1]9. Adj Network to Current WS'!$B44, '[1]4. RRR Data'!$B$27:$M$49,11,0)</f>
        <v>0</v>
      </c>
      <c r="I44" s="33"/>
      <c r="J44" s="32">
        <f>+'4. RRR Data'!M46</f>
        <v>0</v>
      </c>
      <c r="K44" s="41"/>
      <c r="L44" s="35" t="str">
        <f t="shared" si="0"/>
        <v/>
      </c>
      <c r="M44" s="36"/>
      <c r="N44" s="37" t="str">
        <f t="shared" si="1"/>
        <v/>
      </c>
      <c r="P44" s="39" t="str">
        <f>IF(ISERROR('[1]8. Forecast Wholesale'!$F$75*N44), "", '[1]8. Forecast Wholesale'!$F$75*N44)</f>
        <v/>
      </c>
      <c r="R44" s="40" t="str">
        <f t="shared" si="2"/>
        <v/>
      </c>
    </row>
    <row r="45" spans="2:18" ht="25.5" hidden="1" customHeight="1" x14ac:dyDescent="0.2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48" t="str">
        <f>VLOOKUP($B45, '[1]9. Adj Network to Current WS'!$B$25:$R$47, 17,0)</f>
        <v/>
      </c>
      <c r="G45" s="49"/>
      <c r="H45" s="32">
        <f>VLOOKUP('[1]9. Adj Network to Current WS'!$B45, '[1]4. RRR Data'!$B$27:$M$49,11,0)</f>
        <v>0</v>
      </c>
      <c r="I45" s="33"/>
      <c r="J45" s="32">
        <f>+'4. RRR Data'!M47</f>
        <v>0</v>
      </c>
      <c r="K45" s="41"/>
      <c r="L45" s="35" t="str">
        <f t="shared" si="0"/>
        <v/>
      </c>
      <c r="M45" s="36"/>
      <c r="N45" s="37" t="str">
        <f t="shared" si="1"/>
        <v/>
      </c>
      <c r="P45" s="39" t="str">
        <f>IF(ISERROR('[1]8. Forecast Wholesale'!$F$75*N45), "", '[1]8. Forecast Wholesale'!$F$75*N45)</f>
        <v/>
      </c>
      <c r="R45" s="40" t="str">
        <f t="shared" si="2"/>
        <v/>
      </c>
    </row>
    <row r="46" spans="2:18" ht="25.5" hidden="1" customHeight="1" x14ac:dyDescent="0.2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48" t="str">
        <f>VLOOKUP($B46, '[1]9. Adj Network to Current WS'!$B$25:$R$47, 17,0)</f>
        <v/>
      </c>
      <c r="G46" s="49"/>
      <c r="H46" s="32">
        <f>VLOOKUP('[1]9. Adj Network to Current WS'!$B46, '[1]4. RRR Data'!$B$27:$M$49,11,0)</f>
        <v>0</v>
      </c>
      <c r="I46" s="33"/>
      <c r="J46" s="32">
        <f>+'4. RRR Data'!M48</f>
        <v>0</v>
      </c>
      <c r="K46" s="41"/>
      <c r="L46" s="35" t="str">
        <f t="shared" si="0"/>
        <v/>
      </c>
      <c r="M46" s="36"/>
      <c r="N46" s="37" t="str">
        <f t="shared" si="1"/>
        <v/>
      </c>
      <c r="P46" s="39" t="str">
        <f>IF(ISERROR('[1]8. Forecast Wholesale'!$F$75*N46), "", '[1]8. Forecast Wholesale'!$F$75*N46)</f>
        <v/>
      </c>
      <c r="R46" s="40" t="str">
        <f t="shared" si="2"/>
        <v/>
      </c>
    </row>
    <row r="47" spans="2:18" ht="13.5" hidden="1" thickBot="1" x14ac:dyDescent="0.25">
      <c r="F47" s="48"/>
      <c r="G47" s="50"/>
      <c r="H47" s="50"/>
      <c r="I47" s="50"/>
      <c r="J47" s="32">
        <f>+'4. RRR Data'!M49</f>
        <v>0</v>
      </c>
      <c r="R47" s="51"/>
    </row>
    <row r="48" spans="2:18" ht="13.5" thickBot="1" x14ac:dyDescent="0.25">
      <c r="F48" s="48"/>
      <c r="G48" s="50"/>
      <c r="H48" s="50"/>
      <c r="I48" s="50"/>
      <c r="J48" s="32">
        <f>+'4. RRR Data'!M50</f>
        <v>0</v>
      </c>
      <c r="R48" s="51"/>
    </row>
    <row r="49" spans="6:18" ht="13.5" thickBot="1" x14ac:dyDescent="0.25">
      <c r="F49" s="48"/>
      <c r="G49" s="50"/>
      <c r="H49" s="50"/>
      <c r="I49" s="50"/>
      <c r="J49" s="50"/>
      <c r="L49" s="44">
        <f>SUM(L25:L46)</f>
        <v>9550579.2762435619</v>
      </c>
      <c r="P49" s="113">
        <f>SUM(P25:P48)</f>
        <v>9574043.6742110271</v>
      </c>
      <c r="R49" s="51"/>
    </row>
    <row r="50" spans="6:18" ht="13.5" thickBot="1" x14ac:dyDescent="0.25">
      <c r="F50" s="48"/>
      <c r="G50" s="50"/>
      <c r="H50" s="50"/>
      <c r="I50" s="50"/>
      <c r="J50" s="50"/>
      <c r="R50" s="51"/>
    </row>
    <row r="51" spans="6:18" ht="13.5" thickBot="1" x14ac:dyDescent="0.25">
      <c r="F51" s="48"/>
      <c r="G51" s="50"/>
      <c r="H51" s="50"/>
      <c r="I51" s="50"/>
      <c r="J51" s="50"/>
      <c r="P51" s="122">
        <f>+P49-'8 Forecast Wholesale'!F120</f>
        <v>0</v>
      </c>
      <c r="R51" s="51"/>
    </row>
    <row r="52" spans="6:18" ht="13.5" thickBot="1" x14ac:dyDescent="0.25">
      <c r="F52" s="48"/>
      <c r="G52" s="50"/>
      <c r="H52" s="50"/>
      <c r="I52" s="50"/>
      <c r="J52" s="50"/>
    </row>
    <row r="53" spans="6:18" ht="13.5" thickBot="1" x14ac:dyDescent="0.25">
      <c r="F53" s="48"/>
      <c r="G53" s="50"/>
      <c r="H53" s="50"/>
      <c r="I53" s="50"/>
      <c r="J53" s="50"/>
    </row>
    <row r="54" spans="6:18" ht="13.5" thickBot="1" x14ac:dyDescent="0.25">
      <c r="F54" s="45"/>
    </row>
    <row r="55" spans="6:18" ht="13.5" thickBot="1" x14ac:dyDescent="0.25">
      <c r="F55" s="45"/>
    </row>
    <row r="56" spans="6:18" ht="13.5" thickBot="1" x14ac:dyDescent="0.25">
      <c r="F56" s="45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6"/>
  <sheetViews>
    <sheetView showGridLines="0" tabSelected="1" topLeftCell="C9" workbookViewId="0">
      <selection activeCell="H50" sqref="H50"/>
    </sheetView>
  </sheetViews>
  <sheetFormatPr defaultRowHeight="12.75" x14ac:dyDescent="0.2"/>
  <cols>
    <col min="1" max="1" width="13.7109375" hidden="1" customWidth="1"/>
    <col min="2" max="2" width="32.28515625" customWidth="1"/>
    <col min="3" max="3" width="16" customWidth="1"/>
    <col min="5" max="5" width="3.42578125" customWidth="1"/>
    <col min="6" max="6" width="16.140625" customWidth="1"/>
    <col min="7" max="7" width="2.5703125" customWidth="1"/>
    <col min="8" max="8" width="16.140625" customWidth="1"/>
    <col min="9" max="9" width="2.5703125" customWidth="1"/>
    <col min="10" max="10" width="16.140625" customWidth="1"/>
    <col min="11" max="11" width="2.5703125" customWidth="1"/>
    <col min="12" max="12" width="14.5703125" customWidth="1"/>
    <col min="13" max="13" width="2.5703125" customWidth="1"/>
    <col min="14" max="14" width="11.5703125" customWidth="1"/>
    <col min="15" max="15" width="2.5703125" customWidth="1"/>
    <col min="16" max="16" width="14.28515625" customWidth="1"/>
    <col min="17" max="17" width="2.5703125" customWidth="1"/>
    <col min="18" max="18" width="11.42578125" customWidth="1"/>
  </cols>
  <sheetData>
    <row r="21" spans="2:18" ht="16.5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6.5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25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31">
        <f>+'10 Adj Conn to Current WS'!R25</f>
        <v>2.3074620620617404E-3</v>
      </c>
      <c r="G25" s="46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>IF(F25="", "", IF(D25="kWh", F25*H25, F25*J25))</f>
        <v>945504.53551201907</v>
      </c>
      <c r="M25" s="36"/>
      <c r="N25" s="37">
        <f t="shared" ref="N25:N46" si="0">IF(ISERROR(L25/$L$49), "", L25/$L$49)</f>
        <v>0.30999596578142513</v>
      </c>
      <c r="O25" s="38"/>
      <c r="P25" s="39">
        <f>+'8 Forecast Wholesale'!$P$120*N25</f>
        <v>947535.36594044208</v>
      </c>
      <c r="R25" s="40">
        <f t="shared" ref="R25:R46" si="1">IF(D25="","",IF(D25="kWh",IF(H25&lt;&gt;0,P25/H25,),IF(J25&lt;&gt;0,P25/J25,0)))</f>
        <v>2.3124182140335857E-3</v>
      </c>
    </row>
    <row r="26" spans="2:18" ht="25.5" customHeight="1" thickBot="1" x14ac:dyDescent="0.25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+'10 Adj Conn to Current WS'!R26</f>
        <v>2.1068131870998503E-3</v>
      </c>
      <c r="G26" s="46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ref="L26:L46" si="2">IF(F26="", "", IF(D26="kWh", F26*H26, F26*J26))</f>
        <v>393862.82153567101</v>
      </c>
      <c r="M26" s="36"/>
      <c r="N26" s="37">
        <f t="shared" si="0"/>
        <v>0.12913305136207395</v>
      </c>
      <c r="P26" s="39">
        <f>+'8 Forecast Wholesale'!$P$120*N26</f>
        <v>394708.79167389573</v>
      </c>
      <c r="R26" s="40">
        <f t="shared" si="1"/>
        <v>2.1113383693350139E-3</v>
      </c>
    </row>
    <row r="27" spans="2:18" ht="25.5" customHeight="1" thickBot="1" x14ac:dyDescent="0.25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31">
        <f>+'10 Adj Conn to Current WS'!R27</f>
        <v>0.81945000534436074</v>
      </c>
      <c r="G27" s="46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2"/>
        <v>332220.19905738393</v>
      </c>
      <c r="M27" s="36"/>
      <c r="N27" s="37">
        <f t="shared" si="0"/>
        <v>0.10892271542951461</v>
      </c>
      <c r="P27" s="39">
        <f>+'8 Forecast Wholesale'!$P$120*N27</f>
        <v>332933.76823007665</v>
      </c>
      <c r="R27" s="40">
        <f t="shared" si="1"/>
        <v>0.82121008574897103</v>
      </c>
    </row>
    <row r="28" spans="2:18" ht="25.5" customHeight="1" thickBot="1" x14ac:dyDescent="0.25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31">
        <f>+'10 Adj Conn to Current WS'!R28</f>
        <v>1.0236102356180845</v>
      </c>
      <c r="G28" s="46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2"/>
        <v>736349.94731584413</v>
      </c>
      <c r="M28" s="36"/>
      <c r="N28" s="37">
        <f t="shared" si="0"/>
        <v>0.24142191232077381</v>
      </c>
      <c r="P28" s="39">
        <f>+'8 Forecast Wholesale'!$P$120*N28</f>
        <v>737931.53875492373</v>
      </c>
      <c r="R28" s="40">
        <f t="shared" si="1"/>
        <v>1.0258088277297688</v>
      </c>
    </row>
    <row r="29" spans="2:18" ht="25.5" customHeight="1" thickBot="1" x14ac:dyDescent="0.25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31">
        <f>+'10 Adj Conn to Current WS'!R29</f>
        <v>1.022406342368313</v>
      </c>
      <c r="G29" s="46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2"/>
        <v>466649.21144269395</v>
      </c>
      <c r="M29" s="36"/>
      <c r="N29" s="37">
        <f t="shared" si="0"/>
        <v>0.15299701645955721</v>
      </c>
      <c r="P29" s="39">
        <f>+'8 Forecast Wholesale'!$P$120*N29</f>
        <v>467651.51802336442</v>
      </c>
      <c r="R29" s="40">
        <f t="shared" si="1"/>
        <v>1.0246023486615772</v>
      </c>
    </row>
    <row r="30" spans="2:18" ht="25.5" customHeight="1" thickBot="1" x14ac:dyDescent="0.25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31">
        <f>+'10 Adj Conn to Current WS'!R30</f>
        <v>1.0271215909299174</v>
      </c>
      <c r="G30" s="46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2"/>
        <v>158024.51346079569</v>
      </c>
      <c r="M30" s="36"/>
      <c r="N30" s="37">
        <f t="shared" si="0"/>
        <v>5.1810393104979945E-2</v>
      </c>
      <c r="P30" s="39">
        <f>+'8 Forecast Wholesale'!$P$120*N30</f>
        <v>158363.9311772841</v>
      </c>
      <c r="R30" s="40">
        <f t="shared" si="1"/>
        <v>1.0293277250119937</v>
      </c>
    </row>
    <row r="31" spans="2:18" ht="25.5" customHeight="1" thickBot="1" x14ac:dyDescent="0.25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31">
        <f>+'10 Adj Conn to Current WS'!R31</f>
        <v>2.1068131870998499E-3</v>
      </c>
      <c r="G31" s="46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2"/>
        <v>3613.757715480519</v>
      </c>
      <c r="M31" s="36"/>
      <c r="N31" s="37">
        <f t="shared" si="0"/>
        <v>1.184817492709129E-3</v>
      </c>
      <c r="P31" s="39">
        <f>+'8 Forecast Wholesale'!$P$120*N31</f>
        <v>3621.5196339630911</v>
      </c>
      <c r="R31" s="40">
        <f t="shared" si="1"/>
        <v>2.111338369335013E-3</v>
      </c>
    </row>
    <row r="32" spans="2:18" ht="25.5" customHeight="1" thickBot="1" x14ac:dyDescent="0.25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31">
        <f>+'10 Adj Conn to Current WS'!R32</f>
        <v>0.63334817381720732</v>
      </c>
      <c r="G32" s="46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2"/>
        <v>13829.336856314156</v>
      </c>
      <c r="M32" s="36"/>
      <c r="N32" s="37">
        <f t="shared" si="0"/>
        <v>4.5341280489661585E-3</v>
      </c>
      <c r="P32" s="39">
        <f>+'8 Forecast Wholesale'!$P$120*N32</f>
        <v>13859.040614506608</v>
      </c>
      <c r="R32" s="40">
        <f t="shared" si="1"/>
        <v>0.63470852979104475</v>
      </c>
    </row>
    <row r="33" spans="2:18" ht="25.5" customHeight="1" thickBot="1" x14ac:dyDescent="0.25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31">
        <f>+'10 Adj Conn to Current WS'!R33</f>
        <v>0</v>
      </c>
      <c r="G33" s="46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2"/>
        <v>0</v>
      </c>
      <c r="M33" s="36"/>
      <c r="N33" s="37">
        <f t="shared" si="0"/>
        <v>0</v>
      </c>
      <c r="P33" s="39">
        <f>+'8 Forecast Wholesale'!$P$120*N33</f>
        <v>0</v>
      </c>
      <c r="R33" s="40">
        <f t="shared" si="1"/>
        <v>0</v>
      </c>
    </row>
    <row r="34" spans="2:18" ht="25.5" hidden="1" customHeight="1" x14ac:dyDescent="0.2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31" t="str">
        <f>VLOOKUP($B34, '[1]10. Adj Conn. to Current WS'!$B$25:$R$47, 17,0)</f>
        <v/>
      </c>
      <c r="G34" s="46"/>
      <c r="H34" s="32">
        <f>VLOOKUP('[1]9. Adj Network to Current WS'!$B34, '[1]4. RRR Data'!$B$27:$M$49,11,0)</f>
        <v>0</v>
      </c>
      <c r="I34" s="33"/>
      <c r="J34" s="32">
        <f>VLOOKUP('[1]9. Adj Network to Current WS'!$B34, '[1]4. RRR Data'!$B$27:$M$49,12,0)</f>
        <v>0</v>
      </c>
      <c r="K34" s="41"/>
      <c r="L34" s="35" t="str">
        <f t="shared" si="2"/>
        <v/>
      </c>
      <c r="M34" s="36"/>
      <c r="N34" s="37" t="str">
        <f t="shared" si="0"/>
        <v/>
      </c>
      <c r="P34" s="39" t="e">
        <f>+'8 Forecast Wholesale'!$P$120*N34</f>
        <v>#VALUE!</v>
      </c>
      <c r="R34" s="40" t="str">
        <f t="shared" si="1"/>
        <v/>
      </c>
    </row>
    <row r="35" spans="2:18" ht="25.5" hidden="1" customHeight="1" x14ac:dyDescent="0.2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VLOOKUP($B35, '[1]10. Adj Conn. to Current WS'!$B$25:$R$47, 17,0)</f>
        <v/>
      </c>
      <c r="G35" s="46"/>
      <c r="H35" s="32">
        <f>VLOOKUP('[1]9. Adj Network to Current WS'!$B35, '[1]4. RRR Data'!$B$27:$M$49,11,0)</f>
        <v>0</v>
      </c>
      <c r="I35" s="33"/>
      <c r="J35" s="32">
        <f>VLOOKUP('[1]9. Adj Network to Current WS'!$B35, '[1]4. RRR Data'!$B$27:$M$49,12,0)</f>
        <v>0</v>
      </c>
      <c r="K35" s="41"/>
      <c r="L35" s="35" t="str">
        <f t="shared" si="2"/>
        <v/>
      </c>
      <c r="M35" s="36"/>
      <c r="N35" s="37" t="str">
        <f t="shared" si="0"/>
        <v/>
      </c>
      <c r="P35" s="39" t="e">
        <f>+'8 Forecast Wholesale'!$P$120*N35</f>
        <v>#VALUE!</v>
      </c>
      <c r="R35" s="40" t="str">
        <f t="shared" si="1"/>
        <v/>
      </c>
    </row>
    <row r="36" spans="2:18" ht="25.5" hidden="1" customHeight="1" x14ac:dyDescent="0.2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VLOOKUP($B36, '[1]10. Adj Conn. to Current WS'!$B$25:$R$47, 17,0)</f>
        <v/>
      </c>
      <c r="G36" s="46"/>
      <c r="H36" s="32">
        <f>VLOOKUP('[1]9. Adj Network to Current WS'!$B36, '[1]4. RRR Data'!$B$27:$M$49,11,0)</f>
        <v>0</v>
      </c>
      <c r="I36" s="33"/>
      <c r="J36" s="32">
        <f>VLOOKUP('[1]9. Adj Network to Current WS'!$B36, '[1]4. RRR Data'!$B$27:$M$49,12,0)</f>
        <v>0</v>
      </c>
      <c r="K36" s="41"/>
      <c r="L36" s="35" t="str">
        <f t="shared" si="2"/>
        <v/>
      </c>
      <c r="M36" s="36"/>
      <c r="N36" s="37" t="str">
        <f t="shared" si="0"/>
        <v/>
      </c>
      <c r="P36" s="39" t="e">
        <f>+'8 Forecast Wholesale'!$P$120*N36</f>
        <v>#VALUE!</v>
      </c>
      <c r="R36" s="40" t="str">
        <f t="shared" si="1"/>
        <v/>
      </c>
    </row>
    <row r="37" spans="2:18" ht="25.5" hidden="1" customHeight="1" x14ac:dyDescent="0.2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VLOOKUP($B37, '[1]10. Adj Conn. to Current WS'!$B$25:$R$47, 17,0)</f>
        <v/>
      </c>
      <c r="G37" s="46"/>
      <c r="H37" s="32">
        <f>VLOOKUP('[1]9. Adj Network to Current WS'!$B37, '[1]4. RRR Data'!$B$27:$M$49,11,0)</f>
        <v>0</v>
      </c>
      <c r="I37" s="33"/>
      <c r="J37" s="32">
        <f>VLOOKUP('[1]9. Adj Network to Current WS'!$B37, '[1]4. RRR Data'!$B$27:$M$49,12,0)</f>
        <v>0</v>
      </c>
      <c r="K37" s="41"/>
      <c r="L37" s="35" t="str">
        <f t="shared" si="2"/>
        <v/>
      </c>
      <c r="M37" s="36"/>
      <c r="N37" s="37" t="str">
        <f t="shared" si="0"/>
        <v/>
      </c>
      <c r="P37" s="39" t="e">
        <f>+'8 Forecast Wholesale'!$P$120*N37</f>
        <v>#VALUE!</v>
      </c>
      <c r="R37" s="40" t="str">
        <f t="shared" si="1"/>
        <v/>
      </c>
    </row>
    <row r="38" spans="2:18" ht="25.5" hidden="1" customHeight="1" x14ac:dyDescent="0.2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VLOOKUP($B38, '[1]10. Adj Conn. to Current WS'!$B$25:$R$47, 17,0)</f>
        <v/>
      </c>
      <c r="G38" s="46"/>
      <c r="H38" s="32">
        <f>VLOOKUP('[1]9. Adj Network to Current WS'!$B38, '[1]4. RRR Data'!$B$27:$M$49,11,0)</f>
        <v>0</v>
      </c>
      <c r="I38" s="33"/>
      <c r="J38" s="32">
        <f>VLOOKUP('[1]9. Adj Network to Current WS'!$B38, '[1]4. RRR Data'!$B$27:$M$49,12,0)</f>
        <v>0</v>
      </c>
      <c r="K38" s="41"/>
      <c r="L38" s="35" t="str">
        <f t="shared" si="2"/>
        <v/>
      </c>
      <c r="M38" s="36"/>
      <c r="N38" s="37" t="str">
        <f t="shared" si="0"/>
        <v/>
      </c>
      <c r="P38" s="39" t="e">
        <f>+'8 Forecast Wholesale'!$P$120*N38</f>
        <v>#VALUE!</v>
      </c>
      <c r="R38" s="40" t="str">
        <f t="shared" si="1"/>
        <v/>
      </c>
    </row>
    <row r="39" spans="2:18" ht="25.5" hidden="1" customHeight="1" x14ac:dyDescent="0.2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VLOOKUP($B39, '[1]10. Adj Conn. to Current WS'!$B$25:$R$47, 17,0)</f>
        <v/>
      </c>
      <c r="G39" s="46"/>
      <c r="H39" s="32">
        <f>VLOOKUP('[1]9. Adj Network to Current WS'!$B39, '[1]4. RRR Data'!$B$27:$M$49,11,0)</f>
        <v>0</v>
      </c>
      <c r="I39" s="33"/>
      <c r="J39" s="32">
        <f>VLOOKUP('[1]9. Adj Network to Current WS'!$B39, '[1]4. RRR Data'!$B$27:$M$49,12,0)</f>
        <v>0</v>
      </c>
      <c r="K39" s="41"/>
      <c r="L39" s="35" t="str">
        <f t="shared" si="2"/>
        <v/>
      </c>
      <c r="M39" s="36"/>
      <c r="N39" s="37" t="str">
        <f t="shared" si="0"/>
        <v/>
      </c>
      <c r="P39" s="39" t="e">
        <f>+'8 Forecast Wholesale'!$P$120*N39</f>
        <v>#VALUE!</v>
      </c>
      <c r="R39" s="40" t="str">
        <f t="shared" si="1"/>
        <v/>
      </c>
    </row>
    <row r="40" spans="2:18" ht="25.5" hidden="1" customHeight="1" x14ac:dyDescent="0.2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VLOOKUP($B40, '[1]10. Adj Conn. to Current WS'!$B$25:$R$47, 17,0)</f>
        <v/>
      </c>
      <c r="G40" s="46"/>
      <c r="H40" s="32">
        <f>VLOOKUP('[1]9. Adj Network to Current WS'!$B40, '[1]4. RRR Data'!$B$27:$M$49,11,0)</f>
        <v>0</v>
      </c>
      <c r="I40" s="33"/>
      <c r="J40" s="32">
        <f>VLOOKUP('[1]9. Adj Network to Current WS'!$B40, '[1]4. RRR Data'!$B$27:$M$49,12,0)</f>
        <v>0</v>
      </c>
      <c r="K40" s="41"/>
      <c r="L40" s="35" t="str">
        <f t="shared" si="2"/>
        <v/>
      </c>
      <c r="M40" s="36"/>
      <c r="N40" s="37" t="str">
        <f t="shared" si="0"/>
        <v/>
      </c>
      <c r="P40" s="39" t="e">
        <f>+'8 Forecast Wholesale'!$P$120*N40</f>
        <v>#VALUE!</v>
      </c>
      <c r="R40" s="40" t="str">
        <f t="shared" si="1"/>
        <v/>
      </c>
    </row>
    <row r="41" spans="2:18" ht="25.5" hidden="1" customHeight="1" x14ac:dyDescent="0.2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VLOOKUP($B41, '[1]10. Adj Conn. to Current WS'!$B$25:$R$47, 17,0)</f>
        <v/>
      </c>
      <c r="G41" s="46"/>
      <c r="H41" s="32">
        <f>VLOOKUP('[1]9. Adj Network to Current WS'!$B41, '[1]4. RRR Data'!$B$27:$M$49,11,0)</f>
        <v>0</v>
      </c>
      <c r="I41" s="33"/>
      <c r="J41" s="32">
        <f>VLOOKUP('[1]9. Adj Network to Current WS'!$B41, '[1]4. RRR Data'!$B$27:$M$49,12,0)</f>
        <v>0</v>
      </c>
      <c r="K41" s="41"/>
      <c r="L41" s="35" t="str">
        <f t="shared" si="2"/>
        <v/>
      </c>
      <c r="M41" s="36"/>
      <c r="N41" s="37" t="str">
        <f t="shared" si="0"/>
        <v/>
      </c>
      <c r="P41" s="39" t="e">
        <f>+'8 Forecast Wholesale'!$P$120*N41</f>
        <v>#VALUE!</v>
      </c>
      <c r="R41" s="40" t="str">
        <f t="shared" si="1"/>
        <v/>
      </c>
    </row>
    <row r="42" spans="2:18" ht="25.5" hidden="1" customHeight="1" x14ac:dyDescent="0.2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VLOOKUP($B42, '[1]10. Adj Conn. to Current WS'!$B$25:$R$47, 17,0)</f>
        <v/>
      </c>
      <c r="G42" s="46"/>
      <c r="H42" s="32">
        <f>VLOOKUP('[1]9. Adj Network to Current WS'!$B42, '[1]4. RRR Data'!$B$27:$M$49,11,0)</f>
        <v>0</v>
      </c>
      <c r="I42" s="33"/>
      <c r="J42" s="32">
        <f>VLOOKUP('[1]9. Adj Network to Current WS'!$B42, '[1]4. RRR Data'!$B$27:$M$49,12,0)</f>
        <v>0</v>
      </c>
      <c r="K42" s="41"/>
      <c r="L42" s="35" t="str">
        <f t="shared" si="2"/>
        <v/>
      </c>
      <c r="M42" s="36"/>
      <c r="N42" s="37" t="str">
        <f t="shared" si="0"/>
        <v/>
      </c>
      <c r="P42" s="39" t="e">
        <f>+'8 Forecast Wholesale'!$P$120*N42</f>
        <v>#VALUE!</v>
      </c>
      <c r="R42" s="40" t="str">
        <f t="shared" si="1"/>
        <v/>
      </c>
    </row>
    <row r="43" spans="2:18" ht="25.5" hidden="1" customHeight="1" x14ac:dyDescent="0.2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VLOOKUP($B43, '[1]10. Adj Conn. to Current WS'!$B$25:$R$47, 17,0)</f>
        <v/>
      </c>
      <c r="G43" s="46"/>
      <c r="H43" s="32">
        <f>VLOOKUP('[1]9. Adj Network to Current WS'!$B43, '[1]4. RRR Data'!$B$27:$M$49,11,0)</f>
        <v>0</v>
      </c>
      <c r="I43" s="33"/>
      <c r="J43" s="32">
        <f>VLOOKUP('[1]9. Adj Network to Current WS'!$B43, '[1]4. RRR Data'!$B$27:$M$49,12,0)</f>
        <v>0</v>
      </c>
      <c r="K43" s="41"/>
      <c r="L43" s="35" t="str">
        <f t="shared" si="2"/>
        <v/>
      </c>
      <c r="M43" s="36"/>
      <c r="N43" s="37" t="str">
        <f t="shared" si="0"/>
        <v/>
      </c>
      <c r="P43" s="39" t="e">
        <f>+'8 Forecast Wholesale'!$P$120*N43</f>
        <v>#VALUE!</v>
      </c>
      <c r="R43" s="40" t="str">
        <f t="shared" si="1"/>
        <v/>
      </c>
    </row>
    <row r="44" spans="2:18" ht="25.5" hidden="1" customHeight="1" x14ac:dyDescent="0.2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VLOOKUP($B44, '[1]10. Adj Conn. to Current WS'!$B$25:$R$47, 17,0)</f>
        <v/>
      </c>
      <c r="G44" s="46"/>
      <c r="H44" s="32">
        <f>VLOOKUP('[1]9. Adj Network to Current WS'!$B44, '[1]4. RRR Data'!$B$27:$M$49,11,0)</f>
        <v>0</v>
      </c>
      <c r="I44" s="33"/>
      <c r="J44" s="32">
        <f>VLOOKUP('[1]9. Adj Network to Current WS'!$B44, '[1]4. RRR Data'!$B$27:$M$49,12,0)</f>
        <v>0</v>
      </c>
      <c r="K44" s="41"/>
      <c r="L44" s="35" t="str">
        <f t="shared" si="2"/>
        <v/>
      </c>
      <c r="M44" s="36"/>
      <c r="N44" s="37" t="str">
        <f t="shared" si="0"/>
        <v/>
      </c>
      <c r="P44" s="39" t="e">
        <f>+'8 Forecast Wholesale'!$P$120*N44</f>
        <v>#VALUE!</v>
      </c>
      <c r="R44" s="40" t="str">
        <f t="shared" si="1"/>
        <v/>
      </c>
    </row>
    <row r="45" spans="2:18" ht="25.5" hidden="1" customHeight="1" x14ac:dyDescent="0.2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VLOOKUP($B45, '[1]10. Adj Conn. to Current WS'!$B$25:$R$47, 17,0)</f>
        <v/>
      </c>
      <c r="G45" s="46"/>
      <c r="H45" s="32">
        <f>VLOOKUP('[1]9. Adj Network to Current WS'!$B45, '[1]4. RRR Data'!$B$27:$M$49,11,0)</f>
        <v>0</v>
      </c>
      <c r="I45" s="33"/>
      <c r="J45" s="32">
        <f>VLOOKUP('[1]9. Adj Network to Current WS'!$B45, '[1]4. RRR Data'!$B$27:$M$49,12,0)</f>
        <v>0</v>
      </c>
      <c r="K45" s="41"/>
      <c r="L45" s="35" t="str">
        <f t="shared" si="2"/>
        <v/>
      </c>
      <c r="M45" s="36"/>
      <c r="N45" s="37" t="str">
        <f t="shared" si="0"/>
        <v/>
      </c>
      <c r="P45" s="39" t="e">
        <f>+'8 Forecast Wholesale'!$P$120*N45</f>
        <v>#VALUE!</v>
      </c>
      <c r="R45" s="40" t="str">
        <f t="shared" si="1"/>
        <v/>
      </c>
    </row>
    <row r="46" spans="2:18" ht="25.5" hidden="1" customHeight="1" x14ac:dyDescent="0.2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VLOOKUP($B46, '[1]10. Adj Conn. to Current WS'!$B$25:$R$47, 17,0)</f>
        <v/>
      </c>
      <c r="G46" s="46"/>
      <c r="H46" s="32">
        <f>VLOOKUP('[1]9. Adj Network to Current WS'!$B46, '[1]4. RRR Data'!$B$27:$M$49,11,0)</f>
        <v>0</v>
      </c>
      <c r="I46" s="33"/>
      <c r="J46" s="32">
        <f>VLOOKUP('[1]9. Adj Network to Current WS'!$B46, '[1]4. RRR Data'!$B$27:$M$49,12,0)</f>
        <v>0</v>
      </c>
      <c r="K46" s="41"/>
      <c r="L46" s="35" t="str">
        <f t="shared" si="2"/>
        <v/>
      </c>
      <c r="M46" s="36"/>
      <c r="N46" s="37" t="str">
        <f t="shared" si="0"/>
        <v/>
      </c>
      <c r="P46" s="39" t="e">
        <f>+'8 Forecast Wholesale'!$P$120*N46</f>
        <v>#VALUE!</v>
      </c>
      <c r="R46" s="40" t="str">
        <f t="shared" si="1"/>
        <v/>
      </c>
    </row>
    <row r="47" spans="2:18" ht="13.5" hidden="1" thickBot="1" x14ac:dyDescent="0.25">
      <c r="F47" s="31"/>
      <c r="G47" s="47"/>
      <c r="H47" s="32"/>
      <c r="I47" s="33"/>
      <c r="J47" s="32"/>
      <c r="P47" s="39">
        <f>+'8 Forecast Wholesale'!$P$120*N47</f>
        <v>0</v>
      </c>
      <c r="R47" s="51"/>
    </row>
    <row r="48" spans="2:18" ht="13.5" thickBot="1" x14ac:dyDescent="0.25">
      <c r="F48" s="31"/>
      <c r="G48" s="47"/>
      <c r="H48" s="47"/>
      <c r="I48" s="47"/>
      <c r="J48" s="47"/>
      <c r="R48" s="51"/>
    </row>
    <row r="49" spans="6:18" ht="13.5" thickBot="1" x14ac:dyDescent="0.25">
      <c r="F49" s="31"/>
      <c r="G49" s="47"/>
      <c r="H49" s="47"/>
      <c r="I49" s="47"/>
      <c r="J49" s="47"/>
      <c r="L49" s="44">
        <f>SUM(L25:L46)</f>
        <v>3050054.3228962026</v>
      </c>
      <c r="R49" s="51"/>
    </row>
    <row r="50" spans="6:18" ht="13.5" thickBot="1" x14ac:dyDescent="0.25">
      <c r="F50" s="31"/>
      <c r="G50" s="47"/>
      <c r="H50" s="47"/>
      <c r="I50" s="47"/>
      <c r="J50" s="47"/>
      <c r="R50" s="51"/>
    </row>
    <row r="51" spans="6:18" ht="13.5" thickBot="1" x14ac:dyDescent="0.25">
      <c r="F51" s="31"/>
      <c r="G51" s="47"/>
      <c r="H51" s="47"/>
      <c r="I51" s="47"/>
      <c r="J51" s="47"/>
      <c r="R51" s="51"/>
    </row>
    <row r="52" spans="6:18" ht="13.5" thickBot="1" x14ac:dyDescent="0.25">
      <c r="F52" s="31"/>
      <c r="G52" s="47"/>
      <c r="H52" s="47"/>
      <c r="I52" s="47"/>
      <c r="J52" s="47"/>
      <c r="R52" s="51"/>
    </row>
    <row r="53" spans="6:18" ht="13.5" thickBot="1" x14ac:dyDescent="0.25">
      <c r="F53" s="48"/>
      <c r="R53" s="51"/>
    </row>
    <row r="54" spans="6:18" ht="13.5" thickBot="1" x14ac:dyDescent="0.25">
      <c r="F54" s="48"/>
    </row>
    <row r="55" spans="6:18" ht="13.5" thickBot="1" x14ac:dyDescent="0.25">
      <c r="F55" s="45"/>
    </row>
    <row r="56" spans="6:18" ht="13.5" thickBot="1" x14ac:dyDescent="0.25">
      <c r="F56" s="45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X59"/>
  <sheetViews>
    <sheetView showGridLines="0" tabSelected="1" topLeftCell="B26" workbookViewId="0">
      <selection activeCell="H50" sqref="H50"/>
    </sheetView>
  </sheetViews>
  <sheetFormatPr defaultRowHeight="12.75" x14ac:dyDescent="0.2"/>
  <cols>
    <col min="1" max="1" width="13.7109375" hidden="1" customWidth="1"/>
    <col min="2" max="2" width="32.28515625" customWidth="1"/>
    <col min="3" max="3" width="16" customWidth="1"/>
    <col min="5" max="5" width="3.42578125" customWidth="1"/>
    <col min="6" max="6" width="16.140625" customWidth="1"/>
    <col min="7" max="7" width="2.5703125" customWidth="1"/>
    <col min="8" max="8" width="16.140625" customWidth="1"/>
    <col min="9" max="9" width="2.5703125" customWidth="1"/>
    <col min="10" max="10" width="16.140625" customWidth="1"/>
    <col min="11" max="11" width="2.5703125" customWidth="1"/>
    <col min="12" max="12" width="14.5703125" customWidth="1"/>
    <col min="13" max="13" width="2.5703125" customWidth="1"/>
    <col min="14" max="14" width="11.5703125" customWidth="1"/>
    <col min="15" max="15" width="2.5703125" customWidth="1"/>
    <col min="16" max="16" width="14.28515625" customWidth="1"/>
    <col min="17" max="17" width="2.5703125" customWidth="1"/>
    <col min="18" max="18" width="11.42578125" customWidth="1"/>
  </cols>
  <sheetData>
    <row r="22" spans="2:24" ht="16.5" x14ac:dyDescent="0.3">
      <c r="B22" s="24"/>
      <c r="D22" s="25"/>
      <c r="E22" s="26"/>
      <c r="F22" s="27"/>
      <c r="G22" s="27"/>
      <c r="H22" s="26"/>
      <c r="I22" s="26"/>
      <c r="J22" s="52"/>
      <c r="K22" s="53"/>
      <c r="L22" s="52"/>
      <c r="M22" s="52"/>
      <c r="N22" s="52"/>
      <c r="O22" s="52"/>
      <c r="P22" s="52"/>
      <c r="Q22" s="52"/>
      <c r="R22" s="52"/>
      <c r="S22" s="52"/>
      <c r="T22" s="52"/>
    </row>
    <row r="23" spans="2:24" ht="16.5" x14ac:dyDescent="0.3">
      <c r="B23" s="24"/>
      <c r="D23" s="25"/>
      <c r="E23" s="26"/>
      <c r="F23" s="27"/>
      <c r="G23" s="27"/>
      <c r="H23" s="26"/>
      <c r="I23" s="26"/>
      <c r="J23" s="52"/>
      <c r="K23" s="53"/>
      <c r="L23" s="52"/>
      <c r="M23" s="52"/>
      <c r="N23" s="52"/>
      <c r="O23" s="52"/>
      <c r="P23" s="52"/>
      <c r="Q23" s="52"/>
      <c r="R23" s="52"/>
      <c r="S23" s="52"/>
      <c r="T23" s="52"/>
    </row>
    <row r="24" spans="2:24" x14ac:dyDescent="0.2"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4" hidden="1" x14ac:dyDescent="0.2"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4" ht="25.5" customHeight="1" thickBot="1" x14ac:dyDescent="0.25">
      <c r="B26" s="28" t="str">
        <f>IF('[1]3. Rate Classes'!Q24=1,'[1]3. Rate Classes'!C24, 0)</f>
        <v>Residential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+'11 Adj NW to Forecast WS'!R25</f>
        <v>7.5466894111367545E-3</v>
      </c>
      <c r="G26" s="46"/>
      <c r="H26" s="31">
        <f>+'12 Adj Conn to Forecast WS'!R25</f>
        <v>2.3124182140335857E-3</v>
      </c>
      <c r="I26" s="54"/>
      <c r="J26" s="55"/>
      <c r="K26" s="56"/>
      <c r="L26" s="57"/>
      <c r="M26" s="58"/>
      <c r="N26" s="59"/>
      <c r="O26" s="60"/>
      <c r="P26" s="57"/>
      <c r="Q26" s="52"/>
      <c r="R26" s="61"/>
      <c r="S26" s="52"/>
      <c r="T26" s="52"/>
    </row>
    <row r="27" spans="2:24" ht="25.5" customHeight="1" thickBot="1" x14ac:dyDescent="0.25">
      <c r="B27" s="28" t="str">
        <f>IF('[1]3. Rate Classes'!Q25=1,'[1]3. Rate Classes'!C25, 0)</f>
        <v>General Service Less Than 50 kW</v>
      </c>
      <c r="C27" s="29"/>
      <c r="D27" s="30" t="str">
        <f>IF(ISERROR(VLOOKUP($B27, '[1]3. Rate Classes'!$C$24:$H$45,6,0)), "", VLOOKUP($B27, '[1]3. Rate Classes'!$C$24:$H$45,6,0))</f>
        <v>kWh</v>
      </c>
      <c r="F27" s="31">
        <f>+'11 Adj NW to Forecast WS'!R26</f>
        <v>6.8423317327639902E-3</v>
      </c>
      <c r="G27" s="46"/>
      <c r="H27" s="31">
        <f>+'12 Adj Conn to Forecast WS'!R26</f>
        <v>2.1113383693350139E-3</v>
      </c>
      <c r="I27" s="54"/>
      <c r="J27" s="55"/>
      <c r="K27" s="56"/>
      <c r="L27" s="57"/>
      <c r="M27" s="58"/>
      <c r="N27" s="59"/>
      <c r="O27" s="52"/>
      <c r="P27" s="57"/>
      <c r="Q27" s="52"/>
      <c r="R27" s="61"/>
      <c r="S27" s="52"/>
      <c r="T27" s="52"/>
    </row>
    <row r="28" spans="2:24" ht="25.5" customHeight="1" thickBot="1" x14ac:dyDescent="0.25">
      <c r="B28" s="28" t="str">
        <f>IF('[1]3. Rate Classes'!Q26=1,'[1]3. Rate Classes'!C26, 0)</f>
        <v>General Service 50 to 999 kW</v>
      </c>
      <c r="C28" s="29"/>
      <c r="D28" s="30" t="str">
        <f>IF(ISERROR(VLOOKUP($B28, '[1]3. Rate Classes'!$C$24:$H$45,6,0)), "", VLOOKUP($B28, '[1]3. Rate Classes'!$C$24:$H$45,6,0))</f>
        <v>kW</v>
      </c>
      <c r="F28" s="31">
        <f>+'11 Adj NW to Forecast WS'!R27</f>
        <v>2.8042491626529364</v>
      </c>
      <c r="G28" s="46"/>
      <c r="H28" s="31">
        <f>+'12 Adj Conn to Forecast WS'!R27</f>
        <v>0.82121008574897103</v>
      </c>
      <c r="I28" s="54"/>
      <c r="J28" s="55"/>
      <c r="K28" s="56"/>
      <c r="L28" s="57"/>
      <c r="M28" s="58"/>
      <c r="N28" s="59"/>
      <c r="O28" s="52"/>
      <c r="P28" s="57"/>
      <c r="Q28" s="52"/>
      <c r="R28" s="61"/>
      <c r="S28" s="52"/>
      <c r="T28" s="52"/>
      <c r="U28" s="62"/>
      <c r="V28" s="62"/>
      <c r="W28" s="62"/>
      <c r="X28" s="62"/>
    </row>
    <row r="29" spans="2:24" ht="25.5" customHeight="1" thickBot="1" x14ac:dyDescent="0.25">
      <c r="B29" s="28" t="str">
        <f>IF('[1]3. Rate Classes'!Q27=1,'[1]3. Rate Classes'!C27, 0)</f>
        <v>General Service 50 to 999 kW - Interval Metered</v>
      </c>
      <c r="C29" s="29"/>
      <c r="D29" s="30" t="str">
        <f>IF(ISERROR(VLOOKUP($B29, '[1]3. Rate Classes'!$C$24:$H$45,6,0)), "", VLOOKUP($B29, '[1]3. Rate Classes'!$C$24:$H$45,6,0))</f>
        <v>kW</v>
      </c>
      <c r="F29" s="31">
        <f>+'11 Adj NW to Forecast WS'!R28</f>
        <v>2.9785273767874543</v>
      </c>
      <c r="G29" s="46"/>
      <c r="H29" s="31">
        <f>+'12 Adj Conn to Forecast WS'!R28</f>
        <v>1.0258088277297688</v>
      </c>
      <c r="I29" s="54"/>
      <c r="J29" s="55"/>
      <c r="K29" s="56"/>
      <c r="L29" s="57"/>
      <c r="M29" s="58"/>
      <c r="N29" s="59"/>
      <c r="O29" s="52"/>
      <c r="P29" s="57"/>
      <c r="Q29" s="52"/>
      <c r="R29" s="61"/>
      <c r="S29" s="52"/>
      <c r="T29" s="52"/>
      <c r="U29" s="62"/>
      <c r="V29" s="62"/>
      <c r="W29" s="62"/>
      <c r="X29" s="62"/>
    </row>
    <row r="30" spans="2:24" ht="25.5" customHeight="1" thickBot="1" x14ac:dyDescent="0.25">
      <c r="B30" s="28" t="str">
        <f>IF('[1]3. Rate Classes'!Q28=1,'[1]3. Rate Classes'!C28, 0)</f>
        <v>General Service 1,000 to 4,999 kW - Interval Meters</v>
      </c>
      <c r="C30" s="29"/>
      <c r="D30" s="30" t="str">
        <f>IF(ISERROR(VLOOKUP($B30, '[1]3. Rate Classes'!$C$24:$H$45,6,0)), "", VLOOKUP($B30, '[1]3. Rate Classes'!$C$24:$H$45,6,0))</f>
        <v>kW</v>
      </c>
      <c r="F30" s="31">
        <f>+'11 Adj NW to Forecast WS'!R29</f>
        <v>2.9747037208191447</v>
      </c>
      <c r="G30" s="46"/>
      <c r="H30" s="31">
        <f>+'12 Adj Conn to Forecast WS'!R29</f>
        <v>1.0246023486615772</v>
      </c>
      <c r="I30" s="54"/>
      <c r="J30" s="55"/>
      <c r="K30" s="56"/>
      <c r="L30" s="57"/>
      <c r="M30" s="58"/>
      <c r="N30" s="59"/>
      <c r="O30" s="52"/>
      <c r="P30" s="57"/>
      <c r="Q30" s="52"/>
      <c r="R30" s="61"/>
      <c r="S30" s="52"/>
      <c r="T30" s="52"/>
      <c r="U30" s="62"/>
      <c r="V30" s="62"/>
      <c r="W30" s="62"/>
      <c r="X30" s="62"/>
    </row>
    <row r="31" spans="2:24" ht="25.5" customHeight="1" thickBot="1" x14ac:dyDescent="0.25">
      <c r="B31" s="28" t="str">
        <f>IF('[1]3. Rate Classes'!Q29=1,'[1]3. Rate Classes'!C29, 0)</f>
        <v>Large Use</v>
      </c>
      <c r="C31" s="29"/>
      <c r="D31" s="30" t="str">
        <f>IF(ISERROR(VLOOKUP($B31, '[1]3. Rate Classes'!$C$24:$H$45,6,0)), "", VLOOKUP($B31, '[1]3. Rate Classes'!$C$24:$H$45,6,0))</f>
        <v>kW</v>
      </c>
      <c r="F31" s="31">
        <f>+'11 Adj NW to Forecast WS'!R30</f>
        <v>3.2978026501412803</v>
      </c>
      <c r="G31" s="46"/>
      <c r="H31" s="31">
        <f>+'12 Adj Conn to Forecast WS'!R30</f>
        <v>1.0293277250119937</v>
      </c>
      <c r="I31" s="54"/>
      <c r="J31" s="55"/>
      <c r="K31" s="56"/>
      <c r="L31" s="57"/>
      <c r="M31" s="58"/>
      <c r="N31" s="59"/>
      <c r="O31" s="52"/>
      <c r="P31" s="57"/>
      <c r="Q31" s="52"/>
      <c r="R31" s="61"/>
      <c r="S31" s="52"/>
      <c r="T31" s="52"/>
      <c r="U31" s="62"/>
      <c r="V31" s="62"/>
      <c r="W31" s="62"/>
      <c r="X31" s="62"/>
    </row>
    <row r="32" spans="2:24" ht="25.5" customHeight="1" thickBot="1" x14ac:dyDescent="0.25">
      <c r="B32" s="28" t="str">
        <f>IF('[1]3. Rate Classes'!Q30=1,'[1]3. Rate Classes'!C30, 0)</f>
        <v>Unmetered Scattered Load</v>
      </c>
      <c r="C32" s="29"/>
      <c r="D32" s="30" t="str">
        <f>IF(ISERROR(VLOOKUP($B32, '[1]3. Rate Classes'!$C$24:$H$45,6,0)), "", VLOOKUP($B32, '[1]3. Rate Classes'!$C$24:$H$45,6,0))</f>
        <v>kWh</v>
      </c>
      <c r="F32" s="31">
        <f>+'11 Adj NW to Forecast WS'!R31</f>
        <v>6.8423317327639902E-3</v>
      </c>
      <c r="G32" s="46"/>
      <c r="H32" s="31">
        <f>+'12 Adj Conn to Forecast WS'!R31</f>
        <v>2.111338369335013E-3</v>
      </c>
      <c r="I32" s="54"/>
      <c r="J32" s="55"/>
      <c r="K32" s="56"/>
      <c r="L32" s="57"/>
      <c r="M32" s="58"/>
      <c r="N32" s="59"/>
      <c r="O32" s="52"/>
      <c r="P32" s="57"/>
      <c r="Q32" s="52"/>
      <c r="R32" s="61"/>
      <c r="S32" s="52"/>
      <c r="T32" s="52"/>
      <c r="U32" s="62"/>
      <c r="V32" s="62"/>
      <c r="W32" s="62"/>
      <c r="X32" s="62"/>
    </row>
    <row r="33" spans="2:24" ht="25.5" customHeight="1" thickBot="1" x14ac:dyDescent="0.25">
      <c r="B33" s="28" t="str">
        <f>IF('[1]3. Rate Classes'!Q31=1,'[1]3. Rate Classes'!C31, 0)</f>
        <v>Street Lighting</v>
      </c>
      <c r="C33" s="29"/>
      <c r="D33" s="30" t="str">
        <f>IF(ISERROR(VLOOKUP($B33, '[1]3. Rate Classes'!$C$24:$H$45,6,0)), "", VLOOKUP($B33, '[1]3. Rate Classes'!$C$24:$H$45,6,0))</f>
        <v>kW</v>
      </c>
      <c r="F33" s="31">
        <f>+'11 Adj NW to Forecast WS'!R32</f>
        <v>2.1151861081534094</v>
      </c>
      <c r="G33" s="46"/>
      <c r="H33" s="31">
        <f>+'12 Adj Conn to Forecast WS'!R32</f>
        <v>0.63470852979104475</v>
      </c>
      <c r="I33" s="54"/>
      <c r="J33" s="55"/>
      <c r="K33" s="56"/>
      <c r="L33" s="57"/>
      <c r="M33" s="58"/>
      <c r="N33" s="59"/>
      <c r="O33" s="52"/>
      <c r="P33" s="57"/>
      <c r="Q33" s="52"/>
      <c r="R33" s="61"/>
      <c r="S33" s="52"/>
      <c r="T33" s="52"/>
      <c r="U33" s="62"/>
      <c r="V33" s="62"/>
      <c r="W33" s="62"/>
      <c r="X33" s="62"/>
    </row>
    <row r="34" spans="2:24" ht="25.5" customHeight="1" thickBot="1" x14ac:dyDescent="0.25">
      <c r="B34" s="28" t="str">
        <f>IF('[1]3. Rate Classes'!Q32=1,'[1]3. Rate Classes'!C32, 0)</f>
        <v>Embedded Distributor</v>
      </c>
      <c r="C34" s="29"/>
      <c r="D34" s="30" t="str">
        <f>IF(ISERROR(VLOOKUP($B34, '[1]3. Rate Classes'!$C$24:$H$45,6,0)), "", VLOOKUP($B34, '[1]3. Rate Classes'!$C$24:$H$45,6,0))</f>
        <v>kW</v>
      </c>
      <c r="F34" s="31">
        <f>+'11 Adj NW to Forecast WS'!R33</f>
        <v>0</v>
      </c>
      <c r="G34" s="46"/>
      <c r="H34" s="31">
        <f>+'12 Adj Conn to Forecast WS'!R33</f>
        <v>0</v>
      </c>
      <c r="I34" s="54"/>
      <c r="J34" s="55"/>
      <c r="K34" s="56"/>
      <c r="L34" s="57"/>
      <c r="M34" s="58"/>
      <c r="N34" s="59"/>
      <c r="O34" s="52"/>
      <c r="P34" s="57"/>
      <c r="Q34" s="52"/>
      <c r="R34" s="61"/>
      <c r="S34" s="52"/>
      <c r="T34" s="52"/>
      <c r="U34" s="62"/>
      <c r="V34" s="62"/>
      <c r="W34" s="62"/>
      <c r="X34" s="62"/>
    </row>
    <row r="35" spans="2:24" ht="25.5" hidden="1" customHeight="1" x14ac:dyDescent="0.2">
      <c r="B35" s="28">
        <f>IF('[1]3. Rate Classes'!Q33=1,'[1]3. Rate Classes'!C33,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VLOOKUP($B35, '[1]11. Adj Network to Forecast WS'!$B$25:$R$48,17,0)</f>
        <v/>
      </c>
      <c r="G35" s="46"/>
      <c r="H35" s="31" t="str">
        <f>VLOOKUP($B35, '[1]12. Adj Conn. to Forecast WS'!$B$25:$R$48,17,0)</f>
        <v/>
      </c>
      <c r="I35" s="54"/>
      <c r="J35" s="55"/>
      <c r="K35" s="56"/>
      <c r="L35" s="57"/>
      <c r="M35" s="58"/>
      <c r="N35" s="59"/>
      <c r="O35" s="52"/>
      <c r="P35" s="57"/>
      <c r="Q35" s="52"/>
      <c r="R35" s="61"/>
      <c r="S35" s="52"/>
      <c r="T35" s="52"/>
      <c r="U35" s="62"/>
      <c r="V35" s="62"/>
      <c r="W35" s="62"/>
      <c r="X35" s="62"/>
    </row>
    <row r="36" spans="2:24" ht="25.5" hidden="1" customHeight="1" x14ac:dyDescent="0.2">
      <c r="B36" s="28">
        <f>IF('[1]3. Rate Classes'!Q34=1,'[1]3. Rate Classes'!C34,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VLOOKUP($B36, '[1]11. Adj Network to Forecast WS'!$B$25:$R$48,17,0)</f>
        <v/>
      </c>
      <c r="G36" s="46"/>
      <c r="H36" s="31" t="str">
        <f>VLOOKUP($B36, '[1]12. Adj Conn. to Forecast WS'!$B$25:$R$48,17,0)</f>
        <v/>
      </c>
      <c r="I36" s="54"/>
      <c r="J36" s="55"/>
      <c r="K36" s="56"/>
      <c r="L36" s="57"/>
      <c r="M36" s="58"/>
      <c r="N36" s="59"/>
      <c r="O36" s="52"/>
      <c r="P36" s="57"/>
      <c r="Q36" s="52"/>
      <c r="R36" s="61"/>
      <c r="S36" s="52"/>
      <c r="T36" s="52"/>
      <c r="U36" s="62"/>
      <c r="V36" s="62"/>
      <c r="W36" s="62"/>
      <c r="X36" s="62"/>
    </row>
    <row r="37" spans="2:24" ht="25.5" hidden="1" customHeight="1" x14ac:dyDescent="0.2">
      <c r="B37" s="28">
        <f>IF('[1]3. Rate Classes'!Q35=1,'[1]3. Rate Classes'!C35,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VLOOKUP($B37, '[1]11. Adj Network to Forecast WS'!$B$25:$R$48,17,0)</f>
        <v/>
      </c>
      <c r="G37" s="46"/>
      <c r="H37" s="31" t="str">
        <f>VLOOKUP($B37, '[1]12. Adj Conn. to Forecast WS'!$B$25:$R$48,17,0)</f>
        <v/>
      </c>
      <c r="I37" s="54"/>
      <c r="J37" s="55"/>
      <c r="K37" s="56"/>
      <c r="L37" s="57"/>
      <c r="M37" s="58"/>
      <c r="N37" s="59"/>
      <c r="O37" s="52"/>
      <c r="P37" s="57"/>
      <c r="Q37" s="52"/>
      <c r="R37" s="61"/>
      <c r="S37" s="52"/>
      <c r="T37" s="52"/>
      <c r="U37" s="62"/>
      <c r="V37" s="62"/>
      <c r="W37" s="62"/>
      <c r="X37" s="62"/>
    </row>
    <row r="38" spans="2:24" ht="25.5" hidden="1" customHeight="1" x14ac:dyDescent="0.2">
      <c r="B38" s="28">
        <f>IF('[1]3. Rate Classes'!Q36=1,'[1]3. Rate Classes'!C36,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VLOOKUP($B38, '[1]11. Adj Network to Forecast WS'!$B$25:$R$48,17,0)</f>
        <v/>
      </c>
      <c r="G38" s="46"/>
      <c r="H38" s="31" t="str">
        <f>VLOOKUP($B38, '[1]12. Adj Conn. to Forecast WS'!$B$25:$R$48,17,0)</f>
        <v/>
      </c>
      <c r="I38" s="54"/>
      <c r="J38" s="55"/>
      <c r="K38" s="56"/>
      <c r="L38" s="57"/>
      <c r="M38" s="58"/>
      <c r="N38" s="59"/>
      <c r="O38" s="52"/>
      <c r="P38" s="57"/>
      <c r="Q38" s="52"/>
      <c r="R38" s="61"/>
      <c r="S38" s="52"/>
      <c r="T38" s="52"/>
      <c r="U38" s="62"/>
      <c r="V38" s="62"/>
      <c r="W38" s="62"/>
      <c r="X38" s="62"/>
    </row>
    <row r="39" spans="2:24" ht="25.5" hidden="1" customHeight="1" x14ac:dyDescent="0.2">
      <c r="B39" s="28">
        <f>IF('[1]3. Rate Classes'!Q37=1,'[1]3. Rate Classes'!C37,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VLOOKUP($B39, '[1]11. Adj Network to Forecast WS'!$B$25:$R$48,17,0)</f>
        <v/>
      </c>
      <c r="G39" s="46"/>
      <c r="H39" s="31" t="str">
        <f>VLOOKUP($B39, '[1]12. Adj Conn. to Forecast WS'!$B$25:$R$48,17,0)</f>
        <v/>
      </c>
      <c r="I39" s="54"/>
      <c r="J39" s="55"/>
      <c r="K39" s="56"/>
      <c r="L39" s="57"/>
      <c r="M39" s="58"/>
      <c r="N39" s="59"/>
      <c r="O39" s="52"/>
      <c r="P39" s="57"/>
      <c r="Q39" s="52"/>
      <c r="R39" s="61"/>
      <c r="S39" s="52"/>
      <c r="T39" s="52"/>
      <c r="U39" s="62"/>
      <c r="V39" s="62"/>
      <c r="W39" s="62"/>
      <c r="X39" s="62"/>
    </row>
    <row r="40" spans="2:24" ht="25.5" hidden="1" customHeight="1" x14ac:dyDescent="0.2">
      <c r="B40" s="28">
        <f>IF('[1]3. Rate Classes'!Q38=1,'[1]3. Rate Classes'!C38,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VLOOKUP($B40, '[1]11. Adj Network to Forecast WS'!$B$25:$R$48,17,0)</f>
        <v/>
      </c>
      <c r="G40" s="46"/>
      <c r="H40" s="31" t="str">
        <f>VLOOKUP($B40, '[1]12. Adj Conn. to Forecast WS'!$B$25:$R$48,17,0)</f>
        <v/>
      </c>
      <c r="I40" s="54"/>
      <c r="J40" s="55"/>
      <c r="K40" s="56"/>
      <c r="L40" s="57"/>
      <c r="M40" s="58"/>
      <c r="N40" s="59"/>
      <c r="O40" s="52"/>
      <c r="P40" s="57"/>
      <c r="Q40" s="52"/>
      <c r="R40" s="61"/>
      <c r="S40" s="52"/>
      <c r="T40" s="52"/>
      <c r="U40" s="62"/>
      <c r="V40" s="62"/>
      <c r="W40" s="62"/>
      <c r="X40" s="62"/>
    </row>
    <row r="41" spans="2:24" ht="25.5" hidden="1" customHeight="1" x14ac:dyDescent="0.2">
      <c r="B41" s="28">
        <f>IF('[1]3. Rate Classes'!Q39=1,'[1]3. Rate Classes'!C39,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VLOOKUP($B41, '[1]11. Adj Network to Forecast WS'!$B$25:$R$48,17,0)</f>
        <v/>
      </c>
      <c r="G41" s="46"/>
      <c r="H41" s="31" t="str">
        <f>VLOOKUP($B41, '[1]12. Adj Conn. to Forecast WS'!$B$25:$R$48,17,0)</f>
        <v/>
      </c>
      <c r="I41" s="54"/>
      <c r="J41" s="55"/>
      <c r="K41" s="56"/>
      <c r="L41" s="57"/>
      <c r="M41" s="58"/>
      <c r="N41" s="59"/>
      <c r="O41" s="52"/>
      <c r="P41" s="57"/>
      <c r="Q41" s="52"/>
      <c r="R41" s="61"/>
      <c r="S41" s="52"/>
      <c r="T41" s="52"/>
      <c r="U41" s="62"/>
      <c r="V41" s="62"/>
      <c r="W41" s="62"/>
      <c r="X41" s="62"/>
    </row>
    <row r="42" spans="2:24" ht="25.5" hidden="1" customHeight="1" x14ac:dyDescent="0.2">
      <c r="B42" s="28">
        <f>IF('[1]3. Rate Classes'!Q40=1,'[1]3. Rate Classes'!C40,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VLOOKUP($B42, '[1]11. Adj Network to Forecast WS'!$B$25:$R$48,17,0)</f>
        <v/>
      </c>
      <c r="G42" s="46"/>
      <c r="H42" s="31" t="str">
        <f>VLOOKUP($B42, '[1]12. Adj Conn. to Forecast WS'!$B$25:$R$48,17,0)</f>
        <v/>
      </c>
      <c r="I42" s="54"/>
      <c r="J42" s="55"/>
      <c r="K42" s="56"/>
      <c r="L42" s="57"/>
      <c r="M42" s="58"/>
      <c r="N42" s="59"/>
      <c r="O42" s="52"/>
      <c r="P42" s="57"/>
      <c r="Q42" s="52"/>
      <c r="R42" s="61"/>
      <c r="S42" s="52"/>
      <c r="T42" s="52"/>
      <c r="U42" s="62"/>
      <c r="V42" s="62"/>
      <c r="W42" s="62"/>
      <c r="X42" s="62"/>
    </row>
    <row r="43" spans="2:24" ht="25.5" hidden="1" customHeight="1" x14ac:dyDescent="0.2">
      <c r="B43" s="28">
        <f>IF('[1]3. Rate Classes'!Q41=1,'[1]3. Rate Classes'!C41,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VLOOKUP($B43, '[1]11. Adj Network to Forecast WS'!$B$25:$R$48,17,0)</f>
        <v/>
      </c>
      <c r="G43" s="46"/>
      <c r="H43" s="31" t="str">
        <f>VLOOKUP($B43, '[1]12. Adj Conn. to Forecast WS'!$B$25:$R$48,17,0)</f>
        <v/>
      </c>
      <c r="I43" s="54"/>
      <c r="J43" s="55"/>
      <c r="K43" s="56"/>
      <c r="L43" s="57"/>
      <c r="M43" s="58"/>
      <c r="N43" s="59"/>
      <c r="O43" s="52"/>
      <c r="P43" s="57"/>
      <c r="Q43" s="52"/>
      <c r="R43" s="61"/>
      <c r="S43" s="52"/>
      <c r="T43" s="52"/>
      <c r="U43" s="62"/>
      <c r="V43" s="62"/>
      <c r="W43" s="62"/>
      <c r="X43" s="62"/>
    </row>
    <row r="44" spans="2:24" ht="25.5" hidden="1" customHeight="1" x14ac:dyDescent="0.2">
      <c r="B44" s="28">
        <f>IF('[1]3. Rate Classes'!Q42=1,'[1]3. Rate Classes'!C42,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VLOOKUP($B44, '[1]11. Adj Network to Forecast WS'!$B$25:$R$48,17,0)</f>
        <v/>
      </c>
      <c r="G44" s="46"/>
      <c r="H44" s="31" t="str">
        <f>VLOOKUP($B44, '[1]12. Adj Conn. to Forecast WS'!$B$25:$R$48,17,0)</f>
        <v/>
      </c>
      <c r="I44" s="54"/>
      <c r="J44" s="55"/>
      <c r="K44" s="56"/>
      <c r="L44" s="57"/>
      <c r="M44" s="58"/>
      <c r="N44" s="59"/>
      <c r="O44" s="52"/>
      <c r="P44" s="57"/>
      <c r="Q44" s="52"/>
      <c r="R44" s="61"/>
      <c r="S44" s="52"/>
      <c r="T44" s="52"/>
      <c r="U44" s="62"/>
      <c r="V44" s="62"/>
      <c r="W44" s="62"/>
      <c r="X44" s="62"/>
    </row>
    <row r="45" spans="2:24" ht="25.5" hidden="1" customHeight="1" x14ac:dyDescent="0.2">
      <c r="B45" s="28">
        <f>IF('[1]3. Rate Classes'!Q43=1,'[1]3. Rate Classes'!C43,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VLOOKUP($B45, '[1]11. Adj Network to Forecast WS'!$B$25:$R$48,17,0)</f>
        <v/>
      </c>
      <c r="G45" s="46"/>
      <c r="H45" s="31" t="str">
        <f>VLOOKUP($B45, '[1]12. Adj Conn. to Forecast WS'!$B$25:$R$48,17,0)</f>
        <v/>
      </c>
      <c r="I45" s="54"/>
      <c r="J45" s="55"/>
      <c r="K45" s="56"/>
      <c r="L45" s="57"/>
      <c r="M45" s="58"/>
      <c r="N45" s="59"/>
      <c r="O45" s="52"/>
      <c r="P45" s="57"/>
      <c r="Q45" s="52"/>
      <c r="R45" s="61"/>
      <c r="S45" s="52"/>
      <c r="T45" s="52"/>
      <c r="U45" s="62"/>
      <c r="V45" s="62"/>
      <c r="W45" s="62"/>
      <c r="X45" s="62"/>
    </row>
    <row r="46" spans="2:24" ht="25.5" hidden="1" customHeight="1" x14ac:dyDescent="0.2">
      <c r="B46" s="28">
        <f>IF('[1]3. Rate Classes'!Q44=1,'[1]3. Rate Classes'!C44,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VLOOKUP($B46, '[1]11. Adj Network to Forecast WS'!$B$25:$R$48,17,0)</f>
        <v/>
      </c>
      <c r="G46" s="46"/>
      <c r="H46" s="31" t="str">
        <f>VLOOKUP($B46, '[1]12. Adj Conn. to Forecast WS'!$B$25:$R$48,17,0)</f>
        <v/>
      </c>
      <c r="I46" s="54"/>
      <c r="J46" s="55"/>
      <c r="K46" s="56"/>
      <c r="L46" s="57"/>
      <c r="M46" s="58"/>
      <c r="N46" s="59"/>
      <c r="O46" s="52"/>
      <c r="P46" s="57"/>
      <c r="Q46" s="52"/>
      <c r="R46" s="61"/>
      <c r="S46" s="52"/>
      <c r="T46" s="52"/>
      <c r="U46" s="62"/>
      <c r="V46" s="62"/>
      <c r="W46" s="62"/>
      <c r="X46" s="62"/>
    </row>
    <row r="47" spans="2:24" ht="25.5" hidden="1" customHeight="1" x14ac:dyDescent="0.2">
      <c r="B47" s="28">
        <f>IF('[1]3. Rate Classes'!Q45=1,'[1]3. Rate Classes'!C45, 0)</f>
        <v>0</v>
      </c>
      <c r="C47" s="29"/>
      <c r="D47" s="30" t="str">
        <f>IF(ISERROR(VLOOKUP($B47, '[1]3. Rate Classes'!$C$24:$H$45,6,0)), "", VLOOKUP($B47, '[1]3. Rate Classes'!$C$24:$H$45,6,0))</f>
        <v/>
      </c>
      <c r="F47" s="31" t="str">
        <f>VLOOKUP($B47, '[1]11. Adj Network to Forecast WS'!$B$25:$R$48,17,0)</f>
        <v/>
      </c>
      <c r="G47" s="46"/>
      <c r="H47" s="31" t="str">
        <f>VLOOKUP($B47, '[1]12. Adj Conn. to Forecast WS'!$B$25:$R$48,17,0)</f>
        <v/>
      </c>
      <c r="I47" s="54"/>
      <c r="J47" s="55"/>
      <c r="K47" s="56"/>
      <c r="L47" s="57"/>
      <c r="M47" s="58"/>
      <c r="N47" s="59"/>
      <c r="O47" s="52"/>
      <c r="P47" s="57"/>
      <c r="Q47" s="52"/>
      <c r="R47" s="61"/>
      <c r="S47" s="52"/>
      <c r="T47" s="52"/>
      <c r="U47" s="62"/>
      <c r="V47" s="62"/>
      <c r="W47" s="62"/>
      <c r="X47" s="62"/>
    </row>
    <row r="48" spans="2:24" ht="13.5" thickBot="1" x14ac:dyDescent="0.25">
      <c r="F48" s="31"/>
      <c r="G48" s="47"/>
      <c r="H48" s="62"/>
      <c r="I48" s="62"/>
      <c r="J48" s="52"/>
      <c r="K48" s="52"/>
      <c r="L48" s="52"/>
      <c r="M48" s="52"/>
      <c r="N48" s="52"/>
      <c r="O48" s="52"/>
      <c r="P48" s="52"/>
      <c r="Q48" s="52"/>
      <c r="R48" s="61"/>
      <c r="S48" s="52"/>
      <c r="T48" s="52"/>
      <c r="U48" s="62"/>
      <c r="V48" s="62"/>
      <c r="W48" s="62"/>
      <c r="X48" s="62"/>
    </row>
    <row r="49" spans="6:24" ht="13.5" thickBot="1" x14ac:dyDescent="0.25">
      <c r="F49" s="31"/>
      <c r="G49" s="47"/>
      <c r="H49" s="62"/>
      <c r="I49" s="62"/>
      <c r="J49" s="52"/>
      <c r="K49" s="52"/>
      <c r="L49" s="52"/>
      <c r="M49" s="52"/>
      <c r="N49" s="52"/>
      <c r="O49" s="52"/>
      <c r="P49" s="52"/>
      <c r="Q49" s="52"/>
      <c r="R49" s="61"/>
      <c r="S49" s="52"/>
      <c r="T49" s="52"/>
      <c r="U49" s="62"/>
      <c r="V49" s="62"/>
      <c r="W49" s="62"/>
      <c r="X49" s="62"/>
    </row>
    <row r="50" spans="6:24" ht="13.5" thickBot="1" x14ac:dyDescent="0.25">
      <c r="F50" s="31"/>
      <c r="G50" s="47"/>
      <c r="H50" s="62"/>
      <c r="I50" s="62"/>
      <c r="J50" s="52"/>
      <c r="K50" s="52"/>
      <c r="L50" s="57"/>
      <c r="M50" s="52"/>
      <c r="N50" s="52"/>
      <c r="O50" s="52"/>
      <c r="P50" s="52"/>
      <c r="Q50" s="52"/>
      <c r="R50" s="61"/>
      <c r="S50" s="52"/>
      <c r="T50" s="52"/>
      <c r="U50" s="62"/>
      <c r="V50" s="62"/>
      <c r="W50" s="62"/>
      <c r="X50" s="62"/>
    </row>
    <row r="51" spans="6:24" ht="13.5" thickBot="1" x14ac:dyDescent="0.25">
      <c r="F51" s="31"/>
      <c r="G51" s="47"/>
      <c r="H51" s="62"/>
      <c r="I51" s="62"/>
      <c r="J51" s="52"/>
      <c r="K51" s="52"/>
      <c r="L51" s="52"/>
      <c r="M51" s="52"/>
      <c r="N51" s="52"/>
      <c r="O51" s="52"/>
      <c r="P51" s="52"/>
      <c r="Q51" s="52"/>
      <c r="R51" s="61"/>
      <c r="S51" s="52"/>
      <c r="T51" s="52"/>
      <c r="U51" s="62"/>
      <c r="V51" s="62"/>
      <c r="W51" s="62"/>
      <c r="X51" s="62"/>
    </row>
    <row r="52" spans="6:24" ht="13.5" thickBot="1" x14ac:dyDescent="0.25">
      <c r="F52" s="31"/>
      <c r="G52" s="47"/>
      <c r="H52" s="62"/>
      <c r="I52" s="62"/>
      <c r="J52" s="52"/>
      <c r="K52" s="52"/>
      <c r="L52" s="52"/>
      <c r="M52" s="52"/>
      <c r="N52" s="52"/>
      <c r="O52" s="52"/>
      <c r="P52" s="52"/>
      <c r="Q52" s="52"/>
      <c r="R52" s="61"/>
      <c r="S52" s="52"/>
      <c r="T52" s="52"/>
      <c r="U52" s="62"/>
      <c r="V52" s="62"/>
      <c r="W52" s="62"/>
      <c r="X52" s="62"/>
    </row>
    <row r="53" spans="6:24" ht="13.5" thickBot="1" x14ac:dyDescent="0.25">
      <c r="F53" s="31"/>
      <c r="G53" s="47"/>
      <c r="H53" s="62"/>
      <c r="I53" s="62"/>
      <c r="J53" s="52"/>
      <c r="K53" s="52"/>
      <c r="L53" s="52"/>
      <c r="M53" s="52"/>
      <c r="N53" s="52"/>
      <c r="O53" s="52"/>
      <c r="P53" s="52"/>
      <c r="Q53" s="52"/>
      <c r="R53" s="61"/>
      <c r="S53" s="52"/>
      <c r="T53" s="52"/>
      <c r="U53" s="62"/>
      <c r="V53" s="62"/>
      <c r="W53" s="62"/>
      <c r="X53" s="62"/>
    </row>
    <row r="54" spans="6:24" ht="13.5" thickBot="1" x14ac:dyDescent="0.25">
      <c r="F54" s="48"/>
      <c r="H54" s="62"/>
      <c r="I54" s="62"/>
      <c r="J54" s="52"/>
      <c r="K54" s="52"/>
      <c r="L54" s="52"/>
      <c r="M54" s="52"/>
      <c r="N54" s="52"/>
      <c r="O54" s="52"/>
      <c r="P54" s="52"/>
      <c r="Q54" s="52"/>
      <c r="R54" s="61"/>
      <c r="S54" s="52"/>
      <c r="T54" s="52"/>
      <c r="U54" s="62"/>
      <c r="V54" s="62"/>
      <c r="W54" s="62"/>
      <c r="X54" s="62"/>
    </row>
    <row r="55" spans="6:24" ht="13.5" thickBot="1" x14ac:dyDescent="0.25">
      <c r="F55" s="48"/>
      <c r="H55" s="62"/>
      <c r="I55" s="6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62"/>
      <c r="V55" s="62"/>
      <c r="W55" s="62"/>
      <c r="X55" s="62"/>
    </row>
    <row r="56" spans="6:24" ht="13.5" thickBot="1" x14ac:dyDescent="0.25">
      <c r="F56" s="45"/>
      <c r="H56" s="62"/>
      <c r="I56" s="6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62"/>
      <c r="V56" s="62"/>
      <c r="W56" s="62"/>
      <c r="X56" s="62"/>
    </row>
    <row r="57" spans="6:24" ht="13.5" thickBot="1" x14ac:dyDescent="0.25">
      <c r="F57" s="45"/>
      <c r="H57" s="62"/>
      <c r="I57" s="6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62"/>
      <c r="V57" s="62"/>
      <c r="W57" s="62"/>
      <c r="X57" s="62"/>
    </row>
    <row r="58" spans="6:24" x14ac:dyDescent="0.2">
      <c r="H58" s="62"/>
      <c r="I58" s="6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62"/>
      <c r="V58" s="62"/>
      <c r="W58" s="62"/>
      <c r="X58" s="62"/>
    </row>
    <row r="59" spans="6:24" x14ac:dyDescent="0.2">
      <c r="H59" s="62"/>
      <c r="I59" s="6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62"/>
      <c r="V59" s="62"/>
      <c r="W59" s="62"/>
      <c r="X59" s="62"/>
    </row>
  </sheetData>
  <phoneticPr fontId="11" type="noConversion"/>
  <pageMargins left="0.75" right="0.75" top="1" bottom="1" header="0.5" footer="0.5"/>
  <pageSetup scale="3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topLeftCell="B1" workbookViewId="0">
      <selection activeCell="H50" sqref="H50"/>
    </sheetView>
  </sheetViews>
  <sheetFormatPr defaultRowHeight="12.75" x14ac:dyDescent="0.2"/>
  <sheetData/>
  <phoneticPr fontId="11" type="noConversion"/>
  <pageMargins left="0.75" right="0.75" top="1" bottom="1" header="0.5" footer="0.5"/>
  <pageSetup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7:AB111"/>
  <sheetViews>
    <sheetView showGridLines="0" tabSelected="1" topLeftCell="B7" workbookViewId="0">
      <selection activeCell="H50" sqref="H50"/>
    </sheetView>
  </sheetViews>
  <sheetFormatPr defaultRowHeight="12.75" x14ac:dyDescent="0.2"/>
  <cols>
    <col min="1" max="1" width="0" hidden="1" customWidth="1"/>
    <col min="4" max="4" width="39.7109375" customWidth="1"/>
    <col min="9" max="9" width="9.42578125" customWidth="1"/>
    <col min="13" max="13" width="9.28515625" customWidth="1"/>
    <col min="16" max="21" width="0" hidden="1" customWidth="1"/>
    <col min="26" max="27" width="0" hidden="1" customWidth="1"/>
    <col min="28" max="28" width="91.42578125" hidden="1" customWidth="1"/>
    <col min="29" max="48" width="0" hidden="1" customWidth="1"/>
  </cols>
  <sheetData>
    <row r="17" spans="3:28" x14ac:dyDescent="0.2">
      <c r="E17" s="26"/>
    </row>
    <row r="18" spans="3:28" x14ac:dyDescent="0.2">
      <c r="E18" s="26"/>
    </row>
    <row r="20" spans="3:28" x14ac:dyDescent="0.2">
      <c r="C20" s="125" t="s">
        <v>30</v>
      </c>
      <c r="D20" s="125"/>
      <c r="E20" s="125"/>
      <c r="F20" s="125"/>
      <c r="G20" s="86"/>
      <c r="H20" s="87" t="s">
        <v>31</v>
      </c>
      <c r="I20" s="88"/>
      <c r="J20" s="89"/>
      <c r="K20" s="89">
        <v>7.4999999999999997E-3</v>
      </c>
      <c r="L20" s="90"/>
      <c r="M20" s="104"/>
      <c r="N20" s="104">
        <v>2.3E-3</v>
      </c>
      <c r="Q20">
        <f t="shared" ref="Q20:Q41" si="0">IF(OR(ISBLANK(C20), ISERROR(FIND("Choose", C20))=FALSE), 0, 1)</f>
        <v>1</v>
      </c>
      <c r="R20" t="str">
        <f t="shared" ref="R20:R41" si="1">"C" &amp; ROW(C20)</f>
        <v>C20</v>
      </c>
      <c r="S20" t="str">
        <f>IF(OR(C20="General Service Intermediate Rate Class 1,000 To 4,999 kW (formerly General Service &gt; 50 kW Customers)", C20="General Service Intermediate Rate Class 1,000 To 4,999 kW (formerly Large Use Customers)"), "x", "")</f>
        <v/>
      </c>
      <c r="AB20" t="s">
        <v>32</v>
      </c>
    </row>
    <row r="21" spans="3:28" x14ac:dyDescent="0.2">
      <c r="C21" s="125" t="s">
        <v>33</v>
      </c>
      <c r="D21" s="125"/>
      <c r="E21" s="125"/>
      <c r="F21" s="125"/>
      <c r="G21" s="86"/>
      <c r="H21" s="87" t="s">
        <v>31</v>
      </c>
      <c r="I21" s="91"/>
      <c r="J21" s="89"/>
      <c r="K21" s="89">
        <v>6.7999999999999996E-3</v>
      </c>
      <c r="L21" s="29"/>
      <c r="M21" s="104"/>
      <c r="N21" s="104">
        <v>2.0999999999999999E-3</v>
      </c>
      <c r="Q21">
        <f t="shared" si="0"/>
        <v>1</v>
      </c>
      <c r="R21" t="str">
        <f t="shared" si="1"/>
        <v>C21</v>
      </c>
      <c r="S21" t="str">
        <f t="shared" ref="S21:S41" si="2">IF(OR(C21="General Service Intermediate Rate Class 1,000 To 4,999 kW (formerly General Service &gt; 50 kW Customers)", C21="General Service Intermediate Rate Class 1,000 To 4,999 kW (formerly Large Use Customers)"), "x", "")</f>
        <v/>
      </c>
      <c r="AB21" t="s">
        <v>30</v>
      </c>
    </row>
    <row r="22" spans="3:28" x14ac:dyDescent="0.2">
      <c r="C22" s="125" t="s">
        <v>34</v>
      </c>
      <c r="D22" s="125"/>
      <c r="E22" s="125"/>
      <c r="F22" s="125"/>
      <c r="G22" s="86"/>
      <c r="H22" s="87" t="s">
        <v>21</v>
      </c>
      <c r="I22" s="91"/>
      <c r="J22" s="89"/>
      <c r="K22" s="89">
        <v>2.7869000000000002</v>
      </c>
      <c r="L22" s="29"/>
      <c r="M22" s="104"/>
      <c r="N22" s="104">
        <v>0.81679999999999997</v>
      </c>
      <c r="Q22">
        <f t="shared" si="0"/>
        <v>1</v>
      </c>
      <c r="R22" t="str">
        <f t="shared" si="1"/>
        <v>C22</v>
      </c>
      <c r="S22" t="str">
        <f t="shared" si="2"/>
        <v/>
      </c>
      <c r="AB22" t="s">
        <v>35</v>
      </c>
    </row>
    <row r="23" spans="3:28" x14ac:dyDescent="0.2">
      <c r="C23" s="125" t="s">
        <v>36</v>
      </c>
      <c r="D23" s="125"/>
      <c r="E23" s="125"/>
      <c r="F23" s="125"/>
      <c r="G23" s="86"/>
      <c r="H23" s="87" t="s">
        <v>21</v>
      </c>
      <c r="I23" s="91"/>
      <c r="J23" s="89"/>
      <c r="K23" s="89">
        <v>2.9601000000000002</v>
      </c>
      <c r="L23" s="29"/>
      <c r="M23" s="104"/>
      <c r="N23" s="104">
        <v>1.0203</v>
      </c>
      <c r="Q23">
        <f t="shared" si="0"/>
        <v>1</v>
      </c>
      <c r="R23" t="str">
        <f t="shared" si="1"/>
        <v>C23</v>
      </c>
      <c r="S23" t="str">
        <f t="shared" si="2"/>
        <v/>
      </c>
      <c r="AB23" t="s">
        <v>37</v>
      </c>
    </row>
    <row r="24" spans="3:28" x14ac:dyDescent="0.2">
      <c r="C24" s="125" t="s">
        <v>38</v>
      </c>
      <c r="D24" s="125"/>
      <c r="E24" s="125"/>
      <c r="F24" s="125"/>
      <c r="G24" s="86"/>
      <c r="H24" s="87" t="s">
        <v>21</v>
      </c>
      <c r="I24" s="91"/>
      <c r="J24" s="89"/>
      <c r="K24" s="89">
        <v>2.9563000000000001</v>
      </c>
      <c r="L24" s="29"/>
      <c r="M24" s="104"/>
      <c r="N24" s="104">
        <v>1.0190999999999999</v>
      </c>
      <c r="Q24">
        <f t="shared" si="0"/>
        <v>1</v>
      </c>
      <c r="R24" t="str">
        <f t="shared" si="1"/>
        <v>C24</v>
      </c>
      <c r="S24" t="str">
        <f t="shared" si="2"/>
        <v/>
      </c>
      <c r="AB24" t="s">
        <v>39</v>
      </c>
    </row>
    <row r="25" spans="3:28" x14ac:dyDescent="0.2">
      <c r="C25" s="125" t="s">
        <v>40</v>
      </c>
      <c r="D25" s="125"/>
      <c r="E25" s="125"/>
      <c r="F25" s="125"/>
      <c r="G25" s="86"/>
      <c r="H25" s="87" t="s">
        <v>21</v>
      </c>
      <c r="I25" s="91"/>
      <c r="J25" s="89"/>
      <c r="K25" s="89">
        <v>3.2774000000000001</v>
      </c>
      <c r="L25" s="29"/>
      <c r="M25" s="104"/>
      <c r="N25" s="104">
        <v>1.0238</v>
      </c>
      <c r="Q25">
        <f t="shared" si="0"/>
        <v>1</v>
      </c>
      <c r="R25" t="str">
        <f t="shared" si="1"/>
        <v>C25</v>
      </c>
      <c r="S25" t="str">
        <f t="shared" si="2"/>
        <v/>
      </c>
      <c r="AB25" t="s">
        <v>41</v>
      </c>
    </row>
    <row r="26" spans="3:28" x14ac:dyDescent="0.2">
      <c r="C26" s="125" t="s">
        <v>42</v>
      </c>
      <c r="D26" s="125"/>
      <c r="E26" s="125"/>
      <c r="F26" s="125"/>
      <c r="G26" s="86"/>
      <c r="H26" s="87" t="s">
        <v>31</v>
      </c>
      <c r="I26" s="91"/>
      <c r="J26" s="89"/>
      <c r="K26" s="89">
        <v>6.7999999999999996E-3</v>
      </c>
      <c r="L26" s="29"/>
      <c r="M26" s="104"/>
      <c r="N26" s="104">
        <v>2.0999999999999999E-3</v>
      </c>
      <c r="Q26">
        <f t="shared" si="0"/>
        <v>1</v>
      </c>
      <c r="R26" t="str">
        <f t="shared" si="1"/>
        <v>C26</v>
      </c>
      <c r="S26" t="str">
        <f t="shared" si="2"/>
        <v/>
      </c>
      <c r="AB26" t="s">
        <v>43</v>
      </c>
    </row>
    <row r="27" spans="3:28" x14ac:dyDescent="0.2">
      <c r="C27" s="125" t="s">
        <v>44</v>
      </c>
      <c r="D27" s="125"/>
      <c r="E27" s="125"/>
      <c r="F27" s="125"/>
      <c r="G27" s="86"/>
      <c r="H27" s="87" t="s">
        <v>21</v>
      </c>
      <c r="I27" s="91"/>
      <c r="J27" s="89"/>
      <c r="K27" s="89">
        <v>2.1021000000000001</v>
      </c>
      <c r="L27" s="29"/>
      <c r="M27" s="104"/>
      <c r="N27" s="104">
        <v>0.63129999999999997</v>
      </c>
      <c r="Q27">
        <f t="shared" si="0"/>
        <v>1</v>
      </c>
      <c r="R27" t="str">
        <f t="shared" si="1"/>
        <v>C27</v>
      </c>
      <c r="S27" t="str">
        <f t="shared" si="2"/>
        <v/>
      </c>
      <c r="AB27" t="s">
        <v>45</v>
      </c>
    </row>
    <row r="28" spans="3:28" x14ac:dyDescent="0.2">
      <c r="C28" s="125" t="s">
        <v>46</v>
      </c>
      <c r="D28" s="125"/>
      <c r="E28" s="125"/>
      <c r="F28" s="125"/>
      <c r="G28" s="86"/>
      <c r="H28" s="87" t="s">
        <v>21</v>
      </c>
      <c r="I28" s="91"/>
      <c r="J28" s="89"/>
      <c r="K28" s="89">
        <v>0</v>
      </c>
      <c r="L28" s="29"/>
      <c r="M28" s="104"/>
      <c r="N28" s="104">
        <v>0</v>
      </c>
      <c r="Q28">
        <f t="shared" si="0"/>
        <v>1</v>
      </c>
      <c r="R28" t="str">
        <f t="shared" si="1"/>
        <v>C28</v>
      </c>
      <c r="S28" t="str">
        <f t="shared" si="2"/>
        <v/>
      </c>
      <c r="AB28" t="s">
        <v>47</v>
      </c>
    </row>
    <row r="29" spans="3:28" x14ac:dyDescent="0.2">
      <c r="C29" s="125" t="s">
        <v>32</v>
      </c>
      <c r="D29" s="125"/>
      <c r="E29" s="125"/>
      <c r="F29" s="125"/>
      <c r="G29" s="86"/>
      <c r="H29" s="92"/>
      <c r="I29" s="91"/>
      <c r="J29" s="126"/>
      <c r="K29" s="126"/>
      <c r="L29" s="29"/>
      <c r="M29" s="126"/>
      <c r="N29" s="126"/>
      <c r="Q29">
        <f t="shared" si="0"/>
        <v>0</v>
      </c>
      <c r="R29" t="str">
        <f t="shared" si="1"/>
        <v>C29</v>
      </c>
      <c r="S29" t="str">
        <f t="shared" si="2"/>
        <v/>
      </c>
      <c r="AB29" t="s">
        <v>48</v>
      </c>
    </row>
    <row r="30" spans="3:28" x14ac:dyDescent="0.2">
      <c r="C30" s="125" t="s">
        <v>32</v>
      </c>
      <c r="D30" s="125"/>
      <c r="E30" s="125"/>
      <c r="F30" s="125"/>
      <c r="G30" s="86"/>
      <c r="H30" s="92"/>
      <c r="I30" s="91"/>
      <c r="J30" s="126"/>
      <c r="K30" s="126"/>
      <c r="L30" s="29"/>
      <c r="M30" s="126"/>
      <c r="N30" s="126"/>
      <c r="Q30">
        <f t="shared" si="0"/>
        <v>0</v>
      </c>
      <c r="R30" t="str">
        <f t="shared" si="1"/>
        <v>C30</v>
      </c>
      <c r="S30" t="str">
        <f t="shared" si="2"/>
        <v/>
      </c>
      <c r="AB30" t="s">
        <v>49</v>
      </c>
    </row>
    <row r="31" spans="3:28" x14ac:dyDescent="0.2">
      <c r="C31" s="125" t="s">
        <v>32</v>
      </c>
      <c r="D31" s="125"/>
      <c r="E31" s="125"/>
      <c r="F31" s="125"/>
      <c r="G31" s="86"/>
      <c r="H31" s="92"/>
      <c r="I31" s="91"/>
      <c r="J31" s="126"/>
      <c r="K31" s="126"/>
      <c r="L31" s="29"/>
      <c r="M31" s="126"/>
      <c r="N31" s="126"/>
      <c r="Q31">
        <f t="shared" si="0"/>
        <v>0</v>
      </c>
      <c r="R31" t="str">
        <f t="shared" si="1"/>
        <v>C31</v>
      </c>
      <c r="S31" t="str">
        <f t="shared" si="2"/>
        <v/>
      </c>
      <c r="AB31" t="s">
        <v>50</v>
      </c>
    </row>
    <row r="32" spans="3:28" x14ac:dyDescent="0.2">
      <c r="C32" s="125" t="s">
        <v>32</v>
      </c>
      <c r="D32" s="125"/>
      <c r="E32" s="125"/>
      <c r="F32" s="125"/>
      <c r="G32" s="86"/>
      <c r="H32" s="92"/>
      <c r="I32" s="91"/>
      <c r="J32" s="126"/>
      <c r="K32" s="126"/>
      <c r="L32" s="29"/>
      <c r="M32" s="126"/>
      <c r="N32" s="126"/>
      <c r="Q32">
        <f t="shared" si="0"/>
        <v>0</v>
      </c>
      <c r="R32" t="str">
        <f t="shared" si="1"/>
        <v>C32</v>
      </c>
      <c r="S32" t="str">
        <f t="shared" si="2"/>
        <v/>
      </c>
      <c r="AB32" t="s">
        <v>51</v>
      </c>
    </row>
    <row r="33" spans="3:28" x14ac:dyDescent="0.2">
      <c r="C33" s="125" t="s">
        <v>32</v>
      </c>
      <c r="D33" s="125"/>
      <c r="E33" s="125"/>
      <c r="F33" s="125"/>
      <c r="G33" s="86"/>
      <c r="H33" s="92"/>
      <c r="I33" s="91"/>
      <c r="J33" s="126"/>
      <c r="K33" s="126"/>
      <c r="L33" s="29"/>
      <c r="M33" s="126"/>
      <c r="N33" s="126"/>
      <c r="Q33">
        <f t="shared" si="0"/>
        <v>0</v>
      </c>
      <c r="R33" t="str">
        <f t="shared" si="1"/>
        <v>C33</v>
      </c>
      <c r="S33" t="str">
        <f t="shared" si="2"/>
        <v/>
      </c>
      <c r="AB33" t="s">
        <v>52</v>
      </c>
    </row>
    <row r="34" spans="3:28" x14ac:dyDescent="0.2">
      <c r="C34" s="125" t="s">
        <v>32</v>
      </c>
      <c r="D34" s="125"/>
      <c r="E34" s="125"/>
      <c r="F34" s="125"/>
      <c r="G34" s="86"/>
      <c r="H34" s="92"/>
      <c r="I34" s="91"/>
      <c r="J34" s="126"/>
      <c r="K34" s="126"/>
      <c r="L34" s="29"/>
      <c r="M34" s="126"/>
      <c r="N34" s="126"/>
      <c r="Q34">
        <f t="shared" si="0"/>
        <v>0</v>
      </c>
      <c r="R34" t="str">
        <f t="shared" si="1"/>
        <v>C34</v>
      </c>
      <c r="S34" t="str">
        <f t="shared" si="2"/>
        <v/>
      </c>
      <c r="AB34" t="s">
        <v>53</v>
      </c>
    </row>
    <row r="35" spans="3:28" x14ac:dyDescent="0.2">
      <c r="C35" s="125" t="s">
        <v>32</v>
      </c>
      <c r="D35" s="125"/>
      <c r="E35" s="125"/>
      <c r="F35" s="125"/>
      <c r="G35" s="86"/>
      <c r="H35" s="92"/>
      <c r="I35" s="91"/>
      <c r="J35" s="126"/>
      <c r="K35" s="126"/>
      <c r="L35" s="29"/>
      <c r="M35" s="126"/>
      <c r="N35" s="126"/>
      <c r="Q35">
        <f t="shared" si="0"/>
        <v>0</v>
      </c>
      <c r="R35" t="str">
        <f t="shared" si="1"/>
        <v>C35</v>
      </c>
      <c r="S35" t="str">
        <f t="shared" si="2"/>
        <v/>
      </c>
    </row>
    <row r="36" spans="3:28" x14ac:dyDescent="0.2">
      <c r="C36" s="125" t="s">
        <v>32</v>
      </c>
      <c r="D36" s="125"/>
      <c r="E36" s="125"/>
      <c r="F36" s="125"/>
      <c r="G36" s="86"/>
      <c r="H36" s="92"/>
      <c r="I36" s="91"/>
      <c r="J36" s="126"/>
      <c r="K36" s="126"/>
      <c r="L36" s="29"/>
      <c r="M36" s="126"/>
      <c r="N36" s="126"/>
      <c r="Q36">
        <f t="shared" si="0"/>
        <v>0</v>
      </c>
      <c r="R36" t="str">
        <f t="shared" si="1"/>
        <v>C36</v>
      </c>
      <c r="S36" t="str">
        <f t="shared" si="2"/>
        <v/>
      </c>
      <c r="AB36" t="s">
        <v>33</v>
      </c>
    </row>
    <row r="37" spans="3:28" x14ac:dyDescent="0.2">
      <c r="C37" s="125" t="s">
        <v>32</v>
      </c>
      <c r="D37" s="125"/>
      <c r="E37" s="125"/>
      <c r="F37" s="125"/>
      <c r="G37" s="86"/>
      <c r="H37" s="92"/>
      <c r="I37" s="91"/>
      <c r="J37" s="126"/>
      <c r="K37" s="126"/>
      <c r="L37" s="29"/>
      <c r="M37" s="126"/>
      <c r="N37" s="126"/>
      <c r="Q37">
        <f t="shared" si="0"/>
        <v>0</v>
      </c>
      <c r="R37" t="str">
        <f t="shared" si="1"/>
        <v>C37</v>
      </c>
      <c r="S37" t="str">
        <f t="shared" si="2"/>
        <v/>
      </c>
      <c r="AB37" t="s">
        <v>54</v>
      </c>
    </row>
    <row r="38" spans="3:28" x14ac:dyDescent="0.2">
      <c r="C38" s="125" t="s">
        <v>32</v>
      </c>
      <c r="D38" s="125"/>
      <c r="E38" s="125"/>
      <c r="F38" s="125"/>
      <c r="G38" s="86"/>
      <c r="H38" s="92"/>
      <c r="I38" s="91"/>
      <c r="J38" s="126"/>
      <c r="K38" s="126"/>
      <c r="L38" s="29"/>
      <c r="M38" s="126"/>
      <c r="N38" s="126"/>
      <c r="Q38">
        <f t="shared" si="0"/>
        <v>0</v>
      </c>
      <c r="R38" t="str">
        <f t="shared" si="1"/>
        <v>C38</v>
      </c>
      <c r="S38" t="str">
        <f t="shared" si="2"/>
        <v/>
      </c>
      <c r="AB38" t="s">
        <v>55</v>
      </c>
    </row>
    <row r="39" spans="3:28" x14ac:dyDescent="0.2">
      <c r="C39" s="125" t="s">
        <v>32</v>
      </c>
      <c r="D39" s="125"/>
      <c r="E39" s="125"/>
      <c r="F39" s="125"/>
      <c r="G39" s="86"/>
      <c r="H39" s="92"/>
      <c r="I39" s="91"/>
      <c r="J39" s="126"/>
      <c r="K39" s="126"/>
      <c r="L39" s="29"/>
      <c r="M39" s="126"/>
      <c r="N39" s="126"/>
      <c r="Q39">
        <f t="shared" si="0"/>
        <v>0</v>
      </c>
      <c r="R39" t="str">
        <f t="shared" si="1"/>
        <v>C39</v>
      </c>
      <c r="S39" t="str">
        <f t="shared" si="2"/>
        <v/>
      </c>
      <c r="AB39" t="s">
        <v>56</v>
      </c>
    </row>
    <row r="40" spans="3:28" x14ac:dyDescent="0.2">
      <c r="C40" s="125" t="s">
        <v>32</v>
      </c>
      <c r="D40" s="125"/>
      <c r="E40" s="125"/>
      <c r="F40" s="125"/>
      <c r="G40" s="86"/>
      <c r="H40" s="92"/>
      <c r="I40" s="91"/>
      <c r="J40" s="126"/>
      <c r="K40" s="126"/>
      <c r="L40" s="29"/>
      <c r="M40" s="126"/>
      <c r="N40" s="126"/>
      <c r="Q40">
        <f t="shared" si="0"/>
        <v>0</v>
      </c>
      <c r="R40" t="str">
        <f t="shared" si="1"/>
        <v>C40</v>
      </c>
      <c r="S40" t="str">
        <f t="shared" si="2"/>
        <v/>
      </c>
      <c r="AB40" t="s">
        <v>57</v>
      </c>
    </row>
    <row r="41" spans="3:28" x14ac:dyDescent="0.2">
      <c r="C41" s="125" t="s">
        <v>32</v>
      </c>
      <c r="D41" s="125"/>
      <c r="E41" s="125"/>
      <c r="F41" s="125"/>
      <c r="G41" s="86"/>
      <c r="H41" s="92"/>
      <c r="I41" s="91"/>
      <c r="J41" s="126"/>
      <c r="K41" s="126"/>
      <c r="L41" s="29"/>
      <c r="M41" s="126"/>
      <c r="N41" s="126"/>
      <c r="Q41">
        <f t="shared" si="0"/>
        <v>0</v>
      </c>
      <c r="R41" t="str">
        <f t="shared" si="1"/>
        <v>C41</v>
      </c>
      <c r="S41" t="str">
        <f t="shared" si="2"/>
        <v/>
      </c>
      <c r="AB41" t="s">
        <v>58</v>
      </c>
    </row>
    <row r="42" spans="3:28" x14ac:dyDescent="0.2">
      <c r="C42" s="127"/>
      <c r="D42" s="127"/>
      <c r="E42" s="127"/>
      <c r="F42" s="127"/>
      <c r="G42" s="86"/>
      <c r="H42" s="86"/>
      <c r="S42">
        <f>COUNTIF(S20:S41, "x")</f>
        <v>0</v>
      </c>
      <c r="AB42" t="s">
        <v>59</v>
      </c>
    </row>
    <row r="43" spans="3:28" x14ac:dyDescent="0.2">
      <c r="C43" s="127"/>
      <c r="D43" s="127"/>
      <c r="E43" s="127"/>
      <c r="F43" s="127"/>
      <c r="G43" s="86"/>
      <c r="H43" s="86"/>
      <c r="AB43" t="s">
        <v>60</v>
      </c>
    </row>
    <row r="44" spans="3:28" x14ac:dyDescent="0.2">
      <c r="C44" s="127"/>
      <c r="D44" s="127"/>
      <c r="E44" s="127"/>
      <c r="F44" s="127"/>
      <c r="G44" s="86"/>
      <c r="H44" s="86"/>
      <c r="AB44" t="s">
        <v>61</v>
      </c>
    </row>
    <row r="46" spans="3:28" x14ac:dyDescent="0.2">
      <c r="AB46" t="s">
        <v>62</v>
      </c>
    </row>
    <row r="47" spans="3:28" x14ac:dyDescent="0.2">
      <c r="AB47" t="s">
        <v>63</v>
      </c>
    </row>
    <row r="48" spans="3:28" x14ac:dyDescent="0.2">
      <c r="AB48" t="s">
        <v>34</v>
      </c>
    </row>
    <row r="49" spans="28:28" x14ac:dyDescent="0.2">
      <c r="AB49" t="s">
        <v>36</v>
      </c>
    </row>
    <row r="50" spans="28:28" x14ac:dyDescent="0.2">
      <c r="AB50" t="s">
        <v>64</v>
      </c>
    </row>
    <row r="51" spans="28:28" x14ac:dyDescent="0.2">
      <c r="AB51" t="s">
        <v>65</v>
      </c>
    </row>
    <row r="52" spans="28:28" x14ac:dyDescent="0.2">
      <c r="AB52" t="s">
        <v>66</v>
      </c>
    </row>
    <row r="53" spans="28:28" x14ac:dyDescent="0.2">
      <c r="AB53" t="s">
        <v>67</v>
      </c>
    </row>
    <row r="54" spans="28:28" x14ac:dyDescent="0.2">
      <c r="AB54" t="s">
        <v>68</v>
      </c>
    </row>
    <row r="55" spans="28:28" x14ac:dyDescent="0.2">
      <c r="AB55" t="s">
        <v>69</v>
      </c>
    </row>
    <row r="56" spans="28:28" x14ac:dyDescent="0.2">
      <c r="AB56" t="s">
        <v>70</v>
      </c>
    </row>
    <row r="57" spans="28:28" x14ac:dyDescent="0.2">
      <c r="AB57" t="s">
        <v>71</v>
      </c>
    </row>
    <row r="58" spans="28:28" x14ac:dyDescent="0.2">
      <c r="AB58" t="s">
        <v>72</v>
      </c>
    </row>
    <row r="59" spans="28:28" x14ac:dyDescent="0.2">
      <c r="AB59" t="s">
        <v>73</v>
      </c>
    </row>
    <row r="60" spans="28:28" x14ac:dyDescent="0.2">
      <c r="AB60" t="s">
        <v>74</v>
      </c>
    </row>
    <row r="61" spans="28:28" x14ac:dyDescent="0.2">
      <c r="AB61" t="s">
        <v>75</v>
      </c>
    </row>
    <row r="62" spans="28:28" x14ac:dyDescent="0.2">
      <c r="AB62" t="s">
        <v>76</v>
      </c>
    </row>
    <row r="63" spans="28:28" x14ac:dyDescent="0.2">
      <c r="AB63" t="s">
        <v>77</v>
      </c>
    </row>
    <row r="64" spans="28:28" x14ac:dyDescent="0.2">
      <c r="AB64" t="s">
        <v>78</v>
      </c>
    </row>
    <row r="65" spans="28:28" x14ac:dyDescent="0.2">
      <c r="AB65" t="s">
        <v>79</v>
      </c>
    </row>
    <row r="66" spans="28:28" x14ac:dyDescent="0.2">
      <c r="AB66" t="s">
        <v>80</v>
      </c>
    </row>
    <row r="67" spans="28:28" x14ac:dyDescent="0.2">
      <c r="AB67" t="s">
        <v>38</v>
      </c>
    </row>
    <row r="68" spans="28:28" x14ac:dyDescent="0.2">
      <c r="AB68" t="s">
        <v>81</v>
      </c>
    </row>
    <row r="69" spans="28:28" x14ac:dyDescent="0.2">
      <c r="AB69" t="s">
        <v>82</v>
      </c>
    </row>
    <row r="70" spans="28:28" x14ac:dyDescent="0.2">
      <c r="AB70" t="s">
        <v>83</v>
      </c>
    </row>
    <row r="71" spans="28:28" x14ac:dyDescent="0.2">
      <c r="AB71" t="s">
        <v>84</v>
      </c>
    </row>
    <row r="72" spans="28:28" x14ac:dyDescent="0.2">
      <c r="AB72" t="s">
        <v>85</v>
      </c>
    </row>
    <row r="73" spans="28:28" x14ac:dyDescent="0.2">
      <c r="AB73" t="s">
        <v>86</v>
      </c>
    </row>
    <row r="74" spans="28:28" x14ac:dyDescent="0.2">
      <c r="AB74" t="s">
        <v>87</v>
      </c>
    </row>
    <row r="75" spans="28:28" x14ac:dyDescent="0.2">
      <c r="AB75" t="s">
        <v>88</v>
      </c>
    </row>
    <row r="76" spans="28:28" x14ac:dyDescent="0.2">
      <c r="AB76" t="s">
        <v>89</v>
      </c>
    </row>
    <row r="77" spans="28:28" x14ac:dyDescent="0.2">
      <c r="AB77" t="s">
        <v>90</v>
      </c>
    </row>
    <row r="78" spans="28:28" x14ac:dyDescent="0.2">
      <c r="AB78" t="s">
        <v>91</v>
      </c>
    </row>
    <row r="79" spans="28:28" x14ac:dyDescent="0.2">
      <c r="AB79" t="s">
        <v>92</v>
      </c>
    </row>
    <row r="80" spans="28:28" x14ac:dyDescent="0.2">
      <c r="AB80" t="s">
        <v>93</v>
      </c>
    </row>
    <row r="81" spans="28:28" x14ac:dyDescent="0.2">
      <c r="AB81" t="s">
        <v>94</v>
      </c>
    </row>
    <row r="82" spans="28:28" x14ac:dyDescent="0.2">
      <c r="AB82" t="s">
        <v>95</v>
      </c>
    </row>
    <row r="83" spans="28:28" x14ac:dyDescent="0.2">
      <c r="AB83" t="s">
        <v>96</v>
      </c>
    </row>
    <row r="84" spans="28:28" x14ac:dyDescent="0.2">
      <c r="AB84" t="s">
        <v>97</v>
      </c>
    </row>
    <row r="86" spans="28:28" x14ac:dyDescent="0.2">
      <c r="AB86" t="s">
        <v>40</v>
      </c>
    </row>
    <row r="87" spans="28:28" x14ac:dyDescent="0.2">
      <c r="AB87" t="s">
        <v>98</v>
      </c>
    </row>
    <row r="88" spans="28:28" x14ac:dyDescent="0.2">
      <c r="AB88" t="s">
        <v>99</v>
      </c>
    </row>
    <row r="89" spans="28:28" x14ac:dyDescent="0.2">
      <c r="AB89" t="s">
        <v>100</v>
      </c>
    </row>
    <row r="90" spans="28:28" x14ac:dyDescent="0.2">
      <c r="AB90" t="s">
        <v>101</v>
      </c>
    </row>
    <row r="92" spans="28:28" x14ac:dyDescent="0.2">
      <c r="AB92" t="s">
        <v>42</v>
      </c>
    </row>
    <row r="94" spans="28:28" x14ac:dyDescent="0.2">
      <c r="AB94" t="s">
        <v>102</v>
      </c>
    </row>
    <row r="96" spans="28:28" x14ac:dyDescent="0.2">
      <c r="AB96" t="s">
        <v>44</v>
      </c>
    </row>
    <row r="98" spans="28:28" x14ac:dyDescent="0.2">
      <c r="AB98" t="s">
        <v>46</v>
      </c>
    </row>
    <row r="99" spans="28:28" x14ac:dyDescent="0.2">
      <c r="AB99" t="s">
        <v>103</v>
      </c>
    </row>
    <row r="101" spans="28:28" x14ac:dyDescent="0.2">
      <c r="AB101" t="s">
        <v>104</v>
      </c>
    </row>
    <row r="102" spans="28:28" x14ac:dyDescent="0.2">
      <c r="AB102" t="s">
        <v>105</v>
      </c>
    </row>
    <row r="103" spans="28:28" x14ac:dyDescent="0.2">
      <c r="AB103" t="s">
        <v>106</v>
      </c>
    </row>
    <row r="104" spans="28:28" x14ac:dyDescent="0.2">
      <c r="AB104" t="s">
        <v>107</v>
      </c>
    </row>
    <row r="105" spans="28:28" x14ac:dyDescent="0.2">
      <c r="AB105" t="s">
        <v>108</v>
      </c>
    </row>
    <row r="106" spans="28:28" x14ac:dyDescent="0.2">
      <c r="AB106" t="s">
        <v>109</v>
      </c>
    </row>
    <row r="107" spans="28:28" x14ac:dyDescent="0.2">
      <c r="AB107" t="s">
        <v>110</v>
      </c>
    </row>
    <row r="108" spans="28:28" x14ac:dyDescent="0.2">
      <c r="AB108" t="s">
        <v>111</v>
      </c>
    </row>
    <row r="109" spans="28:28" x14ac:dyDescent="0.2">
      <c r="AB109" t="s">
        <v>112</v>
      </c>
    </row>
    <row r="110" spans="28:28" x14ac:dyDescent="0.2">
      <c r="AB110" t="s">
        <v>113</v>
      </c>
    </row>
    <row r="111" spans="28:28" x14ac:dyDescent="0.2">
      <c r="AB111" t="s">
        <v>114</v>
      </c>
    </row>
  </sheetData>
  <mergeCells count="51">
    <mergeCell ref="C42:F42"/>
    <mergeCell ref="C43:F43"/>
    <mergeCell ref="C44:F44"/>
    <mergeCell ref="C40:F40"/>
    <mergeCell ref="C39:F39"/>
    <mergeCell ref="J39:K39"/>
    <mergeCell ref="M39:N39"/>
    <mergeCell ref="J40:K40"/>
    <mergeCell ref="M40:N40"/>
    <mergeCell ref="C41:F41"/>
    <mergeCell ref="J41:K41"/>
    <mergeCell ref="M41:N41"/>
    <mergeCell ref="C37:F37"/>
    <mergeCell ref="J37:K37"/>
    <mergeCell ref="M37:N37"/>
    <mergeCell ref="C38:F38"/>
    <mergeCell ref="J38:K38"/>
    <mergeCell ref="M38:N38"/>
    <mergeCell ref="C35:F35"/>
    <mergeCell ref="J35:K35"/>
    <mergeCell ref="M35:N35"/>
    <mergeCell ref="C36:F36"/>
    <mergeCell ref="J36:K36"/>
    <mergeCell ref="M36:N36"/>
    <mergeCell ref="C33:F33"/>
    <mergeCell ref="J33:K33"/>
    <mergeCell ref="M33:N33"/>
    <mergeCell ref="C34:F34"/>
    <mergeCell ref="J34:K34"/>
    <mergeCell ref="M34:N34"/>
    <mergeCell ref="C31:F31"/>
    <mergeCell ref="J31:K31"/>
    <mergeCell ref="M31:N31"/>
    <mergeCell ref="C32:F32"/>
    <mergeCell ref="J32:K32"/>
    <mergeCell ref="M32:N32"/>
    <mergeCell ref="J29:K29"/>
    <mergeCell ref="M29:N29"/>
    <mergeCell ref="C30:F30"/>
    <mergeCell ref="J30:K30"/>
    <mergeCell ref="M30:N30"/>
    <mergeCell ref="C20:F20"/>
    <mergeCell ref="C21:F21"/>
    <mergeCell ref="C26:F26"/>
    <mergeCell ref="C28:F28"/>
    <mergeCell ref="C29:F29"/>
    <mergeCell ref="C27:F27"/>
    <mergeCell ref="C24:F24"/>
    <mergeCell ref="C25:F25"/>
    <mergeCell ref="C22:F22"/>
    <mergeCell ref="C23:F23"/>
  </mergeCells>
  <phoneticPr fontId="11" type="noConversion"/>
  <conditionalFormatting sqref="C20:F41">
    <cfRule type="expression" dxfId="9" priority="1" stopIfTrue="1">
      <formula>$Q20&gt;0</formula>
    </cfRule>
    <cfRule type="expression" dxfId="8" priority="2" stopIfTrue="1">
      <formula>$Q20=0</formula>
    </cfRule>
  </conditionalFormatting>
  <conditionalFormatting sqref="H20:H41">
    <cfRule type="expression" dxfId="7" priority="3" stopIfTrue="1">
      <formula>$Q20&gt;0</formula>
    </cfRule>
    <cfRule type="expression" dxfId="6" priority="4" stopIfTrue="1">
      <formula>$Q20=0</formula>
    </cfRule>
  </conditionalFormatting>
  <conditionalFormatting sqref="J20:K41">
    <cfRule type="expression" dxfId="5" priority="5" stopIfTrue="1">
      <formula>$Q20&gt;0</formula>
    </cfRule>
    <cfRule type="expression" dxfId="4" priority="6" stopIfTrue="1">
      <formula>$Q20=0</formula>
    </cfRule>
  </conditionalFormatting>
  <conditionalFormatting sqref="M20:N41">
    <cfRule type="expression" dxfId="3" priority="7" stopIfTrue="1">
      <formula>$Q20&gt;0</formula>
    </cfRule>
    <cfRule type="expression" dxfId="2" priority="8" stopIfTrue="1">
      <formula>$Q20=0</formula>
    </cfRule>
  </conditionalFormatting>
  <dataValidations count="2">
    <dataValidation type="list" allowBlank="1" showInputMessage="1" showErrorMessage="1" sqref="H20:H41">
      <formula1>"kW, kWh"</formula1>
    </dataValidation>
    <dataValidation type="list" allowBlank="1" showInputMessage="1" showErrorMessage="1" sqref="C20:F41">
      <formula1>$AB$20:$AB$118</formula1>
    </dataValidation>
  </dataValidations>
  <pageMargins left="0.7" right="0.7" top="0.75" bottom="0.75" header="0.3" footer="0.3"/>
  <pageSetup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1:N48"/>
  <sheetViews>
    <sheetView showGridLines="0" tabSelected="1" topLeftCell="A23" workbookViewId="0">
      <selection activeCell="H50" sqref="H50"/>
    </sheetView>
  </sheetViews>
  <sheetFormatPr defaultRowHeight="12.75" x14ac:dyDescent="0.2"/>
  <cols>
    <col min="1" max="1" width="13.7109375" style="1" customWidth="1"/>
    <col min="2" max="2" width="32.28515625" style="1" customWidth="1"/>
    <col min="3" max="3" width="16" style="1" customWidth="1"/>
    <col min="4" max="4" width="9.140625" style="1"/>
    <col min="5" max="5" width="3.42578125" style="1" customWidth="1"/>
    <col min="6" max="7" width="16.140625" style="1" customWidth="1"/>
    <col min="8" max="8" width="9.140625" style="1"/>
    <col min="9" max="9" width="5.42578125" style="1" customWidth="1"/>
    <col min="10" max="10" width="4.85546875" style="1" customWidth="1"/>
    <col min="11" max="11" width="4.28515625" style="1" customWidth="1"/>
    <col min="12" max="13" width="16.140625" style="1" customWidth="1"/>
    <col min="14" max="16384" width="9.140625" style="1"/>
  </cols>
  <sheetData>
    <row r="21" spans="2:14" ht="16.5" x14ac:dyDescent="0.3">
      <c r="B21" s="93"/>
      <c r="C21" s="94"/>
      <c r="D21" s="95"/>
      <c r="E21" s="94"/>
      <c r="F21" s="93"/>
      <c r="G21" s="94"/>
      <c r="H21" s="94"/>
      <c r="I21" s="94"/>
      <c r="J21" s="95"/>
      <c r="K21" s="94"/>
      <c r="L21" s="94"/>
    </row>
    <row r="22" spans="2:14" s="94" customFormat="1" ht="16.5" x14ac:dyDescent="0.3">
      <c r="B22" s="93"/>
      <c r="D22" s="96"/>
      <c r="F22" s="93"/>
      <c r="J22" s="96"/>
    </row>
    <row r="23" spans="2:14" ht="16.5" x14ac:dyDescent="0.3">
      <c r="B23" s="97"/>
      <c r="D23" s="96"/>
      <c r="E23" s="94"/>
      <c r="F23" s="93"/>
      <c r="G23" s="94"/>
      <c r="H23" s="94"/>
      <c r="I23" s="94"/>
      <c r="J23" s="96"/>
    </row>
    <row r="24" spans="2:14" ht="16.5" x14ac:dyDescent="0.3">
      <c r="B24" s="97"/>
      <c r="D24" s="96"/>
      <c r="E24" s="94"/>
      <c r="F24" s="93"/>
      <c r="G24" s="94"/>
      <c r="H24" s="94"/>
      <c r="I24" s="94"/>
      <c r="J24" s="96"/>
    </row>
    <row r="26" spans="2:14" hidden="1" x14ac:dyDescent="0.2"/>
    <row r="27" spans="2:14" ht="25.5" customHeight="1" thickBot="1" x14ac:dyDescent="0.25">
      <c r="B27" s="98" t="str">
        <f>IF('[1]3. Rate Classes'!Q24=1,'[1]3. Rate Classes'!C24, 0)</f>
        <v>Residential</v>
      </c>
      <c r="C27" s="99"/>
      <c r="D27" s="100" t="str">
        <f>IF(OR(VLOOKUP($B27, '[1]3. Rate Classes'!$C$24:$H$45,6,0)=0, ISERROR(VLOOKUP($B27, '[1]3. Rate Classes'!$C$24:$H$45,6,0))), "", VLOOKUP($B27, '[1]3. Rate Classes'!$C$24:$H$45,6,0))</f>
        <v>kWh</v>
      </c>
      <c r="F27" s="101">
        <v>393848053.66683358</v>
      </c>
      <c r="G27" s="101"/>
      <c r="H27" s="130">
        <v>1.0404</v>
      </c>
      <c r="I27" s="130"/>
      <c r="J27" s="129" t="str">
        <f t="shared" ref="J27:J48" si="0">IF(ISERROR(F27/(G27*30.4*24)), "", IF(D27="kW", F27/(G27*30.4*24), ""))</f>
        <v/>
      </c>
      <c r="K27" s="129"/>
      <c r="L27" s="102">
        <f>IF(OR(H27=0, OR(ISBLANK(H27), TRIM(H27)="")), F27, F27*H27)</f>
        <v>409759515.03497368</v>
      </c>
      <c r="M27" s="102">
        <f>IF(OR(H27=0, OR(ISBLANK(H27), TRIM(H27)="")), G27, G27)</f>
        <v>0</v>
      </c>
      <c r="N27" s="38"/>
    </row>
    <row r="28" spans="2:14" ht="25.5" customHeight="1" thickBot="1" x14ac:dyDescent="0.25">
      <c r="B28" s="98" t="str">
        <f>IF('[1]3. Rate Classes'!Q25=1,'[1]3. Rate Classes'!C25, 0)</f>
        <v>General Service Less Than 50 kW</v>
      </c>
      <c r="C28" s="99"/>
      <c r="D28" s="100" t="str">
        <f>IF(OR(VLOOKUP($B28, '[1]3. Rate Classes'!$C$24:$H$45,6,0)=0, ISERROR(VLOOKUP($B28, '[1]3. Rate Classes'!$C$24:$H$45,6,0))), "", VLOOKUP($B28, '[1]3. Rate Classes'!$C$24:$H$45,6,0))</f>
        <v>kWh</v>
      </c>
      <c r="F28" s="103">
        <v>179687810.22845057</v>
      </c>
      <c r="G28" s="103"/>
      <c r="H28" s="130">
        <v>1.0404</v>
      </c>
      <c r="I28" s="130"/>
      <c r="J28" s="129" t="str">
        <f t="shared" si="0"/>
        <v/>
      </c>
      <c r="K28" s="129"/>
      <c r="L28" s="102">
        <f t="shared" ref="L28:L48" si="1">IF(OR(H28=0, OR(ISBLANK(H28), TRIM(H28)="")), F28, F28*H28)</f>
        <v>186947197.76167998</v>
      </c>
      <c r="M28" s="102">
        <f t="shared" ref="M28:M48" si="2">IF(OR(H28=0, OR(ISBLANK(H28), TRIM(H28)="")), G28, G28)</f>
        <v>0</v>
      </c>
    </row>
    <row r="29" spans="2:14" ht="25.5" customHeight="1" thickBot="1" x14ac:dyDescent="0.25">
      <c r="B29" s="98" t="str">
        <f>IF('[1]3. Rate Classes'!Q26=1,'[1]3. Rate Classes'!C26, 0)</f>
        <v>General Service 50 to 999 kW</v>
      </c>
      <c r="C29" s="99"/>
      <c r="D29" s="100" t="str">
        <f>IF(OR(VLOOKUP($B29, '[1]3. Rate Classes'!$C$24:$H$45,6,0)=0, ISERROR(VLOOKUP($B29, '[1]3. Rate Classes'!$C$24:$H$45,6,0))), "", VLOOKUP($B29, '[1]3. Rate Classes'!$C$24:$H$45,6,0))</f>
        <v>kW</v>
      </c>
      <c r="F29" s="103">
        <v>141818043.92225248</v>
      </c>
      <c r="G29" s="101">
        <v>405418.50862246769</v>
      </c>
      <c r="H29" s="128"/>
      <c r="I29" s="128"/>
      <c r="J29" s="129">
        <f t="shared" si="0"/>
        <v>0.47944974709956734</v>
      </c>
      <c r="K29" s="129"/>
      <c r="L29" s="102">
        <f t="shared" si="1"/>
        <v>141818043.92225248</v>
      </c>
      <c r="M29" s="102">
        <f t="shared" si="2"/>
        <v>405418.50862246769</v>
      </c>
    </row>
    <row r="30" spans="2:14" ht="25.5" customHeight="1" thickBot="1" x14ac:dyDescent="0.25">
      <c r="B30" s="98" t="str">
        <f>IF('[1]3. Rate Classes'!Q27=1,'[1]3. Rate Classes'!C27, 0)</f>
        <v>General Service 50 to 999 kW - Interval Metered</v>
      </c>
      <c r="C30" s="99"/>
      <c r="D30" s="100" t="str">
        <f>IF(OR(VLOOKUP($B30, '[1]3. Rate Classes'!$C$24:$H$45,6,0)=0, ISERROR(VLOOKUP($B30, '[1]3. Rate Classes'!$C$24:$H$45,6,0))), "", VLOOKUP($B30, '[1]3. Rate Classes'!$C$24:$H$45,6,0))</f>
        <v>kW</v>
      </c>
      <c r="F30" s="103">
        <v>314724309.29104507</v>
      </c>
      <c r="G30" s="103">
        <v>719365.55701908888</v>
      </c>
      <c r="H30" s="128"/>
      <c r="I30" s="128"/>
      <c r="J30" s="129">
        <f t="shared" si="0"/>
        <v>0.59964721870350557</v>
      </c>
      <c r="K30" s="129"/>
      <c r="L30" s="102">
        <f t="shared" si="1"/>
        <v>314724309.29104507</v>
      </c>
      <c r="M30" s="102">
        <f t="shared" si="2"/>
        <v>719365.55701908888</v>
      </c>
    </row>
    <row r="31" spans="2:14" ht="25.5" customHeight="1" thickBot="1" x14ac:dyDescent="0.25">
      <c r="B31" s="98" t="str">
        <f>IF('[1]3. Rate Classes'!Q28=1,'[1]3. Rate Classes'!C28, 0)</f>
        <v>General Service 1,000 to 4,999 kW - Interval Meters</v>
      </c>
      <c r="C31" s="99"/>
      <c r="D31" s="100" t="str">
        <f>IF(OR(VLOOKUP($B31, '[1]3. Rate Classes'!$C$24:$H$45,6,0)=0, ISERROR(VLOOKUP($B31, '[1]3. Rate Classes'!$C$24:$H$45,6,0))), "", VLOOKUP($B31, '[1]3. Rate Classes'!$C$24:$H$45,6,0))</f>
        <v>kW</v>
      </c>
      <c r="F31" s="103">
        <v>249190335.80982751</v>
      </c>
      <c r="G31" s="101">
        <v>456422.45368093351</v>
      </c>
      <c r="H31" s="128"/>
      <c r="I31" s="128"/>
      <c r="J31" s="129">
        <f t="shared" si="0"/>
        <v>0.7483062432943558</v>
      </c>
      <c r="K31" s="129"/>
      <c r="L31" s="102">
        <f t="shared" si="1"/>
        <v>249190335.80982751</v>
      </c>
      <c r="M31" s="102">
        <f t="shared" si="2"/>
        <v>456422.45368093351</v>
      </c>
    </row>
    <row r="32" spans="2:14" ht="25.5" customHeight="1" thickBot="1" x14ac:dyDescent="0.25">
      <c r="B32" s="98" t="str">
        <f>IF('[1]3. Rate Classes'!Q29=1,'[1]3. Rate Classes'!C29, 0)</f>
        <v>Large Use</v>
      </c>
      <c r="C32" s="99"/>
      <c r="D32" s="100" t="str">
        <f>IF(OR(VLOOKUP($B32, '[1]3. Rate Classes'!$C$24:$H$45,6,0)=0, ISERROR(VLOOKUP($B32, '[1]3. Rate Classes'!$C$24:$H$45,6,0))), "", VLOOKUP($B32, '[1]3. Rate Classes'!$C$24:$H$45,6,0))</f>
        <v>kW</v>
      </c>
      <c r="F32" s="103">
        <v>79638262.482273534</v>
      </c>
      <c r="G32" s="103">
        <v>153851.807669359</v>
      </c>
      <c r="H32" s="128"/>
      <c r="I32" s="128"/>
      <c r="J32" s="129">
        <f t="shared" si="0"/>
        <v>0.70947050893795094</v>
      </c>
      <c r="K32" s="129"/>
      <c r="L32" s="102">
        <f t="shared" si="1"/>
        <v>79638262.482273534</v>
      </c>
      <c r="M32" s="102">
        <f t="shared" si="2"/>
        <v>153851.807669359</v>
      </c>
    </row>
    <row r="33" spans="2:13" ht="25.5" customHeight="1" thickBot="1" x14ac:dyDescent="0.25">
      <c r="B33" s="98" t="str">
        <f>IF('[1]3. Rate Classes'!Q30=1,'[1]3. Rate Classes'!C30, 0)</f>
        <v>Unmetered Scattered Load</v>
      </c>
      <c r="C33" s="99"/>
      <c r="D33" s="100" t="str">
        <f>IF(OR(VLOOKUP($B33, '[1]3. Rate Classes'!$C$24:$H$45,6,0)=0, ISERROR(VLOOKUP($B33, '[1]3. Rate Classes'!$C$24:$H$45,6,0))), "", VLOOKUP($B33, '[1]3. Rate Classes'!$C$24:$H$45,6,0))</f>
        <v>kWh</v>
      </c>
      <c r="F33" s="103">
        <v>1648665.9189081476</v>
      </c>
      <c r="G33" s="101"/>
      <c r="H33" s="130">
        <v>1.0404</v>
      </c>
      <c r="I33" s="130"/>
      <c r="J33" s="129" t="str">
        <f t="shared" si="0"/>
        <v/>
      </c>
      <c r="K33" s="129"/>
      <c r="L33" s="102">
        <f t="shared" si="1"/>
        <v>1715272.0220320367</v>
      </c>
      <c r="M33" s="102">
        <f t="shared" si="2"/>
        <v>0</v>
      </c>
    </row>
    <row r="34" spans="2:13" ht="25.5" customHeight="1" thickBot="1" x14ac:dyDescent="0.25">
      <c r="B34" s="98" t="str">
        <f>IF('[1]3. Rate Classes'!Q31=1,'[1]3. Rate Classes'!C31, 0)</f>
        <v>Street Lighting</v>
      </c>
      <c r="C34" s="99"/>
      <c r="D34" s="100" t="str">
        <f>IF(OR(VLOOKUP($B34, '[1]3. Rate Classes'!$C$24:$H$45,6,0)=0, ISERROR(VLOOKUP($B34, '[1]3. Rate Classes'!$C$24:$H$45,6,0))), "", VLOOKUP($B34, '[1]3. Rate Classes'!$C$24:$H$45,6,0))</f>
        <v>kW</v>
      </c>
      <c r="F34" s="103">
        <v>7792005.6676361058</v>
      </c>
      <c r="G34" s="103">
        <v>21835.28338443664</v>
      </c>
      <c r="H34" s="128"/>
      <c r="I34" s="128"/>
      <c r="J34" s="129">
        <f t="shared" si="0"/>
        <v>0.48910894086024453</v>
      </c>
      <c r="K34" s="129"/>
      <c r="L34" s="102">
        <f t="shared" si="1"/>
        <v>7792005.6676361058</v>
      </c>
      <c r="M34" s="102">
        <f t="shared" si="2"/>
        <v>21835.28338443664</v>
      </c>
    </row>
    <row r="35" spans="2:13" ht="25.5" customHeight="1" thickBot="1" x14ac:dyDescent="0.25">
      <c r="B35" s="98" t="str">
        <f>IF('[1]3. Rate Classes'!Q32=1,'[1]3. Rate Classes'!C32, 0)</f>
        <v>Embedded Distributor</v>
      </c>
      <c r="C35" s="99"/>
      <c r="D35" s="100" t="str">
        <f>IF(OR(VLOOKUP($B35, '[1]3. Rate Classes'!$C$24:$H$45,6,0)=0, ISERROR(VLOOKUP($B35, '[1]3. Rate Classes'!$C$24:$H$45,6,0))), "", VLOOKUP($B35, '[1]3. Rate Classes'!$C$24:$H$45,6,0))</f>
        <v>kW</v>
      </c>
      <c r="F35" s="103">
        <v>28618000</v>
      </c>
      <c r="G35" s="101">
        <v>71600</v>
      </c>
      <c r="H35" s="128"/>
      <c r="I35" s="128"/>
      <c r="J35" s="129">
        <f t="shared" si="0"/>
        <v>0.54782447564441827</v>
      </c>
      <c r="K35" s="129"/>
      <c r="L35" s="102">
        <f t="shared" si="1"/>
        <v>28618000</v>
      </c>
      <c r="M35" s="102">
        <f t="shared" si="2"/>
        <v>71600</v>
      </c>
    </row>
    <row r="36" spans="2:13" ht="25.5" hidden="1" customHeight="1" x14ac:dyDescent="0.2">
      <c r="B36" s="98">
        <f>IF('[1]3. Rate Classes'!Q33=1,'[1]3. Rate Classes'!C33, 0)</f>
        <v>0</v>
      </c>
      <c r="C36" s="99"/>
      <c r="D36" s="100" t="e">
        <f>IF(OR(VLOOKUP($B36, '[1]3. Rate Classes'!$C$24:$H$45,6,0)=0, ISERROR(VLOOKUP($B36, '[1]3. Rate Classes'!$C$24:$H$45,6,0))), "", VLOOKUP($B36, '[1]3. Rate Classes'!$C$24:$H$45,6,0))</f>
        <v>#N/A</v>
      </c>
      <c r="F36" s="103"/>
      <c r="G36" s="103"/>
      <c r="H36" s="128"/>
      <c r="I36" s="128"/>
      <c r="J36" s="129" t="str">
        <f t="shared" si="0"/>
        <v/>
      </c>
      <c r="K36" s="129"/>
      <c r="L36" s="102">
        <f t="shared" si="1"/>
        <v>0</v>
      </c>
      <c r="M36" s="102">
        <f t="shared" si="2"/>
        <v>0</v>
      </c>
    </row>
    <row r="37" spans="2:13" ht="25.5" hidden="1" customHeight="1" x14ac:dyDescent="0.2">
      <c r="B37" s="98">
        <f>IF('[1]3. Rate Classes'!Q34=1,'[1]3. Rate Classes'!C34, 0)</f>
        <v>0</v>
      </c>
      <c r="C37" s="99"/>
      <c r="D37" s="100" t="e">
        <f>IF(OR(VLOOKUP($B37, '[1]3. Rate Classes'!$C$24:$H$45,6,0)=0, ISERROR(VLOOKUP($B37, '[1]3. Rate Classes'!$C$24:$H$45,6,0))), "", VLOOKUP($B37, '[1]3. Rate Classes'!$C$24:$H$45,6,0))</f>
        <v>#N/A</v>
      </c>
      <c r="F37" s="103"/>
      <c r="G37" s="101"/>
      <c r="H37" s="128"/>
      <c r="I37" s="128"/>
      <c r="J37" s="129" t="str">
        <f t="shared" si="0"/>
        <v/>
      </c>
      <c r="K37" s="129"/>
      <c r="L37" s="102">
        <f t="shared" si="1"/>
        <v>0</v>
      </c>
      <c r="M37" s="102">
        <f t="shared" si="2"/>
        <v>0</v>
      </c>
    </row>
    <row r="38" spans="2:13" ht="25.5" hidden="1" customHeight="1" x14ac:dyDescent="0.2">
      <c r="B38" s="98">
        <f>IF('[1]3. Rate Classes'!Q35=1,'[1]3. Rate Classes'!C35, 0)</f>
        <v>0</v>
      </c>
      <c r="C38" s="99"/>
      <c r="D38" s="100" t="e">
        <f>IF(OR(VLOOKUP($B38, '[1]3. Rate Classes'!$C$24:$H$45,6,0)=0, ISERROR(VLOOKUP($B38, '[1]3. Rate Classes'!$C$24:$H$45,6,0))), "", VLOOKUP($B38, '[1]3. Rate Classes'!$C$24:$H$45,6,0))</f>
        <v>#N/A</v>
      </c>
      <c r="F38" s="103"/>
      <c r="G38" s="103"/>
      <c r="H38" s="128"/>
      <c r="I38" s="128"/>
      <c r="J38" s="129" t="str">
        <f t="shared" si="0"/>
        <v/>
      </c>
      <c r="K38" s="129"/>
      <c r="L38" s="102">
        <f t="shared" si="1"/>
        <v>0</v>
      </c>
      <c r="M38" s="102">
        <f t="shared" si="2"/>
        <v>0</v>
      </c>
    </row>
    <row r="39" spans="2:13" ht="25.5" hidden="1" customHeight="1" x14ac:dyDescent="0.2">
      <c r="B39" s="98">
        <f>IF('[1]3. Rate Classes'!Q36=1,'[1]3. Rate Classes'!C36, 0)</f>
        <v>0</v>
      </c>
      <c r="C39" s="99"/>
      <c r="D39" s="100" t="e">
        <f>IF(OR(VLOOKUP($B39, '[1]3. Rate Classes'!$C$24:$H$45,6,0)=0, ISERROR(VLOOKUP($B39, '[1]3. Rate Classes'!$C$24:$H$45,6,0))), "", VLOOKUP($B39, '[1]3. Rate Classes'!$C$24:$H$45,6,0))</f>
        <v>#N/A</v>
      </c>
      <c r="F39" s="103"/>
      <c r="G39" s="101"/>
      <c r="H39" s="128"/>
      <c r="I39" s="128"/>
      <c r="J39" s="129" t="str">
        <f t="shared" si="0"/>
        <v/>
      </c>
      <c r="K39" s="129"/>
      <c r="L39" s="102">
        <f t="shared" si="1"/>
        <v>0</v>
      </c>
      <c r="M39" s="102">
        <f t="shared" si="2"/>
        <v>0</v>
      </c>
    </row>
    <row r="40" spans="2:13" ht="25.5" hidden="1" customHeight="1" x14ac:dyDescent="0.2">
      <c r="B40" s="98">
        <f>IF('[1]3. Rate Classes'!Q37=1,'[1]3. Rate Classes'!C37, 0)</f>
        <v>0</v>
      </c>
      <c r="C40" s="99"/>
      <c r="D40" s="100" t="e">
        <f>IF(OR(VLOOKUP($B40, '[1]3. Rate Classes'!$C$24:$H$45,6,0)=0, ISERROR(VLOOKUP($B40, '[1]3. Rate Classes'!$C$24:$H$45,6,0))), "", VLOOKUP($B40, '[1]3. Rate Classes'!$C$24:$H$45,6,0))</f>
        <v>#N/A</v>
      </c>
      <c r="F40" s="103"/>
      <c r="G40" s="103"/>
      <c r="H40" s="128"/>
      <c r="I40" s="128"/>
      <c r="J40" s="129" t="str">
        <f t="shared" si="0"/>
        <v/>
      </c>
      <c r="K40" s="129"/>
      <c r="L40" s="102">
        <f t="shared" si="1"/>
        <v>0</v>
      </c>
      <c r="M40" s="102">
        <f t="shared" si="2"/>
        <v>0</v>
      </c>
    </row>
    <row r="41" spans="2:13" ht="25.5" hidden="1" customHeight="1" x14ac:dyDescent="0.2">
      <c r="B41" s="98">
        <f>IF('[1]3. Rate Classes'!Q38=1,'[1]3. Rate Classes'!C38, 0)</f>
        <v>0</v>
      </c>
      <c r="C41" s="99"/>
      <c r="D41" s="100" t="e">
        <f>IF(OR(VLOOKUP($B41, '[1]3. Rate Classes'!$C$24:$H$45,6,0)=0, ISERROR(VLOOKUP($B41, '[1]3. Rate Classes'!$C$24:$H$45,6,0))), "", VLOOKUP($B41, '[1]3. Rate Classes'!$C$24:$H$45,6,0))</f>
        <v>#N/A</v>
      </c>
      <c r="F41" s="103"/>
      <c r="G41" s="101"/>
      <c r="H41" s="128"/>
      <c r="I41" s="128"/>
      <c r="J41" s="129" t="str">
        <f t="shared" si="0"/>
        <v/>
      </c>
      <c r="K41" s="129"/>
      <c r="L41" s="102">
        <f t="shared" si="1"/>
        <v>0</v>
      </c>
      <c r="M41" s="102">
        <f t="shared" si="2"/>
        <v>0</v>
      </c>
    </row>
    <row r="42" spans="2:13" ht="25.5" hidden="1" customHeight="1" x14ac:dyDescent="0.2">
      <c r="B42" s="98">
        <f>IF('[1]3. Rate Classes'!Q39=1,'[1]3. Rate Classes'!C39, 0)</f>
        <v>0</v>
      </c>
      <c r="C42" s="99"/>
      <c r="D42" s="100" t="e">
        <f>IF(OR(VLOOKUP($B42, '[1]3. Rate Classes'!$C$24:$H$45,6,0)=0, ISERROR(VLOOKUP($B42, '[1]3. Rate Classes'!$C$24:$H$45,6,0))), "", VLOOKUP($B42, '[1]3. Rate Classes'!$C$24:$H$45,6,0))</f>
        <v>#N/A</v>
      </c>
      <c r="F42" s="103"/>
      <c r="G42" s="103"/>
      <c r="H42" s="128"/>
      <c r="I42" s="128"/>
      <c r="J42" s="129" t="str">
        <f t="shared" si="0"/>
        <v/>
      </c>
      <c r="K42" s="129"/>
      <c r="L42" s="102">
        <f t="shared" si="1"/>
        <v>0</v>
      </c>
      <c r="M42" s="102">
        <f t="shared" si="2"/>
        <v>0</v>
      </c>
    </row>
    <row r="43" spans="2:13" ht="25.5" hidden="1" customHeight="1" x14ac:dyDescent="0.2">
      <c r="B43" s="98">
        <f>IF('[1]3. Rate Classes'!Q40=1,'[1]3. Rate Classes'!C40, 0)</f>
        <v>0</v>
      </c>
      <c r="C43" s="99"/>
      <c r="D43" s="100" t="e">
        <f>IF(OR(VLOOKUP($B43, '[1]3. Rate Classes'!$C$24:$H$45,6,0)=0, ISERROR(VLOOKUP($B43, '[1]3. Rate Classes'!$C$24:$H$45,6,0))), "", VLOOKUP($B43, '[1]3. Rate Classes'!$C$24:$H$45,6,0))</f>
        <v>#N/A</v>
      </c>
      <c r="F43" s="103"/>
      <c r="G43" s="101"/>
      <c r="H43" s="128"/>
      <c r="I43" s="128"/>
      <c r="J43" s="129" t="str">
        <f t="shared" si="0"/>
        <v/>
      </c>
      <c r="K43" s="129"/>
      <c r="L43" s="102">
        <f t="shared" si="1"/>
        <v>0</v>
      </c>
      <c r="M43" s="102">
        <f t="shared" si="2"/>
        <v>0</v>
      </c>
    </row>
    <row r="44" spans="2:13" ht="25.5" hidden="1" customHeight="1" x14ac:dyDescent="0.2">
      <c r="B44" s="98">
        <f>IF('[1]3. Rate Classes'!Q41=1,'[1]3. Rate Classes'!C41, 0)</f>
        <v>0</v>
      </c>
      <c r="C44" s="99"/>
      <c r="D44" s="100" t="e">
        <f>IF(OR(VLOOKUP($B44, '[1]3. Rate Classes'!$C$24:$H$45,6,0)=0, ISERROR(VLOOKUP($B44, '[1]3. Rate Classes'!$C$24:$H$45,6,0))), "", VLOOKUP($B44, '[1]3. Rate Classes'!$C$24:$H$45,6,0))</f>
        <v>#N/A</v>
      </c>
      <c r="F44" s="103"/>
      <c r="G44" s="103"/>
      <c r="H44" s="128"/>
      <c r="I44" s="128"/>
      <c r="J44" s="129" t="str">
        <f t="shared" si="0"/>
        <v/>
      </c>
      <c r="K44" s="129"/>
      <c r="L44" s="102">
        <f t="shared" si="1"/>
        <v>0</v>
      </c>
      <c r="M44" s="102">
        <f t="shared" si="2"/>
        <v>0</v>
      </c>
    </row>
    <row r="45" spans="2:13" ht="25.5" hidden="1" customHeight="1" x14ac:dyDescent="0.2">
      <c r="B45" s="98">
        <f>IF('[1]3. Rate Classes'!Q42=1,'[1]3. Rate Classes'!C42, 0)</f>
        <v>0</v>
      </c>
      <c r="C45" s="99"/>
      <c r="D45" s="100" t="e">
        <f>IF(OR(VLOOKUP($B45, '[1]3. Rate Classes'!$C$24:$H$45,6,0)=0, ISERROR(VLOOKUP($B45, '[1]3. Rate Classes'!$C$24:$H$45,6,0))), "", VLOOKUP($B45, '[1]3. Rate Classes'!$C$24:$H$45,6,0))</f>
        <v>#N/A</v>
      </c>
      <c r="F45" s="103"/>
      <c r="G45" s="101"/>
      <c r="H45" s="128"/>
      <c r="I45" s="128"/>
      <c r="J45" s="129" t="str">
        <f t="shared" si="0"/>
        <v/>
      </c>
      <c r="K45" s="129"/>
      <c r="L45" s="102">
        <f t="shared" si="1"/>
        <v>0</v>
      </c>
      <c r="M45" s="102">
        <f t="shared" si="2"/>
        <v>0</v>
      </c>
    </row>
    <row r="46" spans="2:13" ht="25.5" hidden="1" customHeight="1" x14ac:dyDescent="0.2">
      <c r="B46" s="98">
        <f>IF('[1]3. Rate Classes'!Q43=1,'[1]3. Rate Classes'!C43, 0)</f>
        <v>0</v>
      </c>
      <c r="C46" s="99"/>
      <c r="D46" s="100" t="e">
        <f>IF(OR(VLOOKUP($B46, '[1]3. Rate Classes'!$C$24:$H$45,6,0)=0, ISERROR(VLOOKUP($B46, '[1]3. Rate Classes'!$C$24:$H$45,6,0))), "", VLOOKUP($B46, '[1]3. Rate Classes'!$C$24:$H$45,6,0))</f>
        <v>#N/A</v>
      </c>
      <c r="F46" s="103"/>
      <c r="G46" s="103"/>
      <c r="H46" s="128"/>
      <c r="I46" s="128"/>
      <c r="J46" s="129" t="str">
        <f t="shared" si="0"/>
        <v/>
      </c>
      <c r="K46" s="129"/>
      <c r="L46" s="102">
        <f t="shared" si="1"/>
        <v>0</v>
      </c>
      <c r="M46" s="102">
        <f t="shared" si="2"/>
        <v>0</v>
      </c>
    </row>
    <row r="47" spans="2:13" ht="25.5" hidden="1" customHeight="1" x14ac:dyDescent="0.2">
      <c r="B47" s="98">
        <f>IF('[1]3. Rate Classes'!Q44=1,'[1]3. Rate Classes'!C44, 0)</f>
        <v>0</v>
      </c>
      <c r="C47" s="99"/>
      <c r="D47" s="100" t="e">
        <f>IF(OR(VLOOKUP($B47, '[1]3. Rate Classes'!$C$24:$H$45,6,0)=0, ISERROR(VLOOKUP($B47, '[1]3. Rate Classes'!$C$24:$H$45,6,0))), "", VLOOKUP($B47, '[1]3. Rate Classes'!$C$24:$H$45,6,0))</f>
        <v>#N/A</v>
      </c>
      <c r="F47" s="103"/>
      <c r="G47" s="101"/>
      <c r="H47" s="128"/>
      <c r="I47" s="128"/>
      <c r="J47" s="129" t="str">
        <f t="shared" si="0"/>
        <v/>
      </c>
      <c r="K47" s="129"/>
      <c r="L47" s="102">
        <f t="shared" si="1"/>
        <v>0</v>
      </c>
      <c r="M47" s="102">
        <f t="shared" si="2"/>
        <v>0</v>
      </c>
    </row>
    <row r="48" spans="2:13" ht="25.5" hidden="1" customHeight="1" x14ac:dyDescent="0.2">
      <c r="B48" s="98">
        <f>IF('[1]3. Rate Classes'!Q45=1,'[1]3. Rate Classes'!C45, 0)</f>
        <v>0</v>
      </c>
      <c r="C48" s="99"/>
      <c r="D48" s="100" t="e">
        <f>IF(OR(VLOOKUP($B48, '[1]3. Rate Classes'!$C$24:$H$45,6,0)=0, ISERROR(VLOOKUP($B48, '[1]3. Rate Classes'!$C$24:$H$45,6,0))), "", VLOOKUP($B48, '[1]3. Rate Classes'!$C$24:$H$45,6,0))</f>
        <v>#N/A</v>
      </c>
      <c r="F48" s="103"/>
      <c r="G48" s="103"/>
      <c r="H48" s="128"/>
      <c r="I48" s="128"/>
      <c r="J48" s="129" t="str">
        <f t="shared" si="0"/>
        <v/>
      </c>
      <c r="K48" s="129"/>
      <c r="L48" s="102">
        <f t="shared" si="1"/>
        <v>0</v>
      </c>
      <c r="M48" s="102">
        <f t="shared" si="2"/>
        <v>0</v>
      </c>
    </row>
  </sheetData>
  <mergeCells count="44">
    <mergeCell ref="H48:I48"/>
    <mergeCell ref="J48:K48"/>
    <mergeCell ref="H45:I45"/>
    <mergeCell ref="J45:K45"/>
    <mergeCell ref="H46:I46"/>
    <mergeCell ref="J46:K46"/>
    <mergeCell ref="H47:I47"/>
    <mergeCell ref="J47:K47"/>
    <mergeCell ref="H44:I44"/>
    <mergeCell ref="J44:K44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31:I31"/>
    <mergeCell ref="J31:K31"/>
    <mergeCell ref="H38:I38"/>
    <mergeCell ref="J38:K38"/>
    <mergeCell ref="H33:I33"/>
    <mergeCell ref="J33:K33"/>
    <mergeCell ref="H34:I34"/>
    <mergeCell ref="J34:K34"/>
    <mergeCell ref="H35:I35"/>
    <mergeCell ref="J35:K35"/>
    <mergeCell ref="H32:I32"/>
    <mergeCell ref="J32:K32"/>
    <mergeCell ref="H36:I36"/>
    <mergeCell ref="J36:K36"/>
    <mergeCell ref="H37:I37"/>
    <mergeCell ref="J37:K37"/>
    <mergeCell ref="H30:I30"/>
    <mergeCell ref="J30:K30"/>
    <mergeCell ref="H27:I27"/>
    <mergeCell ref="J27:K27"/>
    <mergeCell ref="H28:I28"/>
    <mergeCell ref="J28:K28"/>
    <mergeCell ref="H29:I29"/>
    <mergeCell ref="J29:K29"/>
  </mergeCells>
  <phoneticPr fontId="11" type="noConversion"/>
  <conditionalFormatting sqref="H27:I48">
    <cfRule type="expression" dxfId="1" priority="1" stopIfTrue="1">
      <formula>$D27="kWh"</formula>
    </cfRule>
    <cfRule type="expression" dxfId="0" priority="2" stopIfTrue="1">
      <formula>$D27="kW"</formula>
    </cfRule>
  </conditionalFormatting>
  <dataValidations count="1">
    <dataValidation type="list" allowBlank="1" showInputMessage="1" showErrorMessage="1" sqref="D22 J22">
      <formula1>"Yes, No"</formula1>
    </dataValidation>
  </dataValidations>
  <pageMargins left="0.7" right="0.7" top="0.75" bottom="0.75" header="0.3" footer="0.3"/>
  <pageSetup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7:I100"/>
  <sheetViews>
    <sheetView showGridLines="0" tabSelected="1" zoomScale="75" zoomScaleNormal="75" workbookViewId="0">
      <pane xSplit="2" ySplit="21" topLeftCell="C49" activePane="bottomRight" state="frozen"/>
      <selection activeCell="H50" sqref="H50"/>
      <selection pane="topRight" activeCell="H50" sqref="H50"/>
      <selection pane="bottomLeft" activeCell="H50" sqref="H50"/>
      <selection pane="bottomRight" activeCell="H50" sqref="H50"/>
    </sheetView>
  </sheetViews>
  <sheetFormatPr defaultRowHeight="12.75" x14ac:dyDescent="0.2"/>
  <cols>
    <col min="1" max="1" width="11.85546875" customWidth="1"/>
    <col min="2" max="2" width="69.140625" customWidth="1"/>
    <col min="3" max="3" width="15.42578125" customWidth="1"/>
    <col min="5" max="5" width="15.140625" customWidth="1"/>
    <col min="6" max="6" width="6.28515625" customWidth="1"/>
    <col min="7" max="7" width="15.140625" customWidth="1"/>
    <col min="8" max="8" width="5.42578125" customWidth="1"/>
    <col min="9" max="9" width="15.140625" customWidth="1"/>
  </cols>
  <sheetData>
    <row r="17" spans="2:9" ht="15.75" x14ac:dyDescent="0.25">
      <c r="B17" s="2"/>
      <c r="C17" s="2"/>
      <c r="D17" s="3"/>
      <c r="E17" s="4"/>
      <c r="F17" s="2"/>
      <c r="G17" s="4"/>
      <c r="H17" s="2"/>
    </row>
    <row r="18" spans="2:9" ht="15.75" x14ac:dyDescent="0.25">
      <c r="B18" s="2"/>
      <c r="C18" s="2"/>
      <c r="D18" s="3"/>
      <c r="E18" s="4"/>
      <c r="F18" s="2"/>
      <c r="G18" s="4"/>
      <c r="H18" s="2"/>
    </row>
    <row r="19" spans="2:9" x14ac:dyDescent="0.2">
      <c r="B19" s="1"/>
      <c r="C19" s="1"/>
      <c r="D19" s="1"/>
      <c r="E19" s="1"/>
      <c r="F19" s="1"/>
      <c r="G19" s="1"/>
      <c r="H19" s="1"/>
    </row>
    <row r="20" spans="2:9" ht="16.5" x14ac:dyDescent="0.3">
      <c r="B20" s="23" t="s">
        <v>19</v>
      </c>
      <c r="C20" s="23"/>
      <c r="D20" s="64"/>
      <c r="E20" s="65" t="s">
        <v>2</v>
      </c>
      <c r="F20" s="66"/>
      <c r="G20" s="65" t="s">
        <v>2</v>
      </c>
      <c r="H20" s="66"/>
      <c r="I20" s="65" t="s">
        <v>2</v>
      </c>
    </row>
    <row r="21" spans="2:9" x14ac:dyDescent="0.2">
      <c r="B21" s="1"/>
      <c r="C21" s="1"/>
      <c r="E21" s="1"/>
      <c r="F21" s="1"/>
      <c r="G21" s="1"/>
      <c r="H21" s="1"/>
    </row>
    <row r="22" spans="2:9" ht="17.25" x14ac:dyDescent="0.3">
      <c r="B22" s="67" t="s">
        <v>20</v>
      </c>
      <c r="C22" s="68" t="s">
        <v>21</v>
      </c>
      <c r="D22" s="69"/>
      <c r="E22" s="70">
        <v>3.22</v>
      </c>
      <c r="F22" s="71"/>
      <c r="G22" s="70">
        <v>3.57</v>
      </c>
      <c r="H22" s="72"/>
      <c r="I22" s="123">
        <v>3.57</v>
      </c>
    </row>
    <row r="23" spans="2:9" ht="17.25" x14ac:dyDescent="0.3">
      <c r="B23" s="71"/>
      <c r="C23" s="71"/>
      <c r="D23" s="69"/>
      <c r="E23" s="70"/>
      <c r="F23" s="71"/>
      <c r="G23" s="70"/>
      <c r="H23" s="72"/>
      <c r="I23" s="70"/>
    </row>
    <row r="24" spans="2:9" ht="17.25" x14ac:dyDescent="0.3">
      <c r="B24" s="67" t="s">
        <v>22</v>
      </c>
      <c r="C24" s="68" t="s">
        <v>21</v>
      </c>
      <c r="D24" s="69"/>
      <c r="E24" s="70">
        <v>0.79</v>
      </c>
      <c r="F24" s="71"/>
      <c r="G24" s="70">
        <v>0.8</v>
      </c>
      <c r="H24" s="72"/>
      <c r="I24" s="123">
        <v>0.8</v>
      </c>
    </row>
    <row r="25" spans="2:9" ht="17.25" x14ac:dyDescent="0.3">
      <c r="B25" s="71"/>
      <c r="C25" s="71"/>
      <c r="D25" s="69"/>
      <c r="E25" s="70"/>
      <c r="F25" s="71"/>
      <c r="G25" s="70"/>
      <c r="H25" s="72"/>
      <c r="I25" s="70"/>
    </row>
    <row r="26" spans="2:9" ht="17.25" x14ac:dyDescent="0.3">
      <c r="B26" s="67" t="s">
        <v>23</v>
      </c>
      <c r="C26" s="68" t="s">
        <v>21</v>
      </c>
      <c r="D26" s="69"/>
      <c r="E26" s="70">
        <v>1.77</v>
      </c>
      <c r="F26" s="71"/>
      <c r="G26" s="70">
        <v>1.86</v>
      </c>
      <c r="H26" s="72"/>
      <c r="I26" s="123">
        <v>1.86</v>
      </c>
    </row>
    <row r="27" spans="2:9" x14ac:dyDescent="0.2">
      <c r="B27" s="1"/>
      <c r="C27" s="1"/>
      <c r="E27" s="1"/>
      <c r="F27" s="1"/>
      <c r="G27" s="1"/>
      <c r="H27" s="1"/>
    </row>
    <row r="28" spans="2:9" x14ac:dyDescent="0.2">
      <c r="B28" s="1"/>
      <c r="C28" s="1"/>
      <c r="E28" s="1"/>
      <c r="F28" s="1"/>
      <c r="G28" s="1"/>
      <c r="H28" s="1"/>
    </row>
    <row r="29" spans="2:9" x14ac:dyDescent="0.2">
      <c r="B29" s="1"/>
      <c r="C29" s="1"/>
      <c r="E29" s="1"/>
      <c r="F29" s="1"/>
      <c r="G29" s="1"/>
      <c r="H29" s="1"/>
    </row>
    <row r="30" spans="2:9" ht="15.75" x14ac:dyDescent="0.25">
      <c r="B30" s="73"/>
      <c r="C30" s="3"/>
      <c r="E30" s="2"/>
      <c r="F30" s="2"/>
      <c r="G30" s="2"/>
      <c r="H30" s="2"/>
    </row>
    <row r="31" spans="2:9" ht="15.75" x14ac:dyDescent="0.25">
      <c r="B31" s="2"/>
      <c r="C31" s="3"/>
      <c r="E31" s="4"/>
      <c r="F31" s="2"/>
      <c r="G31" s="4"/>
      <c r="H31" s="2"/>
    </row>
    <row r="32" spans="2:9" x14ac:dyDescent="0.2">
      <c r="B32" s="1"/>
      <c r="C32" s="1"/>
      <c r="E32" s="1"/>
      <c r="F32" s="1"/>
      <c r="G32" s="1"/>
      <c r="H32" s="1"/>
    </row>
    <row r="33" spans="2:9" ht="16.5" x14ac:dyDescent="0.3">
      <c r="B33" s="23" t="s">
        <v>19</v>
      </c>
      <c r="C33" s="23"/>
      <c r="D33" s="64"/>
      <c r="E33" s="65" t="s">
        <v>2</v>
      </c>
      <c r="F33" s="66"/>
      <c r="G33" s="65" t="s">
        <v>2</v>
      </c>
      <c r="H33" s="1"/>
      <c r="I33" s="65" t="s">
        <v>2</v>
      </c>
    </row>
    <row r="34" spans="2:9" x14ac:dyDescent="0.2">
      <c r="B34" s="1"/>
      <c r="C34" s="1"/>
      <c r="E34" s="1"/>
      <c r="F34" s="1"/>
      <c r="G34" s="1"/>
      <c r="H34" s="1"/>
    </row>
    <row r="35" spans="2:9" ht="17.25" x14ac:dyDescent="0.3">
      <c r="B35" s="67" t="s">
        <v>20</v>
      </c>
      <c r="C35" s="68" t="s">
        <v>21</v>
      </c>
      <c r="D35" s="69"/>
      <c r="E35" s="70">
        <v>2.65</v>
      </c>
      <c r="F35" s="71"/>
      <c r="G35" s="70">
        <v>2.65</v>
      </c>
      <c r="H35" s="2"/>
      <c r="I35" s="123">
        <v>2.65</v>
      </c>
    </row>
    <row r="36" spans="2:9" ht="15.75" x14ac:dyDescent="0.25">
      <c r="B36" s="2"/>
      <c r="C36" s="2"/>
      <c r="D36" s="47"/>
      <c r="E36" s="74"/>
      <c r="F36" s="2"/>
      <c r="G36" s="74"/>
      <c r="H36" s="2"/>
      <c r="I36" s="74"/>
    </row>
    <row r="37" spans="2:9" ht="17.25" x14ac:dyDescent="0.3">
      <c r="B37" s="67" t="s">
        <v>22</v>
      </c>
      <c r="C37" s="68" t="s">
        <v>21</v>
      </c>
      <c r="D37" s="69"/>
      <c r="E37" s="70">
        <v>0.64</v>
      </c>
      <c r="F37" s="71"/>
      <c r="G37" s="70">
        <v>0.64</v>
      </c>
      <c r="H37" s="2"/>
      <c r="I37" s="123">
        <v>0.64</v>
      </c>
    </row>
    <row r="38" spans="2:9" ht="15.75" x14ac:dyDescent="0.25">
      <c r="B38" s="2"/>
      <c r="C38" s="2"/>
      <c r="D38" s="47"/>
      <c r="E38" s="74"/>
      <c r="F38" s="2"/>
      <c r="G38" s="74"/>
      <c r="H38" s="2"/>
      <c r="I38" s="74"/>
    </row>
    <row r="39" spans="2:9" ht="17.25" x14ac:dyDescent="0.3">
      <c r="B39" s="67" t="s">
        <v>23</v>
      </c>
      <c r="C39" s="68" t="s">
        <v>21</v>
      </c>
      <c r="D39" s="69"/>
      <c r="E39" s="70">
        <v>1.5</v>
      </c>
      <c r="F39" s="71"/>
      <c r="G39" s="70">
        <v>1.5</v>
      </c>
      <c r="H39" s="2"/>
      <c r="I39" s="123">
        <v>1.5</v>
      </c>
    </row>
    <row r="40" spans="2:9" ht="15.75" x14ac:dyDescent="0.25">
      <c r="B40" s="2"/>
      <c r="C40" s="2"/>
      <c r="D40" s="47"/>
      <c r="E40" s="74"/>
      <c r="F40" s="2"/>
      <c r="G40" s="74"/>
      <c r="H40" s="2"/>
      <c r="I40" s="74"/>
    </row>
    <row r="41" spans="2:9" ht="17.25" x14ac:dyDescent="0.3">
      <c r="B41" s="67" t="s">
        <v>24</v>
      </c>
      <c r="C41" s="68" t="s">
        <v>21</v>
      </c>
      <c r="D41" s="69"/>
      <c r="E41" s="70">
        <v>2.14</v>
      </c>
      <c r="F41" s="71"/>
      <c r="G41" s="70">
        <v>2.14</v>
      </c>
      <c r="H41" s="2"/>
      <c r="I41" s="123">
        <v>2.14</v>
      </c>
    </row>
    <row r="42" spans="2:9" ht="15.75" x14ac:dyDescent="0.25">
      <c r="B42" s="2"/>
      <c r="C42" s="2"/>
      <c r="E42" s="74"/>
      <c r="F42" s="1"/>
      <c r="G42" s="74"/>
      <c r="H42" s="1"/>
    </row>
    <row r="43" spans="2:9" x14ac:dyDescent="0.2">
      <c r="B43" s="1"/>
      <c r="C43" s="1"/>
      <c r="E43" s="1"/>
      <c r="F43" s="1"/>
      <c r="G43" s="1"/>
      <c r="H43" s="1"/>
    </row>
    <row r="44" spans="2:9" ht="15.75" x14ac:dyDescent="0.25">
      <c r="B44" s="73"/>
      <c r="C44" s="1"/>
      <c r="E44" s="1"/>
      <c r="F44" s="1"/>
      <c r="G44" s="1"/>
      <c r="H44" s="1"/>
    </row>
    <row r="45" spans="2:9" ht="15.75" x14ac:dyDescent="0.25">
      <c r="B45" s="2"/>
      <c r="C45" s="3"/>
      <c r="E45" s="4"/>
      <c r="F45" s="2"/>
      <c r="G45" s="4"/>
      <c r="H45" s="2"/>
    </row>
    <row r="46" spans="2:9" x14ac:dyDescent="0.2">
      <c r="B46" s="1"/>
      <c r="C46" s="1"/>
      <c r="E46" s="1"/>
      <c r="F46" s="1"/>
      <c r="G46" s="1"/>
      <c r="H46" s="1"/>
    </row>
    <row r="47" spans="2:9" ht="16.5" x14ac:dyDescent="0.3">
      <c r="B47" s="23" t="s">
        <v>19</v>
      </c>
      <c r="C47" s="23"/>
      <c r="D47" s="64"/>
      <c r="E47" s="65" t="s">
        <v>2</v>
      </c>
      <c r="F47" s="66"/>
      <c r="G47" s="65" t="s">
        <v>2</v>
      </c>
      <c r="H47" s="1"/>
      <c r="I47" s="65" t="s">
        <v>2</v>
      </c>
    </row>
    <row r="48" spans="2:9" x14ac:dyDescent="0.2">
      <c r="B48" s="1"/>
      <c r="C48" s="1"/>
      <c r="E48" s="1"/>
      <c r="F48" s="1"/>
      <c r="G48" s="1"/>
      <c r="H48" s="1"/>
    </row>
    <row r="49" spans="2:9" ht="17.25" x14ac:dyDescent="0.3">
      <c r="B49" s="67" t="s">
        <v>25</v>
      </c>
      <c r="C49" s="68" t="s">
        <v>21</v>
      </c>
      <c r="D49" s="69"/>
      <c r="E49" s="75">
        <v>4.7E-2</v>
      </c>
      <c r="F49" s="71"/>
      <c r="G49" s="75">
        <v>0</v>
      </c>
      <c r="H49" s="76"/>
      <c r="I49" s="75">
        <v>0</v>
      </c>
    </row>
    <row r="50" spans="2:9" ht="15.75" x14ac:dyDescent="0.25">
      <c r="B50" s="2"/>
      <c r="C50" s="2"/>
      <c r="D50" s="47"/>
      <c r="E50" s="77"/>
      <c r="F50" s="78"/>
      <c r="G50" s="77"/>
      <c r="H50" s="76"/>
      <c r="I50" s="77"/>
    </row>
    <row r="51" spans="2:9" ht="17.25" x14ac:dyDescent="0.3">
      <c r="B51" s="67" t="s">
        <v>26</v>
      </c>
      <c r="C51" s="68" t="s">
        <v>21</v>
      </c>
      <c r="D51" s="69"/>
      <c r="E51" s="75">
        <v>-2.5000000000000001E-2</v>
      </c>
      <c r="F51" s="71"/>
      <c r="G51" s="75">
        <v>0</v>
      </c>
      <c r="H51" s="76"/>
      <c r="I51" s="75">
        <v>0</v>
      </c>
    </row>
    <row r="52" spans="2:9" ht="15.75" x14ac:dyDescent="0.25">
      <c r="B52" s="2"/>
      <c r="C52" s="2"/>
      <c r="D52" s="47"/>
      <c r="E52" s="77"/>
      <c r="F52" s="78"/>
      <c r="G52" s="77"/>
      <c r="H52" s="76"/>
      <c r="I52" s="77"/>
    </row>
    <row r="53" spans="2:9" ht="17.25" x14ac:dyDescent="0.3">
      <c r="B53" s="67" t="s">
        <v>27</v>
      </c>
      <c r="C53" s="68" t="s">
        <v>21</v>
      </c>
      <c r="D53" s="69"/>
      <c r="E53" s="75">
        <v>5.8000000000000003E-2</v>
      </c>
      <c r="F53" s="79"/>
      <c r="G53" s="75">
        <v>0</v>
      </c>
      <c r="H53" s="76"/>
      <c r="I53" s="75">
        <v>0</v>
      </c>
    </row>
    <row r="54" spans="2:9" ht="17.25" x14ac:dyDescent="0.3">
      <c r="B54" s="71"/>
      <c r="C54" s="71"/>
      <c r="D54" s="69"/>
      <c r="E54" s="79"/>
      <c r="F54" s="79"/>
      <c r="G54" s="79"/>
      <c r="H54" s="76"/>
      <c r="I54" s="79"/>
    </row>
    <row r="55" spans="2:9" ht="17.25" x14ac:dyDescent="0.3">
      <c r="B55" s="67" t="s">
        <v>28</v>
      </c>
      <c r="C55" s="68" t="s">
        <v>21</v>
      </c>
      <c r="D55" s="69"/>
      <c r="E55" s="75">
        <v>-7.4999999999999997E-2</v>
      </c>
      <c r="F55" s="79"/>
      <c r="G55" s="75">
        <v>0</v>
      </c>
      <c r="H55" s="76"/>
      <c r="I55" s="75">
        <v>0</v>
      </c>
    </row>
    <row r="56" spans="2:9" ht="17.25" x14ac:dyDescent="0.3">
      <c r="B56" s="71"/>
      <c r="C56" s="68"/>
      <c r="D56" s="69"/>
      <c r="E56" s="79"/>
      <c r="F56" s="79"/>
      <c r="G56" s="79"/>
      <c r="H56" s="78"/>
      <c r="I56" s="79"/>
    </row>
    <row r="57" spans="2:9" ht="18" thickBot="1" x14ac:dyDescent="0.35">
      <c r="B57" s="67" t="s">
        <v>29</v>
      </c>
      <c r="C57" s="68" t="s">
        <v>21</v>
      </c>
      <c r="D57" s="69"/>
      <c r="E57" s="80">
        <f>SUM(E49:E55)</f>
        <v>5.0000000000000044E-3</v>
      </c>
      <c r="F57" s="79"/>
      <c r="G57" s="80">
        <f>SUM(G49:G55)</f>
        <v>0</v>
      </c>
      <c r="H57" s="76"/>
      <c r="I57" s="80">
        <f>SUM(I49:I55)</f>
        <v>0</v>
      </c>
    </row>
    <row r="58" spans="2:9" x14ac:dyDescent="0.2">
      <c r="B58" s="2"/>
      <c r="C58" s="2"/>
      <c r="D58" s="3"/>
      <c r="E58" s="2"/>
      <c r="F58" s="2"/>
      <c r="G58" s="2"/>
      <c r="H58" s="2"/>
    </row>
    <row r="63" spans="2:9" ht="13.5" thickBot="1" x14ac:dyDescent="0.25"/>
    <row r="64" spans="2:9" x14ac:dyDescent="0.2">
      <c r="B64" s="131" t="s">
        <v>17</v>
      </c>
    </row>
    <row r="65" spans="2:9" x14ac:dyDescent="0.2">
      <c r="B65" s="132"/>
    </row>
    <row r="66" spans="2:9" ht="13.5" thickBot="1" x14ac:dyDescent="0.25">
      <c r="B66" s="133"/>
    </row>
    <row r="68" spans="2:9" ht="16.5" x14ac:dyDescent="0.3">
      <c r="B68" s="23" t="s">
        <v>19</v>
      </c>
      <c r="C68" s="23"/>
      <c r="D68" s="64"/>
      <c r="E68" s="65" t="s">
        <v>116</v>
      </c>
      <c r="F68" s="66"/>
      <c r="G68" s="65" t="s">
        <v>116</v>
      </c>
      <c r="H68" s="66"/>
      <c r="I68" s="65" t="s">
        <v>116</v>
      </c>
    </row>
    <row r="69" spans="2:9" x14ac:dyDescent="0.2">
      <c r="B69" s="1"/>
      <c r="C69" s="1"/>
      <c r="E69" s="1"/>
      <c r="F69" s="1"/>
      <c r="G69" s="1"/>
      <c r="H69" s="1"/>
    </row>
    <row r="70" spans="2:9" ht="17.25" x14ac:dyDescent="0.3">
      <c r="B70" s="67" t="s">
        <v>20</v>
      </c>
      <c r="C70" s="68" t="s">
        <v>21</v>
      </c>
      <c r="D70" s="69"/>
      <c r="E70" s="85">
        <v>2.2864</v>
      </c>
      <c r="F70" s="71"/>
      <c r="G70" s="85">
        <v>2.8776000000000002</v>
      </c>
      <c r="H70" s="72"/>
      <c r="I70" s="85">
        <f>+G70</f>
        <v>2.8776000000000002</v>
      </c>
    </row>
    <row r="71" spans="2:9" ht="17.25" x14ac:dyDescent="0.3">
      <c r="B71" s="71"/>
      <c r="C71" s="71"/>
      <c r="D71" s="69"/>
      <c r="E71" s="70"/>
      <c r="F71" s="71"/>
      <c r="G71" s="85"/>
      <c r="H71" s="72"/>
      <c r="I71" s="85"/>
    </row>
    <row r="72" spans="2:9" ht="17.25" x14ac:dyDescent="0.3">
      <c r="B72" s="67" t="s">
        <v>22</v>
      </c>
      <c r="C72" s="68" t="s">
        <v>21</v>
      </c>
      <c r="D72" s="69"/>
      <c r="E72" s="85">
        <v>0.60440000000000005</v>
      </c>
      <c r="F72" s="71"/>
      <c r="G72" s="85">
        <v>0.68710000000000004</v>
      </c>
      <c r="H72" s="72"/>
      <c r="I72" s="85">
        <f>+G72</f>
        <v>0.68710000000000004</v>
      </c>
    </row>
    <row r="73" spans="2:9" ht="17.25" x14ac:dyDescent="0.3">
      <c r="B73" s="71"/>
      <c r="C73" s="71"/>
      <c r="D73" s="69"/>
      <c r="E73" s="70"/>
      <c r="F73" s="71"/>
      <c r="G73" s="85"/>
      <c r="H73" s="72"/>
      <c r="I73" s="85"/>
    </row>
    <row r="74" spans="2:9" ht="17.25" x14ac:dyDescent="0.3">
      <c r="B74" s="67" t="s">
        <v>23</v>
      </c>
      <c r="C74" s="68" t="s">
        <v>21</v>
      </c>
      <c r="D74" s="69"/>
      <c r="E74" s="70">
        <v>0</v>
      </c>
      <c r="F74" s="71"/>
      <c r="G74" s="85">
        <v>0</v>
      </c>
      <c r="H74" s="72"/>
      <c r="I74" s="85">
        <f>+G74</f>
        <v>0</v>
      </c>
    </row>
    <row r="77" spans="2:9" ht="13.5" thickBot="1" x14ac:dyDescent="0.25"/>
    <row r="78" spans="2:9" x14ac:dyDescent="0.2">
      <c r="B78" s="131" t="s">
        <v>18</v>
      </c>
    </row>
    <row r="79" spans="2:9" x14ac:dyDescent="0.2">
      <c r="B79" s="132"/>
    </row>
    <row r="80" spans="2:9" ht="13.5" thickBot="1" x14ac:dyDescent="0.25">
      <c r="B80" s="133"/>
    </row>
    <row r="82" spans="2:9" ht="16.5" x14ac:dyDescent="0.3">
      <c r="B82" s="23" t="s">
        <v>19</v>
      </c>
      <c r="C82" s="23"/>
      <c r="D82" s="64"/>
      <c r="E82" s="65" t="s">
        <v>116</v>
      </c>
      <c r="F82" s="66"/>
      <c r="G82" s="65" t="s">
        <v>116</v>
      </c>
      <c r="H82" s="66"/>
      <c r="I82" s="65" t="s">
        <v>116</v>
      </c>
    </row>
    <row r="83" spans="2:9" x14ac:dyDescent="0.2">
      <c r="B83" s="1"/>
      <c r="C83" s="1"/>
      <c r="E83" s="1"/>
      <c r="F83" s="1"/>
      <c r="G83" s="1"/>
      <c r="H83" s="1"/>
    </row>
    <row r="84" spans="2:9" ht="17.25" x14ac:dyDescent="0.3">
      <c r="B84" s="67" t="s">
        <v>20</v>
      </c>
      <c r="C84" s="68" t="s">
        <v>21</v>
      </c>
      <c r="D84" s="69"/>
      <c r="E84" s="85">
        <v>2.1469999999999998</v>
      </c>
      <c r="F84" s="71"/>
      <c r="G84" s="85">
        <v>2.5882000000000001</v>
      </c>
      <c r="H84" s="72"/>
      <c r="I84" s="85">
        <f>+G84</f>
        <v>2.5882000000000001</v>
      </c>
    </row>
    <row r="85" spans="2:9" ht="17.25" x14ac:dyDescent="0.3">
      <c r="B85" s="71"/>
      <c r="C85" s="71"/>
      <c r="D85" s="69"/>
      <c r="E85" s="70"/>
      <c r="F85" s="71"/>
      <c r="G85" s="85"/>
      <c r="H85" s="72"/>
      <c r="I85" s="85"/>
    </row>
    <row r="86" spans="2:9" ht="17.25" x14ac:dyDescent="0.3">
      <c r="B86" s="67" t="s">
        <v>22</v>
      </c>
      <c r="C86" s="68" t="s">
        <v>21</v>
      </c>
      <c r="D86" s="69"/>
      <c r="E86" s="85">
        <v>1.5896999999999999</v>
      </c>
      <c r="F86" s="71"/>
      <c r="G86" s="85">
        <v>1.7677</v>
      </c>
      <c r="H86" s="72"/>
      <c r="I86" s="85">
        <f>+G86</f>
        <v>1.7677</v>
      </c>
    </row>
    <row r="87" spans="2:9" ht="17.25" x14ac:dyDescent="0.3">
      <c r="B87" s="71"/>
      <c r="C87" s="71"/>
      <c r="D87" s="69"/>
      <c r="E87" s="70"/>
      <c r="F87" s="71"/>
      <c r="G87" s="70"/>
      <c r="H87" s="72"/>
      <c r="I87" s="70"/>
    </row>
    <row r="88" spans="2:9" ht="17.25" x14ac:dyDescent="0.3">
      <c r="B88" s="67" t="s">
        <v>23</v>
      </c>
      <c r="C88" s="68" t="s">
        <v>21</v>
      </c>
      <c r="D88" s="69"/>
      <c r="E88" s="70">
        <v>0</v>
      </c>
      <c r="F88" s="71"/>
      <c r="G88" s="70">
        <v>0</v>
      </c>
      <c r="H88" s="72"/>
      <c r="I88" s="70">
        <f>+G88</f>
        <v>0</v>
      </c>
    </row>
    <row r="89" spans="2:9" x14ac:dyDescent="0.2">
      <c r="I89" s="114" t="s">
        <v>115</v>
      </c>
    </row>
    <row r="91" spans="2:9" ht="15" x14ac:dyDescent="0.25">
      <c r="B91" s="124" t="s">
        <v>117</v>
      </c>
    </row>
    <row r="92" spans="2:9" ht="12.75" customHeight="1" x14ac:dyDescent="0.2">
      <c r="C92" s="84"/>
    </row>
    <row r="93" spans="2:9" ht="12.75" customHeight="1" x14ac:dyDescent="0.2">
      <c r="C93" s="84"/>
    </row>
    <row r="94" spans="2:9" ht="13.5" customHeight="1" x14ac:dyDescent="0.2">
      <c r="C94" s="84"/>
    </row>
    <row r="98" spans="3:3" ht="12.75" customHeight="1" x14ac:dyDescent="0.2">
      <c r="C98" s="84"/>
    </row>
    <row r="99" spans="3:3" ht="12.75" customHeight="1" x14ac:dyDescent="0.2">
      <c r="C99" s="84"/>
    </row>
    <row r="100" spans="3:3" ht="13.5" customHeight="1" x14ac:dyDescent="0.2">
      <c r="C100" s="84"/>
    </row>
  </sheetData>
  <mergeCells count="2">
    <mergeCell ref="B64:B66"/>
    <mergeCell ref="B78:B80"/>
  </mergeCells>
  <phoneticPr fontId="11" type="noConversion"/>
  <pageMargins left="0.25" right="0.25" top="0.25" bottom="0.25" header="0.5" footer="0.5"/>
  <pageSetup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Q124"/>
  <sheetViews>
    <sheetView tabSelected="1" topLeftCell="B1" zoomScale="75" zoomScaleNormal="75" workbookViewId="0">
      <pane xSplit="2" ySplit="21" topLeftCell="D97" activePane="bottomRight" state="frozen"/>
      <selection activeCell="H50" sqref="H50"/>
      <selection pane="topRight" activeCell="H50" sqref="H50"/>
      <selection pane="bottomLeft" activeCell="H50" sqref="H50"/>
      <selection pane="bottomRight" activeCell="H50" sqref="H50"/>
    </sheetView>
  </sheetViews>
  <sheetFormatPr defaultRowHeight="12.75" x14ac:dyDescent="0.2"/>
  <cols>
    <col min="1" max="1" width="11.85546875" style="1" hidden="1" customWidth="1"/>
    <col min="2" max="2" width="30.140625" style="1" customWidth="1"/>
    <col min="3" max="3" width="3.85546875" style="1" customWidth="1"/>
    <col min="4" max="4" width="13.28515625" style="1" customWidth="1"/>
    <col min="5" max="5" width="15.140625" style="1" customWidth="1"/>
    <col min="6" max="6" width="13.28515625" style="1" customWidth="1"/>
    <col min="7" max="7" width="2.85546875" style="1" customWidth="1"/>
    <col min="8" max="8" width="13.28515625" style="1" customWidth="1"/>
    <col min="9" max="9" width="9.42578125" style="1" bestFit="1" customWidth="1"/>
    <col min="10" max="10" width="13.28515625" style="1" customWidth="1"/>
    <col min="11" max="11" width="3.140625" style="1" customWidth="1"/>
    <col min="12" max="12" width="13.28515625" style="1" customWidth="1"/>
    <col min="13" max="13" width="9.42578125" style="1" bestFit="1" customWidth="1"/>
    <col min="14" max="14" width="13.28515625" style="1" customWidth="1"/>
    <col min="15" max="15" width="3.7109375" style="1" customWidth="1"/>
    <col min="16" max="16" width="13.28515625" style="1" customWidth="1"/>
    <col min="17" max="16384" width="9.140625" style="1"/>
  </cols>
  <sheetData>
    <row r="19" spans="2:17" ht="33.75" customHeight="1" x14ac:dyDescent="0.25">
      <c r="B19" s="2"/>
      <c r="C19" s="2"/>
      <c r="D19" s="3"/>
      <c r="E19" s="4"/>
      <c r="F19" s="2"/>
      <c r="G19" s="4"/>
      <c r="H19" s="2"/>
    </row>
    <row r="20" spans="2:17" ht="20.25" x14ac:dyDescent="0.3"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15.75" x14ac:dyDescent="0.25">
      <c r="B21" s="2"/>
      <c r="C21" s="2"/>
      <c r="D21" s="6"/>
      <c r="E21" s="6"/>
      <c r="F21" s="6"/>
      <c r="G21" s="7"/>
      <c r="H21" s="6"/>
      <c r="I21" s="6"/>
      <c r="J21" s="6"/>
      <c r="K21" s="7"/>
      <c r="L21" s="6"/>
      <c r="M21" s="6"/>
      <c r="N21" s="6"/>
      <c r="O21" s="2"/>
      <c r="P21" s="6"/>
      <c r="Q21" s="8"/>
    </row>
    <row r="22" spans="2:17" ht="33" x14ac:dyDescent="0.3">
      <c r="B22" s="9" t="s">
        <v>0</v>
      </c>
      <c r="C22" s="10"/>
      <c r="D22" s="11" t="s">
        <v>1</v>
      </c>
      <c r="E22" s="11" t="s">
        <v>2</v>
      </c>
      <c r="F22" s="11" t="s">
        <v>3</v>
      </c>
      <c r="G22" s="10"/>
      <c r="H22" s="11" t="s">
        <v>1</v>
      </c>
      <c r="I22" s="11" t="s">
        <v>2</v>
      </c>
      <c r="J22" s="11" t="s">
        <v>3</v>
      </c>
      <c r="K22" s="10"/>
      <c r="L22" s="11" t="s">
        <v>1</v>
      </c>
      <c r="M22" s="11" t="s">
        <v>2</v>
      </c>
      <c r="N22" s="11" t="s">
        <v>3</v>
      </c>
      <c r="O22" s="10"/>
      <c r="P22" s="11" t="s">
        <v>3</v>
      </c>
      <c r="Q22" s="2"/>
    </row>
    <row r="23" spans="2:17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15.75" x14ac:dyDescent="0.25">
      <c r="B24" s="12" t="s">
        <v>4</v>
      </c>
      <c r="C24" s="2"/>
      <c r="D24" s="13">
        <v>221732.81464332045</v>
      </c>
      <c r="E24" s="14">
        <f t="shared" ref="E24:E35" si="0">IF(D24&lt;&gt;0,F24/D24,0)</f>
        <v>3.22</v>
      </c>
      <c r="F24" s="81">
        <f>+D24*'5. UTRs &amp; Sub Transmission'!$E$22</f>
        <v>713979.6631514919</v>
      </c>
      <c r="G24" s="2"/>
      <c r="H24" s="13">
        <v>221583.25700909455</v>
      </c>
      <c r="I24" s="14">
        <f t="shared" ref="I24:I35" si="1">IF(H24&lt;&gt;0,J24/H24,0)</f>
        <v>0.79</v>
      </c>
      <c r="J24" s="16">
        <f>+H24*'5. UTRs &amp; Sub Transmission'!$E$24</f>
        <v>175050.7730371847</v>
      </c>
      <c r="K24" s="2"/>
      <c r="L24" s="13">
        <v>31949.74791734137</v>
      </c>
      <c r="M24" s="14">
        <f t="shared" ref="M24:M35" si="2">IF(L24&lt;&gt;0,N24/L24,0)</f>
        <v>1.77</v>
      </c>
      <c r="N24" s="15">
        <f>+L24*'5. UTRs &amp; Sub Transmission'!$E$26</f>
        <v>56551.053813694227</v>
      </c>
      <c r="O24" s="2"/>
      <c r="P24" s="17">
        <f t="shared" ref="P24:P35" si="3">J24+N24</f>
        <v>231601.82685087892</v>
      </c>
      <c r="Q24" s="2"/>
    </row>
    <row r="25" spans="2:17" ht="15.75" x14ac:dyDescent="0.25">
      <c r="B25" s="12" t="s">
        <v>5</v>
      </c>
      <c r="C25" s="2"/>
      <c r="D25" s="13">
        <v>216202.65277926091</v>
      </c>
      <c r="E25" s="14">
        <f t="shared" si="0"/>
        <v>3.2200000000000006</v>
      </c>
      <c r="F25" s="81">
        <f>+D25*'5. UTRs &amp; Sub Transmission'!$E$22</f>
        <v>696172.54194922023</v>
      </c>
      <c r="G25" s="2"/>
      <c r="H25" s="13">
        <v>216841.18890737434</v>
      </c>
      <c r="I25" s="14">
        <f t="shared" si="1"/>
        <v>0.79</v>
      </c>
      <c r="J25" s="16">
        <f>+H25*'5. UTRs &amp; Sub Transmission'!$E$24</f>
        <v>171304.53923682575</v>
      </c>
      <c r="K25" s="2"/>
      <c r="L25" s="13">
        <v>31749.812073052624</v>
      </c>
      <c r="M25" s="14">
        <f t="shared" si="2"/>
        <v>1.77</v>
      </c>
      <c r="N25" s="15">
        <f>+L25*'5. UTRs &amp; Sub Transmission'!$E$26</f>
        <v>56197.167369303148</v>
      </c>
      <c r="O25" s="2"/>
      <c r="P25" s="17">
        <f t="shared" si="3"/>
        <v>227501.70660612889</v>
      </c>
      <c r="Q25" s="2"/>
    </row>
    <row r="26" spans="2:17" ht="15.75" x14ac:dyDescent="0.25">
      <c r="B26" s="12" t="s">
        <v>6</v>
      </c>
      <c r="C26" s="2"/>
      <c r="D26" s="13">
        <v>216584.32628824608</v>
      </c>
      <c r="E26" s="14">
        <f t="shared" si="0"/>
        <v>3.22</v>
      </c>
      <c r="F26" s="81">
        <f>+D26*'5. UTRs &amp; Sub Transmission'!$E$22</f>
        <v>697401.53064815246</v>
      </c>
      <c r="G26" s="2"/>
      <c r="H26" s="13">
        <v>216438.24128273086</v>
      </c>
      <c r="I26" s="14">
        <f t="shared" si="1"/>
        <v>0.79000000000000015</v>
      </c>
      <c r="J26" s="16">
        <f>+H26*'5. UTRs &amp; Sub Transmission'!$E$24</f>
        <v>170986.2106133574</v>
      </c>
      <c r="K26" s="2"/>
      <c r="L26" s="13">
        <v>31840.039530988059</v>
      </c>
      <c r="M26" s="14">
        <f t="shared" si="2"/>
        <v>1.77</v>
      </c>
      <c r="N26" s="15">
        <f>+L26*'5. UTRs &amp; Sub Transmission'!$E$26</f>
        <v>56356.869969848864</v>
      </c>
      <c r="O26" s="2"/>
      <c r="P26" s="17">
        <f t="shared" si="3"/>
        <v>227343.08058320626</v>
      </c>
      <c r="Q26" s="2"/>
    </row>
    <row r="27" spans="2:17" ht="15.75" x14ac:dyDescent="0.25">
      <c r="B27" s="12" t="s">
        <v>7</v>
      </c>
      <c r="C27" s="2"/>
      <c r="D27" s="13">
        <v>183465.94135133002</v>
      </c>
      <c r="E27" s="14">
        <f t="shared" si="0"/>
        <v>3.2200000000000006</v>
      </c>
      <c r="F27" s="81">
        <f>+D27*'5. UTRs &amp; Sub Transmission'!$E$22</f>
        <v>590760.33115128276</v>
      </c>
      <c r="G27" s="2"/>
      <c r="H27" s="13">
        <v>200081.43859586757</v>
      </c>
      <c r="I27" s="14">
        <f t="shared" si="1"/>
        <v>0.79</v>
      </c>
      <c r="J27" s="16">
        <f>+H27*'5. UTRs &amp; Sub Transmission'!$E$24</f>
        <v>158064.33649073538</v>
      </c>
      <c r="K27" s="2"/>
      <c r="L27" s="13">
        <v>28555.965124542683</v>
      </c>
      <c r="M27" s="14">
        <f t="shared" si="2"/>
        <v>1.7699999999999998</v>
      </c>
      <c r="N27" s="15">
        <f>+L27*'5. UTRs &amp; Sub Transmission'!$E$26</f>
        <v>50544.058270440546</v>
      </c>
      <c r="O27" s="2"/>
      <c r="P27" s="17">
        <f t="shared" si="3"/>
        <v>208608.39476117594</v>
      </c>
      <c r="Q27" s="2"/>
    </row>
    <row r="28" spans="2:17" ht="15.75" x14ac:dyDescent="0.25">
      <c r="B28" s="12" t="s">
        <v>8</v>
      </c>
      <c r="C28" s="2"/>
      <c r="D28" s="13">
        <v>187321.66459532554</v>
      </c>
      <c r="E28" s="14">
        <f t="shared" si="0"/>
        <v>3.22</v>
      </c>
      <c r="F28" s="81">
        <f>+D28*'5. UTRs &amp; Sub Transmission'!$E$22</f>
        <v>603175.7599969483</v>
      </c>
      <c r="G28" s="2"/>
      <c r="H28" s="13">
        <v>196006.84862046517</v>
      </c>
      <c r="I28" s="14">
        <f t="shared" si="1"/>
        <v>0.79000000000000015</v>
      </c>
      <c r="J28" s="16">
        <f>+H28*'5. UTRs &amp; Sub Transmission'!$E$24</f>
        <v>154845.4104101675</v>
      </c>
      <c r="K28" s="2"/>
      <c r="L28" s="13">
        <v>25563.079332343477</v>
      </c>
      <c r="M28" s="14">
        <f t="shared" si="2"/>
        <v>1.77</v>
      </c>
      <c r="N28" s="15">
        <f>+L28*'5. UTRs &amp; Sub Transmission'!$E$26</f>
        <v>45246.650418247955</v>
      </c>
      <c r="O28" s="2"/>
      <c r="P28" s="17">
        <f t="shared" si="3"/>
        <v>200092.06082841544</v>
      </c>
      <c r="Q28" s="2"/>
    </row>
    <row r="29" spans="2:17" ht="15.75" x14ac:dyDescent="0.25">
      <c r="B29" s="12" t="s">
        <v>9</v>
      </c>
      <c r="C29" s="2"/>
      <c r="D29" s="13">
        <v>243543.60887452221</v>
      </c>
      <c r="E29" s="14">
        <f t="shared" si="0"/>
        <v>3.22</v>
      </c>
      <c r="F29" s="81">
        <f>+D29*'5. UTRs &amp; Sub Transmission'!$E$22</f>
        <v>784210.42057596159</v>
      </c>
      <c r="G29" s="2"/>
      <c r="H29" s="13">
        <v>245280.26846140975</v>
      </c>
      <c r="I29" s="14">
        <f t="shared" si="1"/>
        <v>0.79</v>
      </c>
      <c r="J29" s="16">
        <f>+H29*'5. UTRs &amp; Sub Transmission'!$E$24</f>
        <v>193771.41208451372</v>
      </c>
      <c r="K29" s="2"/>
      <c r="L29" s="13">
        <v>30366.666155383311</v>
      </c>
      <c r="M29" s="14">
        <f t="shared" si="2"/>
        <v>1.77</v>
      </c>
      <c r="N29" s="15">
        <f>+L29*'5. UTRs &amp; Sub Transmission'!$E$26</f>
        <v>53748.999095028463</v>
      </c>
      <c r="O29" s="2"/>
      <c r="P29" s="17">
        <f t="shared" si="3"/>
        <v>247520.41117954219</v>
      </c>
      <c r="Q29" s="2"/>
    </row>
    <row r="30" spans="2:17" ht="15.75" x14ac:dyDescent="0.25">
      <c r="B30" s="12" t="s">
        <v>10</v>
      </c>
      <c r="C30" s="2"/>
      <c r="D30" s="13">
        <v>199857.38215656474</v>
      </c>
      <c r="E30" s="14">
        <f t="shared" si="0"/>
        <v>3.22</v>
      </c>
      <c r="F30" s="81">
        <f>+D30*'5. UTRs &amp; Sub Transmission'!$E$22</f>
        <v>643540.7705441385</v>
      </c>
      <c r="G30" s="2"/>
      <c r="H30" s="13">
        <v>207878.93652312862</v>
      </c>
      <c r="I30" s="14">
        <f t="shared" si="1"/>
        <v>0.79</v>
      </c>
      <c r="J30" s="16">
        <f>+H30*'5. UTRs &amp; Sub Transmission'!$E$24</f>
        <v>164224.35985327163</v>
      </c>
      <c r="K30" s="2"/>
      <c r="L30" s="13">
        <v>26835.491551637486</v>
      </c>
      <c r="M30" s="14">
        <f t="shared" si="2"/>
        <v>1.77</v>
      </c>
      <c r="N30" s="15">
        <f>+L30*'5. UTRs &amp; Sub Transmission'!$E$26</f>
        <v>47498.820046398352</v>
      </c>
      <c r="O30" s="2"/>
      <c r="P30" s="17">
        <f t="shared" si="3"/>
        <v>211723.17989966998</v>
      </c>
      <c r="Q30" s="2"/>
    </row>
    <row r="31" spans="2:17" ht="15.75" x14ac:dyDescent="0.25">
      <c r="B31" s="12" t="s">
        <v>11</v>
      </c>
      <c r="C31" s="2"/>
      <c r="D31" s="13">
        <v>242802.8339457929</v>
      </c>
      <c r="E31" s="14">
        <f t="shared" si="0"/>
        <v>3.22</v>
      </c>
      <c r="F31" s="81">
        <f>+D31*'5. UTRs &amp; Sub Transmission'!$E$22</f>
        <v>781825.1253054532</v>
      </c>
      <c r="G31" s="2"/>
      <c r="H31" s="13">
        <v>250971.775495496</v>
      </c>
      <c r="I31" s="14">
        <f t="shared" si="1"/>
        <v>0.79</v>
      </c>
      <c r="J31" s="16">
        <f>+H31*'5. UTRs &amp; Sub Transmission'!$E$24</f>
        <v>198267.70264144184</v>
      </c>
      <c r="K31" s="2"/>
      <c r="L31" s="13">
        <v>29318.797268905892</v>
      </c>
      <c r="M31" s="14">
        <f t="shared" si="2"/>
        <v>1.77</v>
      </c>
      <c r="N31" s="15">
        <f>+L31*'5. UTRs &amp; Sub Transmission'!$E$26</f>
        <v>51894.27116596343</v>
      </c>
      <c r="O31" s="2"/>
      <c r="P31" s="17">
        <f t="shared" si="3"/>
        <v>250161.97380740527</v>
      </c>
      <c r="Q31" s="2"/>
    </row>
    <row r="32" spans="2:17" ht="15.75" x14ac:dyDescent="0.25">
      <c r="B32" s="12" t="s">
        <v>12</v>
      </c>
      <c r="C32" s="2"/>
      <c r="D32" s="13">
        <v>202315.68787572737</v>
      </c>
      <c r="E32" s="14">
        <f t="shared" si="0"/>
        <v>3.22</v>
      </c>
      <c r="F32" s="81">
        <f>+D32*'5. UTRs &amp; Sub Transmission'!$E$22</f>
        <v>651456.5149598422</v>
      </c>
      <c r="G32" s="2"/>
      <c r="H32" s="13">
        <v>214832.60265628895</v>
      </c>
      <c r="I32" s="14">
        <f t="shared" si="1"/>
        <v>0.79</v>
      </c>
      <c r="J32" s="16">
        <f>+H32*'5. UTRs &amp; Sub Transmission'!$E$24</f>
        <v>169717.75609846826</v>
      </c>
      <c r="K32" s="2"/>
      <c r="L32" s="13">
        <v>27431.197836415744</v>
      </c>
      <c r="M32" s="14">
        <f t="shared" si="2"/>
        <v>1.77</v>
      </c>
      <c r="N32" s="15">
        <f>+L32*'5. UTRs &amp; Sub Transmission'!$E$26</f>
        <v>48553.220170455868</v>
      </c>
      <c r="O32" s="2"/>
      <c r="P32" s="17">
        <f t="shared" si="3"/>
        <v>218270.97626892413</v>
      </c>
      <c r="Q32" s="2"/>
    </row>
    <row r="33" spans="2:17" ht="15.75" x14ac:dyDescent="0.25">
      <c r="B33" s="12" t="s">
        <v>13</v>
      </c>
      <c r="C33" s="2"/>
      <c r="D33" s="13">
        <v>194359.02641825398</v>
      </c>
      <c r="E33" s="14">
        <f t="shared" si="0"/>
        <v>3.22</v>
      </c>
      <c r="F33" s="81">
        <f>+D33*'5. UTRs &amp; Sub Transmission'!$E$22</f>
        <v>625836.06506677787</v>
      </c>
      <c r="G33" s="2"/>
      <c r="H33" s="13">
        <v>202064.39204640314</v>
      </c>
      <c r="I33" s="14">
        <f t="shared" si="1"/>
        <v>0.79</v>
      </c>
      <c r="J33" s="16">
        <f>+H33*'5. UTRs &amp; Sub Transmission'!$E$24</f>
        <v>159630.86971665849</v>
      </c>
      <c r="K33" s="2"/>
      <c r="L33" s="13">
        <v>28390.889889001719</v>
      </c>
      <c r="M33" s="14">
        <f t="shared" si="2"/>
        <v>1.77</v>
      </c>
      <c r="N33" s="15">
        <f>+L33*'5. UTRs &amp; Sub Transmission'!$E$26</f>
        <v>50251.875103533042</v>
      </c>
      <c r="O33" s="2"/>
      <c r="P33" s="17">
        <f t="shared" si="3"/>
        <v>209882.74482019152</v>
      </c>
      <c r="Q33" s="2"/>
    </row>
    <row r="34" spans="2:17" ht="15.75" x14ac:dyDescent="0.25">
      <c r="B34" s="12" t="s">
        <v>14</v>
      </c>
      <c r="C34" s="2"/>
      <c r="D34" s="13">
        <v>207820.19963837662</v>
      </c>
      <c r="E34" s="14">
        <f t="shared" si="0"/>
        <v>3.22</v>
      </c>
      <c r="F34" s="81">
        <f>+D34*'5. UTRs &amp; Sub Transmission'!$E$22</f>
        <v>669181.04283557273</v>
      </c>
      <c r="G34" s="2"/>
      <c r="H34" s="13">
        <v>213770.37940150363</v>
      </c>
      <c r="I34" s="14">
        <f t="shared" si="1"/>
        <v>0.78999999999999992</v>
      </c>
      <c r="J34" s="16">
        <f>+H34*'5. UTRs &amp; Sub Transmission'!$E$24</f>
        <v>168878.59972718786</v>
      </c>
      <c r="K34" s="2"/>
      <c r="L34" s="13">
        <v>30726.550675103052</v>
      </c>
      <c r="M34" s="14">
        <f t="shared" si="2"/>
        <v>1.77</v>
      </c>
      <c r="N34" s="15">
        <f>+L34*'5. UTRs &amp; Sub Transmission'!$E$26</f>
        <v>54385.9946949324</v>
      </c>
      <c r="O34" s="2"/>
      <c r="P34" s="17">
        <f t="shared" si="3"/>
        <v>223264.59442212025</v>
      </c>
      <c r="Q34" s="2"/>
    </row>
    <row r="35" spans="2:17" ht="15.75" x14ac:dyDescent="0.25">
      <c r="B35" s="12" t="s">
        <v>15</v>
      </c>
      <c r="C35" s="2"/>
      <c r="D35" s="13">
        <v>220775.55285868826</v>
      </c>
      <c r="E35" s="14">
        <f t="shared" si="0"/>
        <v>3.22</v>
      </c>
      <c r="F35" s="81">
        <f>+D35*'5. UTRs &amp; Sub Transmission'!$E$22</f>
        <v>710897.28020497621</v>
      </c>
      <c r="G35" s="2"/>
      <c r="H35" s="13">
        <v>223214.52843608632</v>
      </c>
      <c r="I35" s="14">
        <f t="shared" si="1"/>
        <v>0.79</v>
      </c>
      <c r="J35" s="16">
        <f>+H35*'5. UTRs &amp; Sub Transmission'!$E$24</f>
        <v>176339.47746450821</v>
      </c>
      <c r="K35" s="2"/>
      <c r="L35" s="13">
        <v>32206.075922839762</v>
      </c>
      <c r="M35" s="14">
        <f t="shared" si="2"/>
        <v>1.77</v>
      </c>
      <c r="N35" s="15">
        <f>+L35*'5. UTRs &amp; Sub Transmission'!$E$26</f>
        <v>57004.754383426378</v>
      </c>
      <c r="O35" s="2"/>
      <c r="P35" s="17">
        <f t="shared" si="3"/>
        <v>233344.2318479346</v>
      </c>
      <c r="Q35" s="2"/>
    </row>
    <row r="36" spans="2:17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9.5" thickBot="1" x14ac:dyDescent="0.35">
      <c r="B37" s="18" t="s">
        <v>16</v>
      </c>
      <c r="C37" s="2"/>
      <c r="D37" s="19">
        <f>SUM(D24:D35)</f>
        <v>2536781.6914254087</v>
      </c>
      <c r="E37" s="20">
        <f>IF(D37&lt;&gt;0,F37/D37,0)</f>
        <v>3.2200000000000006</v>
      </c>
      <c r="F37" s="21">
        <f>SUM(F24:F35)</f>
        <v>8168437.0463898182</v>
      </c>
      <c r="G37" s="2"/>
      <c r="H37" s="19">
        <f>SUM(H24:H35)</f>
        <v>2608963.8574358486</v>
      </c>
      <c r="I37" s="20">
        <f>IF(H37&lt;&gt;0,J37/H37,0)</f>
        <v>0.79000000000000015</v>
      </c>
      <c r="J37" s="21">
        <f>SUM(J24:J35)</f>
        <v>2061081.4473743208</v>
      </c>
      <c r="K37" s="2"/>
      <c r="L37" s="19">
        <f>SUM(L24:L35)</f>
        <v>354934.31327755511</v>
      </c>
      <c r="M37" s="20">
        <f>IF(L37&lt;&gt;0,N37/L37,0)</f>
        <v>1.7700000000000005</v>
      </c>
      <c r="N37" s="21">
        <f>SUM(N24:N35)</f>
        <v>628233.73450127267</v>
      </c>
      <c r="O37" s="2"/>
      <c r="P37" s="21">
        <f>SUM(P24:P35)</f>
        <v>2689315.181875593</v>
      </c>
      <c r="Q37" s="2"/>
    </row>
    <row r="38" spans="2:17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0.25" x14ac:dyDescent="0.3"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16.5" x14ac:dyDescent="0.3">
      <c r="B40" s="9"/>
      <c r="C40" s="10"/>
      <c r="D40" s="11"/>
      <c r="E40" s="11"/>
      <c r="F40" s="11"/>
      <c r="G40" s="10"/>
      <c r="H40" s="11"/>
      <c r="I40" s="11"/>
      <c r="J40" s="11"/>
      <c r="K40" s="10"/>
      <c r="L40" s="11"/>
      <c r="M40" s="11"/>
      <c r="N40" s="11"/>
      <c r="O40" s="10"/>
      <c r="P40" s="11"/>
      <c r="Q40" s="2"/>
    </row>
    <row r="41" spans="2:17" ht="33" x14ac:dyDescent="0.3">
      <c r="B41" s="9" t="s">
        <v>0</v>
      </c>
      <c r="C41" s="10"/>
      <c r="D41" s="11" t="s">
        <v>1</v>
      </c>
      <c r="E41" s="11" t="s">
        <v>2</v>
      </c>
      <c r="F41" s="11" t="s">
        <v>3</v>
      </c>
      <c r="G41" s="10"/>
      <c r="H41" s="11" t="s">
        <v>1</v>
      </c>
      <c r="I41" s="11" t="s">
        <v>2</v>
      </c>
      <c r="J41" s="11" t="s">
        <v>3</v>
      </c>
      <c r="K41" s="10"/>
      <c r="L41" s="11" t="s">
        <v>1</v>
      </c>
      <c r="M41" s="11" t="s">
        <v>2</v>
      </c>
      <c r="N41" s="11" t="s">
        <v>3</v>
      </c>
      <c r="O41" s="10"/>
      <c r="P41" s="11" t="s">
        <v>3</v>
      </c>
      <c r="Q41" s="2"/>
    </row>
    <row r="42" spans="2:17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ht="15.75" x14ac:dyDescent="0.25">
      <c r="B43" s="12" t="s">
        <v>4</v>
      </c>
      <c r="C43" s="2"/>
      <c r="D43" s="13">
        <v>5909.7833649318909</v>
      </c>
      <c r="E43" s="82">
        <f t="shared" ref="E43:E54" si="4">IF(D43&lt;&gt;0,F43/D43,0)</f>
        <v>2.6970000000000001</v>
      </c>
      <c r="F43" s="15">
        <f>(+'5. UTRs &amp; Sub Transmission'!$E$35+'5. UTRs &amp; Sub Transmission'!E49)*D43</f>
        <v>15938.68573522131</v>
      </c>
      <c r="G43" s="2"/>
      <c r="H43" s="13">
        <v>5905.7972466829142</v>
      </c>
      <c r="I43" s="82">
        <f t="shared" ref="I43:I54" si="5">IF(H43&lt;&gt;0,J43/H43,0)</f>
        <v>0.61499999999999999</v>
      </c>
      <c r="J43" s="15">
        <f>(+'5. UTRs &amp; Sub Transmission'!$E$37+'5. UTRs &amp; Sub Transmission'!E51)*H43</f>
        <v>3632.065306709992</v>
      </c>
      <c r="K43" s="2"/>
      <c r="L43" s="13">
        <v>5870.2788852994263</v>
      </c>
      <c r="M43" s="14">
        <f t="shared" ref="M43:M54" si="6">IF(L43&lt;&gt;0,N43/L43,0)</f>
        <v>1.5</v>
      </c>
      <c r="N43" s="15">
        <f>+L43*'5. UTRs &amp; Sub Transmission'!$E$39</f>
        <v>8805.418327949139</v>
      </c>
      <c r="O43" s="2"/>
      <c r="P43" s="17">
        <f t="shared" ref="P43:P54" si="7">J43+N43</f>
        <v>12437.483634659131</v>
      </c>
      <c r="Q43" s="2"/>
    </row>
    <row r="44" spans="2:17" ht="15.75" x14ac:dyDescent="0.25">
      <c r="B44" s="12" t="s">
        <v>5</v>
      </c>
      <c r="C44" s="2"/>
      <c r="D44" s="13">
        <v>5506.563770762059</v>
      </c>
      <c r="E44" s="82">
        <f t="shared" si="4"/>
        <v>2.6970000000000001</v>
      </c>
      <c r="F44" s="15">
        <f>(+'5. UTRs &amp; Sub Transmission'!$E$35+'5. UTRs &amp; Sub Transmission'!E49)*D44</f>
        <v>14851.202489745274</v>
      </c>
      <c r="G44" s="2"/>
      <c r="H44" s="13">
        <v>5758.1523155158411</v>
      </c>
      <c r="I44" s="82">
        <f t="shared" si="5"/>
        <v>0.61499999999999999</v>
      </c>
      <c r="J44" s="15">
        <f>(+'5. UTRs &amp; Sub Transmission'!$E$37+'5. UTRs &amp; Sub Transmission'!E51)*H44</f>
        <v>3541.2636740422422</v>
      </c>
      <c r="K44" s="2"/>
      <c r="L44" s="13">
        <v>5723.521913166941</v>
      </c>
      <c r="M44" s="14">
        <f t="shared" si="6"/>
        <v>1.5</v>
      </c>
      <c r="N44" s="15">
        <f>+L44*'5. UTRs &amp; Sub Transmission'!$E$39</f>
        <v>8585.2828697504119</v>
      </c>
      <c r="O44" s="2"/>
      <c r="P44" s="17">
        <f t="shared" si="7"/>
        <v>12126.546543792654</v>
      </c>
      <c r="Q44" s="2"/>
    </row>
    <row r="45" spans="2:17" ht="15.75" x14ac:dyDescent="0.25">
      <c r="B45" s="12" t="s">
        <v>6</v>
      </c>
      <c r="C45" s="2"/>
      <c r="D45" s="13">
        <v>5138.2283145102274</v>
      </c>
      <c r="E45" s="82">
        <f t="shared" si="4"/>
        <v>2.6970000000000001</v>
      </c>
      <c r="F45" s="15">
        <f>(+'5. UTRs &amp; Sub Transmission'!$E$35+'5. UTRs &amp; Sub Transmission'!E49)*D45</f>
        <v>13857.801764234084</v>
      </c>
      <c r="G45" s="2"/>
      <c r="H45" s="13">
        <v>5134.7626061437559</v>
      </c>
      <c r="I45" s="82">
        <f t="shared" si="5"/>
        <v>0.61499999999999999</v>
      </c>
      <c r="J45" s="15">
        <f>(+'5. UTRs &amp; Sub Transmission'!$E$37+'5. UTRs &amp; Sub Transmission'!E51)*H45</f>
        <v>3157.8790027784098</v>
      </c>
      <c r="K45" s="2"/>
      <c r="L45" s="13">
        <v>5103.8813641631123</v>
      </c>
      <c r="M45" s="14">
        <f t="shared" si="6"/>
        <v>1.5</v>
      </c>
      <c r="N45" s="15">
        <f>+L45*'5. UTRs &amp; Sub Transmission'!$E$39</f>
        <v>7655.8220462446679</v>
      </c>
      <c r="O45" s="2"/>
      <c r="P45" s="17">
        <f t="shared" si="7"/>
        <v>10813.701049023079</v>
      </c>
      <c r="Q45" s="2"/>
    </row>
    <row r="46" spans="2:17" ht="15.75" x14ac:dyDescent="0.25">
      <c r="B46" s="12" t="s">
        <v>7</v>
      </c>
      <c r="C46" s="2"/>
      <c r="D46" s="13">
        <v>4762.7108298635139</v>
      </c>
      <c r="E46" s="82">
        <f t="shared" si="4"/>
        <v>2.6970000000000001</v>
      </c>
      <c r="F46" s="15">
        <f>(+'5. UTRs &amp; Sub Transmission'!$E$35+'5. UTRs &amp; Sub Transmission'!E49)*D46</f>
        <v>12845.031108141897</v>
      </c>
      <c r="G46" s="2"/>
      <c r="H46" s="13">
        <v>4759.4984060941124</v>
      </c>
      <c r="I46" s="82">
        <f t="shared" si="5"/>
        <v>0.61499999999999999</v>
      </c>
      <c r="J46" s="15">
        <f>(+'5. UTRs &amp; Sub Transmission'!$E$37+'5. UTRs &amp; Sub Transmission'!E51)*H46</f>
        <v>2927.0915197478789</v>
      </c>
      <c r="K46" s="2"/>
      <c r="L46" s="13">
        <v>4730.8740599930443</v>
      </c>
      <c r="M46" s="14">
        <f t="shared" si="6"/>
        <v>1.5</v>
      </c>
      <c r="N46" s="15">
        <f>+L46*'5. UTRs &amp; Sub Transmission'!$E$39</f>
        <v>7096.3110899895664</v>
      </c>
      <c r="O46" s="2"/>
      <c r="P46" s="17">
        <f t="shared" si="7"/>
        <v>10023.402609737444</v>
      </c>
      <c r="Q46" s="2"/>
    </row>
    <row r="47" spans="2:17" ht="15.75" x14ac:dyDescent="0.25">
      <c r="B47" s="12" t="s">
        <v>8</v>
      </c>
      <c r="C47" s="2"/>
      <c r="D47" s="13">
        <v>4061.9500593342632</v>
      </c>
      <c r="E47" s="82">
        <f t="shared" si="4"/>
        <v>2.6970000000000001</v>
      </c>
      <c r="F47" s="15">
        <f>(+'5. UTRs &amp; Sub Transmission'!$E$35+'5. UTRs &amp; Sub Transmission'!E49)*D47</f>
        <v>10955.079310024508</v>
      </c>
      <c r="G47" s="2"/>
      <c r="H47" s="13">
        <v>4059.2102950725102</v>
      </c>
      <c r="I47" s="82">
        <f t="shared" si="5"/>
        <v>0.61499999999999999</v>
      </c>
      <c r="J47" s="15">
        <f>(+'5. UTRs &amp; Sub Transmission'!$E$37+'5. UTRs &amp; Sub Transmission'!E51)*H47</f>
        <v>2496.4143314695939</v>
      </c>
      <c r="K47" s="2"/>
      <c r="L47" s="13">
        <v>4034.7975880035469</v>
      </c>
      <c r="M47" s="14">
        <f t="shared" si="6"/>
        <v>1.5</v>
      </c>
      <c r="N47" s="15">
        <f>+L47*'5. UTRs &amp; Sub Transmission'!$E$39</f>
        <v>6052.1963820053206</v>
      </c>
      <c r="O47" s="2"/>
      <c r="P47" s="17">
        <f t="shared" si="7"/>
        <v>8548.6107134749145</v>
      </c>
      <c r="Q47" s="2"/>
    </row>
    <row r="48" spans="2:17" ht="15.75" x14ac:dyDescent="0.25">
      <c r="B48" s="12" t="s">
        <v>9</v>
      </c>
      <c r="C48" s="2"/>
      <c r="D48" s="13">
        <v>5464.4976044491759</v>
      </c>
      <c r="E48" s="82">
        <f t="shared" si="4"/>
        <v>2.6970000000000001</v>
      </c>
      <c r="F48" s="15">
        <f>(+'5. UTRs &amp; Sub Transmission'!$E$35+'5. UTRs &amp; Sub Transmission'!E49)*D48</f>
        <v>14737.750039199427</v>
      </c>
      <c r="G48" s="2"/>
      <c r="H48" s="13">
        <v>5462.8624531816959</v>
      </c>
      <c r="I48" s="82">
        <f t="shared" si="5"/>
        <v>0.61499999999999999</v>
      </c>
      <c r="J48" s="15">
        <f>(+'5. UTRs &amp; Sub Transmission'!$E$37+'5. UTRs &amp; Sub Transmission'!E51)*H48</f>
        <v>3359.6604087067431</v>
      </c>
      <c r="K48" s="2"/>
      <c r="L48" s="13">
        <v>5430.0079689019694</v>
      </c>
      <c r="M48" s="14">
        <f t="shared" si="6"/>
        <v>1.5</v>
      </c>
      <c r="N48" s="15">
        <f>+L48*'5. UTRs &amp; Sub Transmission'!$E$39</f>
        <v>8145.0119533529542</v>
      </c>
      <c r="O48" s="2"/>
      <c r="P48" s="17">
        <f t="shared" si="7"/>
        <v>11504.672362059697</v>
      </c>
      <c r="Q48" s="2"/>
    </row>
    <row r="49" spans="2:17" ht="15.75" x14ac:dyDescent="0.25">
      <c r="B49" s="12" t="s">
        <v>10</v>
      </c>
      <c r="C49" s="2"/>
      <c r="D49" s="13">
        <v>5310.5969959874074</v>
      </c>
      <c r="E49" s="82">
        <f t="shared" si="4"/>
        <v>2.6970000000000001</v>
      </c>
      <c r="F49" s="15">
        <f>(+'5. UTRs &amp; Sub Transmission'!$E$35+'5. UTRs &amp; Sub Transmission'!E49)*D49</f>
        <v>14322.680098178038</v>
      </c>
      <c r="G49" s="2"/>
      <c r="H49" s="13">
        <v>5307.0150258386748</v>
      </c>
      <c r="I49" s="82">
        <f t="shared" si="5"/>
        <v>0.61499999999999999</v>
      </c>
      <c r="J49" s="15">
        <f>(+'5. UTRs &amp; Sub Transmission'!$E$37+'5. UTRs &amp; Sub Transmission'!E51)*H49</f>
        <v>3263.8142408907847</v>
      </c>
      <c r="K49" s="2"/>
      <c r="L49" s="13">
        <v>5275.0978316510127</v>
      </c>
      <c r="M49" s="14">
        <f t="shared" si="6"/>
        <v>1.5</v>
      </c>
      <c r="N49" s="15">
        <f>+L49*'5. UTRs &amp; Sub Transmission'!$E$39</f>
        <v>7912.6467474765195</v>
      </c>
      <c r="O49" s="2"/>
      <c r="P49" s="17">
        <f t="shared" si="7"/>
        <v>11176.460988367304</v>
      </c>
      <c r="Q49" s="2"/>
    </row>
    <row r="50" spans="2:17" ht="15.75" x14ac:dyDescent="0.25">
      <c r="B50" s="12" t="s">
        <v>11</v>
      </c>
      <c r="C50" s="2"/>
      <c r="D50" s="13">
        <v>5553.7599573570005</v>
      </c>
      <c r="E50" s="82">
        <f t="shared" si="4"/>
        <v>2.6970000000000001</v>
      </c>
      <c r="F50" s="15">
        <f>(+'5. UTRs &amp; Sub Transmission'!$E$35+'5. UTRs &amp; Sub Transmission'!E49)*D50</f>
        <v>14978.49060499183</v>
      </c>
      <c r="G50" s="2"/>
      <c r="H50" s="13">
        <v>5550.013975051148</v>
      </c>
      <c r="I50" s="82">
        <f t="shared" si="5"/>
        <v>0.61499999999999999</v>
      </c>
      <c r="J50" s="15">
        <f>(+'5. UTRs &amp; Sub Transmission'!$E$37+'5. UTRs &amp; Sub Transmission'!E51)*H50</f>
        <v>3413.2585946564559</v>
      </c>
      <c r="K50" s="2"/>
      <c r="L50" s="13">
        <v>5516.6353482857285</v>
      </c>
      <c r="M50" s="14">
        <f t="shared" si="6"/>
        <v>1.4999999999999998</v>
      </c>
      <c r="N50" s="15">
        <f>+L50*'5. UTRs &amp; Sub Transmission'!$E$39</f>
        <v>8274.9530224285918</v>
      </c>
      <c r="O50" s="2"/>
      <c r="P50" s="17">
        <f t="shared" si="7"/>
        <v>11688.211617085048</v>
      </c>
      <c r="Q50" s="2"/>
    </row>
    <row r="51" spans="2:17" ht="15.75" x14ac:dyDescent="0.25">
      <c r="B51" s="12" t="s">
        <v>12</v>
      </c>
      <c r="C51" s="2"/>
      <c r="D51" s="13">
        <v>4349.2311951295633</v>
      </c>
      <c r="E51" s="82">
        <f t="shared" si="4"/>
        <v>2.6970000000000001</v>
      </c>
      <c r="F51" s="15">
        <f>(+'5. UTRs &amp; Sub Transmission'!$E$35+'5. UTRs &amp; Sub Transmission'!E49)*D51</f>
        <v>11729.876533264433</v>
      </c>
      <c r="G51" s="2"/>
      <c r="H51" s="13">
        <v>4381.1582699784885</v>
      </c>
      <c r="I51" s="82">
        <f t="shared" si="5"/>
        <v>0.61499999999999999</v>
      </c>
      <c r="J51" s="15">
        <f>(+'5. UTRs &amp; Sub Transmission'!$E$37+'5. UTRs &amp; Sub Transmission'!E51)*H51</f>
        <v>2694.4123360367703</v>
      </c>
      <c r="K51" s="2"/>
      <c r="L51" s="13">
        <v>4354.8093189035499</v>
      </c>
      <c r="M51" s="14">
        <f t="shared" si="6"/>
        <v>1.5</v>
      </c>
      <c r="N51" s="15">
        <f>+L51*'5. UTRs &amp; Sub Transmission'!$E$39</f>
        <v>6532.2139783553248</v>
      </c>
      <c r="O51" s="2"/>
      <c r="P51" s="17">
        <f t="shared" si="7"/>
        <v>9226.6263143920951</v>
      </c>
      <c r="Q51" s="2"/>
    </row>
    <row r="52" spans="2:17" ht="15.75" x14ac:dyDescent="0.25">
      <c r="B52" s="12" t="s">
        <v>13</v>
      </c>
      <c r="C52" s="2"/>
      <c r="D52" s="13">
        <v>4656.0064079966878</v>
      </c>
      <c r="E52" s="82">
        <f t="shared" si="4"/>
        <v>2.6970000000000001</v>
      </c>
      <c r="F52" s="15">
        <f>(+'5. UTRs &amp; Sub Transmission'!$E$35+'5. UTRs &amp; Sub Transmission'!E49)*D52</f>
        <v>12557.249282367067</v>
      </c>
      <c r="G52" s="2"/>
      <c r="H52" s="13">
        <v>4652.865955806782</v>
      </c>
      <c r="I52" s="82">
        <f t="shared" si="5"/>
        <v>0.61499999999999999</v>
      </c>
      <c r="J52" s="15">
        <f>(+'5. UTRs &amp; Sub Transmission'!$E$37+'5. UTRs &amp; Sub Transmission'!E51)*H52</f>
        <v>2861.5125628211708</v>
      </c>
      <c r="K52" s="2"/>
      <c r="L52" s="13">
        <v>4624.882913452916</v>
      </c>
      <c r="M52" s="14">
        <f t="shared" si="6"/>
        <v>1.5</v>
      </c>
      <c r="N52" s="15">
        <f>+L52*'5. UTRs &amp; Sub Transmission'!$E$39</f>
        <v>6937.3243701793745</v>
      </c>
      <c r="O52" s="2"/>
      <c r="P52" s="17">
        <f t="shared" si="7"/>
        <v>9798.8369330005444</v>
      </c>
      <c r="Q52" s="2"/>
    </row>
    <row r="53" spans="2:17" ht="15.75" x14ac:dyDescent="0.25">
      <c r="B53" s="12" t="s">
        <v>14</v>
      </c>
      <c r="C53" s="2"/>
      <c r="D53" s="13">
        <v>5336.2470973977024</v>
      </c>
      <c r="E53" s="82">
        <f t="shared" si="4"/>
        <v>2.6970000000000001</v>
      </c>
      <c r="F53" s="15">
        <f>(+'5. UTRs &amp; Sub Transmission'!$E$35+'5. UTRs &amp; Sub Transmission'!E49)*D53</f>
        <v>14391.858421681603</v>
      </c>
      <c r="G53" s="2"/>
      <c r="H53" s="13">
        <v>5332.6478263885137</v>
      </c>
      <c r="I53" s="82">
        <f t="shared" si="5"/>
        <v>0.61499999999999999</v>
      </c>
      <c r="J53" s="15">
        <f>(+'5. UTRs &amp; Sub Transmission'!$E$37+'5. UTRs &amp; Sub Transmission'!E51)*H53</f>
        <v>3279.5784132289359</v>
      </c>
      <c r="K53" s="2"/>
      <c r="L53" s="13">
        <v>5300.5764726462357</v>
      </c>
      <c r="M53" s="14">
        <f t="shared" si="6"/>
        <v>1.5</v>
      </c>
      <c r="N53" s="15">
        <f>+L53*'5. UTRs &amp; Sub Transmission'!$E$39</f>
        <v>7950.8647089693532</v>
      </c>
      <c r="O53" s="2"/>
      <c r="P53" s="17">
        <f t="shared" si="7"/>
        <v>11230.443122198289</v>
      </c>
      <c r="Q53" s="2"/>
    </row>
    <row r="54" spans="2:17" ht="15.75" x14ac:dyDescent="0.25">
      <c r="B54" s="12" t="s">
        <v>15</v>
      </c>
      <c r="C54" s="2"/>
      <c r="D54" s="13">
        <v>6031.8778476448933</v>
      </c>
      <c r="E54" s="82">
        <f t="shared" si="4"/>
        <v>2.6970000000000001</v>
      </c>
      <c r="F54" s="15">
        <f>(+'5. UTRs &amp; Sub Transmission'!$E$35+'5. UTRs &amp; Sub Transmission'!E49)*D54</f>
        <v>16267.974555098277</v>
      </c>
      <c r="G54" s="2"/>
      <c r="H54" s="13">
        <v>6027.8093773001483</v>
      </c>
      <c r="I54" s="82">
        <f t="shared" si="5"/>
        <v>0.61499999999999999</v>
      </c>
      <c r="J54" s="15">
        <f>(+'5. UTRs &amp; Sub Transmission'!$E$37+'5. UTRs &amp; Sub Transmission'!E51)*H54</f>
        <v>3707.1027670395911</v>
      </c>
      <c r="K54" s="2"/>
      <c r="L54" s="13">
        <v>5991.5572164366886</v>
      </c>
      <c r="M54" s="14">
        <f t="shared" si="6"/>
        <v>1.5</v>
      </c>
      <c r="N54" s="15">
        <f>+L54*'5. UTRs &amp; Sub Transmission'!$E$39</f>
        <v>8987.3358246550324</v>
      </c>
      <c r="O54" s="2"/>
      <c r="P54" s="17">
        <f t="shared" si="7"/>
        <v>12694.438591694623</v>
      </c>
      <c r="Q54" s="2"/>
    </row>
    <row r="55" spans="2:17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19.5" thickBot="1" x14ac:dyDescent="0.35">
      <c r="B56" s="18" t="s">
        <v>16</v>
      </c>
      <c r="C56" s="2"/>
      <c r="D56" s="19">
        <f>SUM(D43:D54)</f>
        <v>62081.453445364386</v>
      </c>
      <c r="E56" s="20">
        <f>IF(D56&lt;&gt;0,F56/D56,0)</f>
        <v>2.6970000000000001</v>
      </c>
      <c r="F56" s="21">
        <f>SUM(F43:F54)</f>
        <v>167433.67994214775</v>
      </c>
      <c r="G56" s="2"/>
      <c r="H56" s="19">
        <f>SUM(H43:H54)</f>
        <v>62331.79375305459</v>
      </c>
      <c r="I56" s="20">
        <f>IF(H56&lt;&gt;0,J56/H56,0)</f>
        <v>0.61499999999999999</v>
      </c>
      <c r="J56" s="21">
        <f>SUM(J43:J54)</f>
        <v>38334.053158128569</v>
      </c>
      <c r="K56" s="2"/>
      <c r="L56" s="19">
        <f>SUM(L43:L54)</f>
        <v>61956.920880904174</v>
      </c>
      <c r="M56" s="20">
        <f>IF(L56&lt;&gt;0,N56/L56,0)</f>
        <v>1.4999999999999998</v>
      </c>
      <c r="N56" s="21">
        <f>SUM(N43:N54)</f>
        <v>92935.381321356253</v>
      </c>
      <c r="O56" s="2"/>
      <c r="P56" s="21">
        <f>SUM(P43:P54)</f>
        <v>131269.43447948483</v>
      </c>
      <c r="Q56" s="2"/>
    </row>
    <row r="57" spans="2:17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ht="13.5" thickBo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12.75" customHeight="1" x14ac:dyDescent="0.2">
      <c r="B59" s="134" t="s">
        <v>17</v>
      </c>
      <c r="C59" s="13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2.75" customHeight="1" x14ac:dyDescent="0.2">
      <c r="B60" s="136"/>
      <c r="C60" s="13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ht="12.75" customHeight="1" thickBot="1" x14ac:dyDescent="0.25">
      <c r="B61" s="138"/>
      <c r="C61" s="13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33" x14ac:dyDescent="0.3">
      <c r="B62" s="9" t="s">
        <v>0</v>
      </c>
      <c r="C62" s="10"/>
      <c r="D62" s="11" t="s">
        <v>1</v>
      </c>
      <c r="E62" s="11" t="s">
        <v>2</v>
      </c>
      <c r="F62" s="11" t="s">
        <v>3</v>
      </c>
      <c r="G62" s="10"/>
      <c r="H62" s="11" t="s">
        <v>1</v>
      </c>
      <c r="I62" s="11" t="s">
        <v>2</v>
      </c>
      <c r="J62" s="11" t="s">
        <v>3</v>
      </c>
      <c r="K62" s="10"/>
      <c r="L62" s="11" t="s">
        <v>1</v>
      </c>
      <c r="M62" s="11" t="s">
        <v>2</v>
      </c>
      <c r="N62" s="11" t="s">
        <v>3</v>
      </c>
      <c r="O62" s="10"/>
      <c r="P62" s="11" t="s">
        <v>3</v>
      </c>
      <c r="Q62" s="2"/>
    </row>
    <row r="63" spans="2:17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15.75" x14ac:dyDescent="0.25">
      <c r="B64" s="12" t="s">
        <v>4</v>
      </c>
      <c r="C64" s="2"/>
      <c r="D64" s="13">
        <v>5110.2184037701854</v>
      </c>
      <c r="E64" s="83">
        <f t="shared" ref="E64:E75" si="8">IF(D64&lt;&gt;0,F64/D64,0)</f>
        <v>2.2864</v>
      </c>
      <c r="F64" s="15">
        <f>+D64*'5. UTRs &amp; Sub Transmission'!$E$70</f>
        <v>11684.003358380152</v>
      </c>
      <c r="G64" s="2"/>
      <c r="H64" s="13">
        <v>5106.7715879433317</v>
      </c>
      <c r="I64" s="83">
        <f t="shared" ref="I64:I75" si="9">IF(H64&lt;&gt;0,J64/H64,0)</f>
        <v>0.60440000000000005</v>
      </c>
      <c r="J64" s="15">
        <f>+H64*'5. UTRs &amp; Sub Transmission'!$E$72</f>
        <v>3086.5327477529499</v>
      </c>
      <c r="K64" s="2"/>
      <c r="L64" s="13"/>
      <c r="M64" s="14">
        <f t="shared" ref="M64:M75" si="10">IF(L64&lt;&gt;0,N64/L64,0)</f>
        <v>0</v>
      </c>
      <c r="N64" s="15"/>
      <c r="O64" s="2"/>
      <c r="P64" s="17">
        <f t="shared" ref="P64:P75" si="11">J64+N64</f>
        <v>3086.5327477529499</v>
      </c>
      <c r="Q64" s="2"/>
    </row>
    <row r="65" spans="2:17" ht="15.75" x14ac:dyDescent="0.25">
      <c r="B65" s="12" t="s">
        <v>5</v>
      </c>
      <c r="C65" s="2"/>
      <c r="D65" s="13">
        <v>4893.3006261636056</v>
      </c>
      <c r="E65" s="83">
        <f t="shared" si="8"/>
        <v>2.2864</v>
      </c>
      <c r="F65" s="15">
        <f>+D65*'5. UTRs &amp; Sub Transmission'!$E$70</f>
        <v>11188.042551660468</v>
      </c>
      <c r="G65" s="2"/>
      <c r="H65" s="13">
        <v>4890.5640418655494</v>
      </c>
      <c r="I65" s="83">
        <f t="shared" si="9"/>
        <v>0.60440000000000005</v>
      </c>
      <c r="J65" s="15">
        <f>+H65*'5. UTRs &amp; Sub Transmission'!$E$72</f>
        <v>2955.8569069035384</v>
      </c>
      <c r="K65" s="2"/>
      <c r="L65" s="13"/>
      <c r="M65" s="14">
        <f t="shared" si="10"/>
        <v>0</v>
      </c>
      <c r="N65" s="15"/>
      <c r="O65" s="2"/>
      <c r="P65" s="17">
        <f t="shared" si="11"/>
        <v>2955.8569069035384</v>
      </c>
      <c r="Q65" s="2"/>
    </row>
    <row r="66" spans="2:17" ht="15.75" x14ac:dyDescent="0.25">
      <c r="B66" s="12" t="s">
        <v>6</v>
      </c>
      <c r="C66" s="2"/>
      <c r="D66" s="13">
        <v>4776.0694026779956</v>
      </c>
      <c r="E66" s="83">
        <f t="shared" si="8"/>
        <v>2.2864</v>
      </c>
      <c r="F66" s="15">
        <f>+D66*'5. UTRs &amp; Sub Transmission'!$E$70</f>
        <v>10920.005082282969</v>
      </c>
      <c r="G66" s="2"/>
      <c r="H66" s="13">
        <v>4918.8626536725724</v>
      </c>
      <c r="I66" s="83">
        <f t="shared" si="9"/>
        <v>0.60440000000000005</v>
      </c>
      <c r="J66" s="15">
        <f>+H66*'5. UTRs &amp; Sub Transmission'!$E$72</f>
        <v>2972.9605878797029</v>
      </c>
      <c r="K66" s="2"/>
      <c r="L66" s="13"/>
      <c r="M66" s="14">
        <f t="shared" si="10"/>
        <v>0</v>
      </c>
      <c r="N66" s="15"/>
      <c r="O66" s="2"/>
      <c r="P66" s="17">
        <f t="shared" si="11"/>
        <v>2972.9605878797029</v>
      </c>
      <c r="Q66" s="2"/>
    </row>
    <row r="67" spans="2:17" ht="15.75" x14ac:dyDescent="0.25">
      <c r="B67" s="12" t="s">
        <v>7</v>
      </c>
      <c r="C67" s="2"/>
      <c r="D67" s="13">
        <v>3980.6187177825009</v>
      </c>
      <c r="E67" s="83">
        <f t="shared" si="8"/>
        <v>2.2864</v>
      </c>
      <c r="F67" s="15">
        <f>+D67*'5. UTRs &amp; Sub Transmission'!$E$70</f>
        <v>9101.2866363379107</v>
      </c>
      <c r="G67" s="2"/>
      <c r="H67" s="13">
        <v>3977.9338110890803</v>
      </c>
      <c r="I67" s="83">
        <f t="shared" si="9"/>
        <v>0.60440000000000005</v>
      </c>
      <c r="J67" s="15">
        <f>+H67*'5. UTRs &amp; Sub Transmission'!$E$72</f>
        <v>2404.2631954222402</v>
      </c>
      <c r="K67" s="2"/>
      <c r="L67" s="13"/>
      <c r="M67" s="14">
        <f t="shared" si="10"/>
        <v>0</v>
      </c>
      <c r="N67" s="15"/>
      <c r="O67" s="2"/>
      <c r="P67" s="17">
        <f t="shared" si="11"/>
        <v>2404.2631954222402</v>
      </c>
      <c r="Q67" s="2"/>
    </row>
    <row r="68" spans="2:17" ht="15.75" x14ac:dyDescent="0.25">
      <c r="B68" s="12" t="s">
        <v>8</v>
      </c>
      <c r="C68" s="2"/>
      <c r="D68" s="13">
        <v>3611.0725767441036</v>
      </c>
      <c r="E68" s="83">
        <f t="shared" si="8"/>
        <v>2.2864</v>
      </c>
      <c r="F68" s="15">
        <f>+D68*'5. UTRs &amp; Sub Transmission'!$E$70</f>
        <v>8256.3563394677185</v>
      </c>
      <c r="G68" s="2"/>
      <c r="H68" s="13">
        <v>3608.6369270074397</v>
      </c>
      <c r="I68" s="83">
        <f t="shared" si="9"/>
        <v>0.60440000000000005</v>
      </c>
      <c r="J68" s="15">
        <f>+H68*'5. UTRs &amp; Sub Transmission'!$E$72</f>
        <v>2181.0601586832968</v>
      </c>
      <c r="K68" s="2"/>
      <c r="L68" s="13"/>
      <c r="M68" s="14">
        <f t="shared" si="10"/>
        <v>0</v>
      </c>
      <c r="N68" s="15"/>
      <c r="O68" s="2"/>
      <c r="P68" s="17">
        <f t="shared" si="11"/>
        <v>2181.0601586832968</v>
      </c>
      <c r="Q68" s="2"/>
    </row>
    <row r="69" spans="2:17" ht="15.75" x14ac:dyDescent="0.25">
      <c r="B69" s="12" t="s">
        <v>9</v>
      </c>
      <c r="C69" s="2"/>
      <c r="D69" s="13">
        <v>4898.9641685549987</v>
      </c>
      <c r="E69" s="83">
        <f t="shared" si="8"/>
        <v>2.2864</v>
      </c>
      <c r="F69" s="15">
        <f>+D69*'5. UTRs &amp; Sub Transmission'!$E$70</f>
        <v>11200.991674984149</v>
      </c>
      <c r="G69" s="2"/>
      <c r="H69" s="13">
        <v>4895.6598426148576</v>
      </c>
      <c r="I69" s="83">
        <f t="shared" si="9"/>
        <v>0.60440000000000005</v>
      </c>
      <c r="J69" s="15">
        <f>+H69*'5. UTRs &amp; Sub Transmission'!$E$72</f>
        <v>2958.9368088764199</v>
      </c>
      <c r="K69" s="2"/>
      <c r="L69" s="13"/>
      <c r="M69" s="14">
        <f t="shared" si="10"/>
        <v>0</v>
      </c>
      <c r="N69" s="15"/>
      <c r="O69" s="2"/>
      <c r="P69" s="17">
        <f t="shared" si="11"/>
        <v>2958.9368088764199</v>
      </c>
      <c r="Q69" s="2"/>
    </row>
    <row r="70" spans="2:17" ht="15.75" x14ac:dyDescent="0.25">
      <c r="B70" s="12" t="s">
        <v>10</v>
      </c>
      <c r="C70" s="2"/>
      <c r="D70" s="13">
        <v>4177.9911181144362</v>
      </c>
      <c r="E70" s="83">
        <f t="shared" si="8"/>
        <v>2.2864</v>
      </c>
      <c r="F70" s="15">
        <f>+D70*'5. UTRs &amp; Sub Transmission'!$E$70</f>
        <v>9552.5588924568474</v>
      </c>
      <c r="G70" s="2"/>
      <c r="H70" s="13">
        <v>4175.173084759982</v>
      </c>
      <c r="I70" s="83">
        <f t="shared" si="9"/>
        <v>0.60440000000000005</v>
      </c>
      <c r="J70" s="15">
        <f>+H70*'5. UTRs &amp; Sub Transmission'!$E$72</f>
        <v>2523.4746124289331</v>
      </c>
      <c r="K70" s="2"/>
      <c r="L70" s="13"/>
      <c r="M70" s="14">
        <f t="shared" si="10"/>
        <v>0</v>
      </c>
      <c r="N70" s="15"/>
      <c r="O70" s="2"/>
      <c r="P70" s="17">
        <f t="shared" si="11"/>
        <v>2523.4746124289331</v>
      </c>
      <c r="Q70" s="2"/>
    </row>
    <row r="71" spans="2:17" ht="15.75" x14ac:dyDescent="0.25">
      <c r="B71" s="12" t="s">
        <v>11</v>
      </c>
      <c r="C71" s="2"/>
      <c r="D71" s="13">
        <v>4361.4919436036844</v>
      </c>
      <c r="E71" s="83">
        <f t="shared" si="8"/>
        <v>2.2864</v>
      </c>
      <c r="F71" s="15">
        <f>+D71*'5. UTRs &amp; Sub Transmission'!$E$70</f>
        <v>9972.1151798554638</v>
      </c>
      <c r="G71" s="2"/>
      <c r="H71" s="13">
        <v>4358.5501398935303</v>
      </c>
      <c r="I71" s="83">
        <f t="shared" si="9"/>
        <v>0.60440000000000005</v>
      </c>
      <c r="J71" s="15">
        <f>+H71*'5. UTRs &amp; Sub Transmission'!$E$72</f>
        <v>2634.3077045516497</v>
      </c>
      <c r="K71" s="2"/>
      <c r="L71" s="13"/>
      <c r="M71" s="14">
        <f t="shared" si="10"/>
        <v>0</v>
      </c>
      <c r="N71" s="15"/>
      <c r="O71" s="2"/>
      <c r="P71" s="17">
        <f t="shared" si="11"/>
        <v>2634.3077045516497</v>
      </c>
      <c r="Q71" s="2"/>
    </row>
    <row r="72" spans="2:17" ht="15.75" x14ac:dyDescent="0.25">
      <c r="B72" s="12" t="s">
        <v>12</v>
      </c>
      <c r="C72" s="2"/>
      <c r="D72" s="13">
        <v>3068.2240905371914</v>
      </c>
      <c r="E72" s="83">
        <f t="shared" si="8"/>
        <v>2.2864</v>
      </c>
      <c r="F72" s="15">
        <f>+D72*'5. UTRs &amp; Sub Transmission'!$E$70</f>
        <v>7015.187560604234</v>
      </c>
      <c r="G72" s="2"/>
      <c r="H72" s="13">
        <v>3067.2824325150586</v>
      </c>
      <c r="I72" s="83">
        <f t="shared" si="9"/>
        <v>0.60440000000000005</v>
      </c>
      <c r="J72" s="15">
        <f>+H72*'5. UTRs &amp; Sub Transmission'!$E$72</f>
        <v>1853.8655022121015</v>
      </c>
      <c r="K72" s="2"/>
      <c r="L72" s="13"/>
      <c r="M72" s="14">
        <f t="shared" si="10"/>
        <v>0</v>
      </c>
      <c r="N72" s="15"/>
      <c r="O72" s="2"/>
      <c r="P72" s="17">
        <f t="shared" si="11"/>
        <v>1853.8655022121015</v>
      </c>
      <c r="Q72" s="2"/>
    </row>
    <row r="73" spans="2:17" ht="15.75" x14ac:dyDescent="0.25">
      <c r="B73" s="12" t="s">
        <v>13</v>
      </c>
      <c r="C73" s="2"/>
      <c r="D73" s="13">
        <v>3359.6092425581387</v>
      </c>
      <c r="E73" s="83">
        <f t="shared" si="8"/>
        <v>2.2864</v>
      </c>
      <c r="F73" s="15">
        <f>+D73*'5. UTRs &amp; Sub Transmission'!$E$70</f>
        <v>7681.4105721849282</v>
      </c>
      <c r="G73" s="2"/>
      <c r="H73" s="13">
        <v>3357.3432035370374</v>
      </c>
      <c r="I73" s="83">
        <f t="shared" si="9"/>
        <v>0.60440000000000005</v>
      </c>
      <c r="J73" s="15">
        <f>+H73*'5. UTRs &amp; Sub Transmission'!$E$72</f>
        <v>2029.1782322177855</v>
      </c>
      <c r="K73" s="2"/>
      <c r="L73" s="13"/>
      <c r="M73" s="14">
        <f t="shared" si="10"/>
        <v>0</v>
      </c>
      <c r="N73" s="15"/>
      <c r="O73" s="2"/>
      <c r="P73" s="17">
        <f t="shared" si="11"/>
        <v>2029.1782322177855</v>
      </c>
      <c r="Q73" s="2"/>
    </row>
    <row r="74" spans="2:17" ht="15.75" x14ac:dyDescent="0.25">
      <c r="B74" s="12" t="s">
        <v>14</v>
      </c>
      <c r="C74" s="2"/>
      <c r="D74" s="13">
        <v>3717.8282988137498</v>
      </c>
      <c r="E74" s="83">
        <f t="shared" si="8"/>
        <v>2.2864</v>
      </c>
      <c r="F74" s="15">
        <f>+D74*'5. UTRs &amp; Sub Transmission'!$E$70</f>
        <v>8500.4426224077579</v>
      </c>
      <c r="G74" s="2"/>
      <c r="H74" s="13">
        <v>3960.9546440048671</v>
      </c>
      <c r="I74" s="83">
        <f t="shared" si="9"/>
        <v>0.60440000000000005</v>
      </c>
      <c r="J74" s="15">
        <f>+H74*'5. UTRs &amp; Sub Transmission'!$E$72</f>
        <v>2394.0009868365419</v>
      </c>
      <c r="K74" s="2"/>
      <c r="L74" s="13"/>
      <c r="M74" s="14">
        <f t="shared" si="10"/>
        <v>0</v>
      </c>
      <c r="N74" s="15"/>
      <c r="O74" s="2"/>
      <c r="P74" s="17">
        <f t="shared" si="11"/>
        <v>2394.0009868365419</v>
      </c>
      <c r="Q74" s="2"/>
    </row>
    <row r="75" spans="2:17" ht="15.75" x14ac:dyDescent="0.25">
      <c r="B75" s="12" t="s">
        <v>15</v>
      </c>
      <c r="C75" s="2"/>
      <c r="D75" s="13">
        <v>4867.2503831713111</v>
      </c>
      <c r="E75" s="83">
        <f t="shared" si="8"/>
        <v>2.2864</v>
      </c>
      <c r="F75" s="15">
        <f>+D75*'5. UTRs &amp; Sub Transmission'!$E$70</f>
        <v>11128.481276082886</v>
      </c>
      <c r="G75" s="2"/>
      <c r="H75" s="13">
        <v>4863.967448015037</v>
      </c>
      <c r="I75" s="83">
        <f t="shared" si="9"/>
        <v>0.60440000000000005</v>
      </c>
      <c r="J75" s="15">
        <f>+H75*'5. UTRs &amp; Sub Transmission'!$E$72</f>
        <v>2939.7819255802888</v>
      </c>
      <c r="K75" s="2"/>
      <c r="L75" s="13"/>
      <c r="M75" s="14">
        <f t="shared" si="10"/>
        <v>0</v>
      </c>
      <c r="N75" s="15"/>
      <c r="O75" s="2"/>
      <c r="P75" s="17">
        <f t="shared" si="11"/>
        <v>2939.7819255802888</v>
      </c>
      <c r="Q75" s="2"/>
    </row>
    <row r="76" spans="2:17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19.5" thickBot="1" x14ac:dyDescent="0.35">
      <c r="B77" s="18" t="s">
        <v>16</v>
      </c>
      <c r="C77" s="2"/>
      <c r="D77" s="19">
        <f>SUM(D64:D75)</f>
        <v>50822.638972491906</v>
      </c>
      <c r="E77" s="20">
        <f>IF(D77&lt;&gt;0,F77/D77,0)</f>
        <v>2.2864</v>
      </c>
      <c r="F77" s="21">
        <f>SUM(F64:F75)</f>
        <v>116200.88174670551</v>
      </c>
      <c r="G77" s="2"/>
      <c r="H77" s="19">
        <f>SUM(H64:H75)</f>
        <v>51181.699816918335</v>
      </c>
      <c r="I77" s="20">
        <f>IF(H77&lt;&gt;0,J77/H77,0)</f>
        <v>0.60440000000000016</v>
      </c>
      <c r="J77" s="21">
        <f>SUM(J64:J75)</f>
        <v>30934.21936934545</v>
      </c>
      <c r="K77" s="2"/>
      <c r="L77" s="19">
        <f>SUM(L64:L75)</f>
        <v>0</v>
      </c>
      <c r="M77" s="20">
        <f>IF(L77&lt;&gt;0,N77/L77,0)</f>
        <v>0</v>
      </c>
      <c r="N77" s="21">
        <f>SUM(N64:N75)</f>
        <v>0</v>
      </c>
      <c r="O77" s="2"/>
      <c r="P77" s="21">
        <f>SUM(P64:P75)</f>
        <v>30934.21936934545</v>
      </c>
      <c r="Q77" s="2"/>
    </row>
    <row r="78" spans="2:17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13.5" thickBo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x14ac:dyDescent="0.2">
      <c r="B81" s="134" t="s">
        <v>18</v>
      </c>
      <c r="C81" s="13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2">
      <c r="B82" s="136"/>
      <c r="C82" s="13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13.5" thickBot="1" x14ac:dyDescent="0.25">
      <c r="B83" s="138"/>
      <c r="C83" s="13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33" x14ac:dyDescent="0.3">
      <c r="B85" s="9" t="s">
        <v>0</v>
      </c>
      <c r="C85" s="10"/>
      <c r="D85" s="11" t="s">
        <v>1</v>
      </c>
      <c r="E85" s="11" t="s">
        <v>2</v>
      </c>
      <c r="F85" s="11" t="s">
        <v>3</v>
      </c>
      <c r="G85" s="10"/>
      <c r="H85" s="11" t="s">
        <v>1</v>
      </c>
      <c r="I85" s="11" t="s">
        <v>2</v>
      </c>
      <c r="J85" s="11" t="s">
        <v>3</v>
      </c>
      <c r="K85" s="10"/>
      <c r="L85" s="11" t="s">
        <v>1</v>
      </c>
      <c r="M85" s="11" t="s">
        <v>2</v>
      </c>
      <c r="N85" s="11" t="s">
        <v>3</v>
      </c>
      <c r="O85" s="10"/>
      <c r="P85" s="11" t="s">
        <v>3</v>
      </c>
      <c r="Q85" s="2"/>
    </row>
    <row r="86" spans="2:17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ht="15.75" x14ac:dyDescent="0.25">
      <c r="B87" s="12" t="s">
        <v>4</v>
      </c>
      <c r="C87" s="2"/>
      <c r="D87" s="13">
        <v>7230.2505855338604</v>
      </c>
      <c r="E87" s="83">
        <f t="shared" ref="E87:E98" si="12">IF(D87&lt;&gt;0,F87/D87,0)</f>
        <v>2.1469999999999998</v>
      </c>
      <c r="F87" s="15">
        <f>+D87*'5. UTRs &amp; Sub Transmission'!$E$84</f>
        <v>15523.348007141198</v>
      </c>
      <c r="G87" s="2"/>
      <c r="H87" s="13">
        <v>7225.373818988628</v>
      </c>
      <c r="I87" s="83">
        <f t="shared" ref="I87:I98" si="13">IF(H87&lt;&gt;0,J87/H87,0)</f>
        <v>1.5896999999999999</v>
      </c>
      <c r="J87" s="15">
        <f>+H87*'5. UTRs &amp; Sub Transmission'!$E$86</f>
        <v>11486.176760046221</v>
      </c>
      <c r="K87" s="2"/>
      <c r="L87" s="13"/>
      <c r="M87" s="14">
        <f t="shared" ref="M87:M98" si="14">IF(L87&lt;&gt;0,N87/L87,0)</f>
        <v>0</v>
      </c>
      <c r="N87" s="15"/>
      <c r="O87" s="2"/>
      <c r="P87" s="17">
        <f t="shared" ref="P87:P98" si="15">J87+N87</f>
        <v>11486.176760046221</v>
      </c>
      <c r="Q87" s="2"/>
    </row>
    <row r="88" spans="2:17" ht="15.75" x14ac:dyDescent="0.25">
      <c r="B88" s="12" t="s">
        <v>5</v>
      </c>
      <c r="C88" s="2"/>
      <c r="D88" s="13">
        <v>7097.8960622567402</v>
      </c>
      <c r="E88" s="83">
        <f t="shared" si="12"/>
        <v>2.1469999999999998</v>
      </c>
      <c r="F88" s="15">
        <f>+D88*'5. UTRs &amp; Sub Transmission'!$E$84</f>
        <v>15239.18284566522</v>
      </c>
      <c r="G88" s="2"/>
      <c r="H88" s="13">
        <v>7093.1085681514587</v>
      </c>
      <c r="I88" s="83">
        <f t="shared" si="13"/>
        <v>1.5896999999999997</v>
      </c>
      <c r="J88" s="15">
        <f>+H88*'5. UTRs &amp; Sub Transmission'!$E$86</f>
        <v>11275.914690790372</v>
      </c>
      <c r="K88" s="2"/>
      <c r="L88" s="13"/>
      <c r="M88" s="14">
        <f t="shared" si="14"/>
        <v>0</v>
      </c>
      <c r="N88" s="15"/>
      <c r="O88" s="2"/>
      <c r="P88" s="17">
        <f t="shared" si="15"/>
        <v>11275.914690790372</v>
      </c>
      <c r="Q88" s="2"/>
    </row>
    <row r="89" spans="2:17" ht="15.75" x14ac:dyDescent="0.25">
      <c r="B89" s="12" t="s">
        <v>6</v>
      </c>
      <c r="C89" s="2"/>
      <c r="D89" s="13">
        <v>7106.1040947080337</v>
      </c>
      <c r="E89" s="83">
        <f t="shared" si="12"/>
        <v>2.1469999999999998</v>
      </c>
      <c r="F89" s="15">
        <f>+D89*'5. UTRs &amp; Sub Transmission'!$E$84</f>
        <v>15256.805491338147</v>
      </c>
      <c r="G89" s="2"/>
      <c r="H89" s="13">
        <v>7101.3110643274067</v>
      </c>
      <c r="I89" s="83">
        <f t="shared" si="13"/>
        <v>1.5896999999999999</v>
      </c>
      <c r="J89" s="15">
        <f>+H89*'5. UTRs &amp; Sub Transmission'!$E$86</f>
        <v>11288.954198961277</v>
      </c>
      <c r="K89" s="2"/>
      <c r="L89" s="13"/>
      <c r="M89" s="14">
        <f t="shared" si="14"/>
        <v>0</v>
      </c>
      <c r="N89" s="15"/>
      <c r="O89" s="2"/>
      <c r="P89" s="17">
        <f t="shared" si="15"/>
        <v>11288.954198961277</v>
      </c>
      <c r="Q89" s="2"/>
    </row>
    <row r="90" spans="2:17" ht="15.75" x14ac:dyDescent="0.25">
      <c r="B90" s="12" t="s">
        <v>7</v>
      </c>
      <c r="C90" s="2"/>
      <c r="D90" s="13">
        <v>6610.5441354611412</v>
      </c>
      <c r="E90" s="83">
        <f t="shared" si="12"/>
        <v>2.1469999999999998</v>
      </c>
      <c r="F90" s="15">
        <f>+D90*'5. UTRs &amp; Sub Transmission'!$E$84</f>
        <v>14192.838258835069</v>
      </c>
      <c r="G90" s="2"/>
      <c r="H90" s="13">
        <v>6606.0853577045164</v>
      </c>
      <c r="I90" s="83">
        <f t="shared" si="13"/>
        <v>1.5896999999999999</v>
      </c>
      <c r="J90" s="15">
        <f>+H90*'5. UTRs &amp; Sub Transmission'!$E$86</f>
        <v>10501.693893142869</v>
      </c>
      <c r="K90" s="2"/>
      <c r="L90" s="13"/>
      <c r="M90" s="14">
        <f t="shared" si="14"/>
        <v>0</v>
      </c>
      <c r="N90" s="15"/>
      <c r="O90" s="2"/>
      <c r="P90" s="17">
        <f t="shared" si="15"/>
        <v>10501.693893142869</v>
      </c>
      <c r="Q90" s="2"/>
    </row>
    <row r="91" spans="2:17" ht="15.75" x14ac:dyDescent="0.25">
      <c r="B91" s="12" t="s">
        <v>8</v>
      </c>
      <c r="C91" s="2"/>
      <c r="D91" s="13">
        <v>5970.3176042601863</v>
      </c>
      <c r="E91" s="83">
        <f t="shared" si="12"/>
        <v>2.1469999999999998</v>
      </c>
      <c r="F91" s="15">
        <f>+D91*'5. UTRs &amp; Sub Transmission'!$E$84</f>
        <v>12818.27189634662</v>
      </c>
      <c r="G91" s="2"/>
      <c r="H91" s="13">
        <v>5966.2906559805342</v>
      </c>
      <c r="I91" s="83">
        <f t="shared" si="13"/>
        <v>1.5896999999999999</v>
      </c>
      <c r="J91" s="15">
        <f>+H91*'5. UTRs &amp; Sub Transmission'!$E$86</f>
        <v>9484.6122558122552</v>
      </c>
      <c r="K91" s="2"/>
      <c r="L91" s="13"/>
      <c r="M91" s="14">
        <f t="shared" si="14"/>
        <v>0</v>
      </c>
      <c r="N91" s="15"/>
      <c r="O91" s="2"/>
      <c r="P91" s="17">
        <f t="shared" si="15"/>
        <v>9484.6122558122552</v>
      </c>
      <c r="Q91" s="2"/>
    </row>
    <row r="92" spans="2:17" ht="15.75" x14ac:dyDescent="0.25">
      <c r="B92" s="12" t="s">
        <v>9</v>
      </c>
      <c r="C92" s="2"/>
      <c r="D92" s="13">
        <v>6552.0619042456692</v>
      </c>
      <c r="E92" s="83">
        <f t="shared" si="12"/>
        <v>2.1469999999999998</v>
      </c>
      <c r="F92" s="15">
        <f>+D92*'5. UTRs &amp; Sub Transmission'!$E$84</f>
        <v>14067.27690841545</v>
      </c>
      <c r="G92" s="2"/>
      <c r="H92" s="13">
        <v>6547.6425724508836</v>
      </c>
      <c r="I92" s="83">
        <f t="shared" si="13"/>
        <v>1.5896999999999999</v>
      </c>
      <c r="J92" s="15">
        <f>+H92*'5. UTRs &amp; Sub Transmission'!$E$86</f>
        <v>10408.787397425169</v>
      </c>
      <c r="K92" s="2"/>
      <c r="L92" s="13"/>
      <c r="M92" s="14">
        <f t="shared" si="14"/>
        <v>0</v>
      </c>
      <c r="N92" s="15"/>
      <c r="O92" s="2"/>
      <c r="P92" s="17">
        <f t="shared" si="15"/>
        <v>10408.787397425169</v>
      </c>
      <c r="Q92" s="2"/>
    </row>
    <row r="93" spans="2:17" ht="15.75" x14ac:dyDescent="0.25">
      <c r="B93" s="12" t="s">
        <v>10</v>
      </c>
      <c r="C93" s="2"/>
      <c r="D93" s="13">
        <v>6075.9960220706007</v>
      </c>
      <c r="E93" s="83">
        <f t="shared" si="12"/>
        <v>2.1469999999999998</v>
      </c>
      <c r="F93" s="15">
        <f>+D93*'5. UTRs &amp; Sub Transmission'!$E$84</f>
        <v>13045.163459385578</v>
      </c>
      <c r="G93" s="2"/>
      <c r="H93" s="13">
        <v>6071.8977942458714</v>
      </c>
      <c r="I93" s="83">
        <f t="shared" si="13"/>
        <v>1.5896999999999999</v>
      </c>
      <c r="J93" s="15">
        <f>+H93*'5. UTRs &amp; Sub Transmission'!$E$86</f>
        <v>9652.4959235126607</v>
      </c>
      <c r="K93" s="2"/>
      <c r="L93" s="13"/>
      <c r="M93" s="14">
        <f t="shared" si="14"/>
        <v>0</v>
      </c>
      <c r="N93" s="15"/>
      <c r="O93" s="2"/>
      <c r="P93" s="17">
        <f t="shared" si="15"/>
        <v>9652.4959235126607</v>
      </c>
      <c r="Q93" s="2"/>
    </row>
    <row r="94" spans="2:17" ht="15.75" x14ac:dyDescent="0.25">
      <c r="B94" s="12" t="s">
        <v>11</v>
      </c>
      <c r="C94" s="2"/>
      <c r="D94" s="13">
        <v>7029.1537904771503</v>
      </c>
      <c r="E94" s="83">
        <f t="shared" si="12"/>
        <v>2.1469999999999998</v>
      </c>
      <c r="F94" s="15">
        <f>+D94*'5. UTRs &amp; Sub Transmission'!$E$84</f>
        <v>15091.59318815444</v>
      </c>
      <c r="G94" s="2"/>
      <c r="H94" s="13">
        <v>7024.4126626778898</v>
      </c>
      <c r="I94" s="83">
        <f t="shared" si="13"/>
        <v>1.5896999999999999</v>
      </c>
      <c r="J94" s="15">
        <f>+H94*'5. UTRs &amp; Sub Transmission'!$E$86</f>
        <v>11166.708809859041</v>
      </c>
      <c r="K94" s="2"/>
      <c r="L94" s="13"/>
      <c r="M94" s="14">
        <f t="shared" si="14"/>
        <v>0</v>
      </c>
      <c r="N94" s="15"/>
      <c r="O94" s="2"/>
      <c r="P94" s="17">
        <f t="shared" si="15"/>
        <v>11166.708809859041</v>
      </c>
      <c r="Q94" s="2"/>
    </row>
    <row r="95" spans="2:17" ht="15.75" x14ac:dyDescent="0.25">
      <c r="B95" s="12" t="s">
        <v>12</v>
      </c>
      <c r="C95" s="2"/>
      <c r="D95" s="13">
        <v>6310.9509509888994</v>
      </c>
      <c r="E95" s="83">
        <f t="shared" si="12"/>
        <v>2.1469999999999998</v>
      </c>
      <c r="F95" s="15">
        <f>+D95*'5. UTRs &amp; Sub Transmission'!$E$84</f>
        <v>13549.611691773165</v>
      </c>
      <c r="G95" s="2"/>
      <c r="H95" s="13">
        <v>6306.6942472823966</v>
      </c>
      <c r="I95" s="83">
        <f t="shared" si="13"/>
        <v>1.5896999999999999</v>
      </c>
      <c r="J95" s="15">
        <f>+H95*'5. UTRs &amp; Sub Transmission'!$E$86</f>
        <v>10025.751844904826</v>
      </c>
      <c r="K95" s="2"/>
      <c r="L95" s="13"/>
      <c r="M95" s="14">
        <f t="shared" si="14"/>
        <v>0</v>
      </c>
      <c r="N95" s="15"/>
      <c r="O95" s="2"/>
      <c r="P95" s="17">
        <f t="shared" si="15"/>
        <v>10025.751844904826</v>
      </c>
      <c r="Q95" s="2"/>
    </row>
    <row r="96" spans="2:17" ht="15.75" x14ac:dyDescent="0.25">
      <c r="B96" s="12" t="s">
        <v>13</v>
      </c>
      <c r="C96" s="2"/>
      <c r="D96" s="13">
        <v>6420.7333850249606</v>
      </c>
      <c r="E96" s="83">
        <f t="shared" si="12"/>
        <v>2.1469999999999998</v>
      </c>
      <c r="F96" s="15">
        <f>+D96*'5. UTRs &amp; Sub Transmission'!$E$84</f>
        <v>13785.314577648589</v>
      </c>
      <c r="G96" s="2"/>
      <c r="H96" s="13">
        <v>6416.4026336357083</v>
      </c>
      <c r="I96" s="83">
        <f t="shared" si="13"/>
        <v>1.5896999999999999</v>
      </c>
      <c r="J96" s="15">
        <f>+H96*'5. UTRs &amp; Sub Transmission'!$E$86</f>
        <v>10200.155266690685</v>
      </c>
      <c r="K96" s="2"/>
      <c r="L96" s="13"/>
      <c r="M96" s="14">
        <f t="shared" si="14"/>
        <v>0</v>
      </c>
      <c r="N96" s="15"/>
      <c r="O96" s="2"/>
      <c r="P96" s="17">
        <f t="shared" si="15"/>
        <v>10200.155266690685</v>
      </c>
      <c r="Q96" s="2"/>
    </row>
    <row r="97" spans="2:17" ht="15.75" x14ac:dyDescent="0.25">
      <c r="B97" s="12" t="s">
        <v>14</v>
      </c>
      <c r="C97" s="2"/>
      <c r="D97" s="13">
        <v>6451.5135067173142</v>
      </c>
      <c r="E97" s="83">
        <f t="shared" si="12"/>
        <v>2.1469999999999998</v>
      </c>
      <c r="F97" s="15">
        <f>+D97*'5. UTRs &amp; Sub Transmission'!$E$84</f>
        <v>13851.399498922072</v>
      </c>
      <c r="G97" s="2"/>
      <c r="H97" s="13">
        <v>6447.1619942955149</v>
      </c>
      <c r="I97" s="83">
        <f t="shared" si="13"/>
        <v>1.5896999999999999</v>
      </c>
      <c r="J97" s="15">
        <f>+H97*'5. UTRs &amp; Sub Transmission'!$E$86</f>
        <v>10249.053422331579</v>
      </c>
      <c r="K97" s="2"/>
      <c r="L97" s="13"/>
      <c r="M97" s="14">
        <f t="shared" si="14"/>
        <v>0</v>
      </c>
      <c r="N97" s="15"/>
      <c r="O97" s="2"/>
      <c r="P97" s="17">
        <f t="shared" si="15"/>
        <v>10249.053422331579</v>
      </c>
      <c r="Q97" s="2"/>
    </row>
    <row r="98" spans="2:17" ht="15.75" x14ac:dyDescent="0.25">
      <c r="B98" s="12" t="s">
        <v>15</v>
      </c>
      <c r="C98" s="2"/>
      <c r="D98" s="13">
        <v>7111.2341149900931</v>
      </c>
      <c r="E98" s="83">
        <f t="shared" si="12"/>
        <v>2.1469999999999998</v>
      </c>
      <c r="F98" s="15">
        <f>+D98*'5. UTRs &amp; Sub Transmission'!$E$84</f>
        <v>15267.819644883728</v>
      </c>
      <c r="G98" s="2"/>
      <c r="H98" s="13">
        <v>7106.4376244373752</v>
      </c>
      <c r="I98" s="83">
        <f t="shared" si="13"/>
        <v>1.5896999999999999</v>
      </c>
      <c r="J98" s="15">
        <f>+H98*'5. UTRs &amp; Sub Transmission'!$E$86</f>
        <v>11297.103891568095</v>
      </c>
      <c r="K98" s="2"/>
      <c r="L98" s="13"/>
      <c r="M98" s="14">
        <f t="shared" si="14"/>
        <v>0</v>
      </c>
      <c r="N98" s="15"/>
      <c r="O98" s="2"/>
      <c r="P98" s="17">
        <f t="shared" si="15"/>
        <v>11297.103891568095</v>
      </c>
      <c r="Q98" s="2"/>
    </row>
    <row r="99" spans="2:17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ht="19.5" thickBot="1" x14ac:dyDescent="0.35">
      <c r="B100" s="18" t="s">
        <v>16</v>
      </c>
      <c r="C100" s="2"/>
      <c r="D100" s="19">
        <f>SUM(D87:D98)</f>
        <v>79966.756156734627</v>
      </c>
      <c r="E100" s="20">
        <f>IF(D100&lt;&gt;0,F100/D100,0)</f>
        <v>2.1470000000000002</v>
      </c>
      <c r="F100" s="21">
        <f>SUM(F87:F98)</f>
        <v>171688.62546850927</v>
      </c>
      <c r="G100" s="2"/>
      <c r="H100" s="19">
        <f>SUM(H87:H98)</f>
        <v>79912.818994178175</v>
      </c>
      <c r="I100" s="20">
        <f>IF(H100&lt;&gt;0,J100/H100,0)</f>
        <v>1.5897000000000001</v>
      </c>
      <c r="J100" s="21">
        <f>SUM(J87:J98)</f>
        <v>127037.40835504505</v>
      </c>
      <c r="K100" s="2"/>
      <c r="L100" s="19">
        <f>SUM(L87:L98)</f>
        <v>0</v>
      </c>
      <c r="M100" s="20">
        <f>IF(L100&lt;&gt;0,N100/L100,0)</f>
        <v>0</v>
      </c>
      <c r="N100" s="21">
        <f>SUM(N87:N98)</f>
        <v>0</v>
      </c>
      <c r="O100" s="2"/>
      <c r="P100" s="21">
        <f>SUM(P87:P98)</f>
        <v>127037.40835504505</v>
      </c>
      <c r="Q100" s="2"/>
    </row>
    <row r="101" spans="2:17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ht="20.25" x14ac:dyDescent="0.3"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0.25" x14ac:dyDescent="0.3"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15.75" x14ac:dyDescent="0.25">
      <c r="B105" s="2"/>
      <c r="C105" s="2"/>
      <c r="D105" s="6"/>
      <c r="E105" s="6"/>
      <c r="F105" s="6"/>
      <c r="G105" s="7"/>
      <c r="H105" s="6"/>
      <c r="I105" s="6"/>
      <c r="J105" s="6"/>
      <c r="K105" s="7"/>
      <c r="L105" s="6"/>
      <c r="M105" s="6"/>
      <c r="N105" s="6"/>
      <c r="O105" s="7"/>
      <c r="P105" s="6"/>
      <c r="Q105" s="2"/>
    </row>
    <row r="106" spans="2:17" ht="33" x14ac:dyDescent="0.3">
      <c r="B106" s="22" t="s">
        <v>0</v>
      </c>
      <c r="C106" s="2"/>
      <c r="D106" s="11" t="s">
        <v>1</v>
      </c>
      <c r="E106" s="11" t="s">
        <v>2</v>
      </c>
      <c r="F106" s="11" t="s">
        <v>3</v>
      </c>
      <c r="G106" s="10"/>
      <c r="H106" s="11" t="s">
        <v>1</v>
      </c>
      <c r="I106" s="11" t="s">
        <v>2</v>
      </c>
      <c r="J106" s="11" t="s">
        <v>3</v>
      </c>
      <c r="K106" s="10"/>
      <c r="L106" s="11" t="s">
        <v>1</v>
      </c>
      <c r="M106" s="11" t="s">
        <v>2</v>
      </c>
      <c r="N106" s="11" t="s">
        <v>3</v>
      </c>
      <c r="O106" s="10"/>
      <c r="P106" s="11" t="s">
        <v>3</v>
      </c>
      <c r="Q106" s="2"/>
    </row>
    <row r="107" spans="2:17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5.75" x14ac:dyDescent="0.25">
      <c r="B108" s="12" t="s">
        <v>4</v>
      </c>
      <c r="C108" s="2"/>
      <c r="D108" s="116">
        <f>D24+D43+D64+D87</f>
        <v>239983.06699755637</v>
      </c>
      <c r="E108" s="117">
        <f t="shared" ref="E108:E119" si="16">IF(D108&lt;&gt;0,F108/D108,0)</f>
        <v>3.1549130100080931</v>
      </c>
      <c r="F108" s="115">
        <f>F24+F43+F64+F87</f>
        <v>757125.70025223447</v>
      </c>
      <c r="G108" s="118"/>
      <c r="H108" s="116">
        <f>H24+H43+H64+H87</f>
        <v>239821.19966270943</v>
      </c>
      <c r="I108" s="117">
        <f t="shared" ref="I108:I119" si="17">IF(H108&lt;&gt;0,J108/H108,0)</f>
        <v>0.805831795201981</v>
      </c>
      <c r="J108" s="115">
        <f>J24+J43+J64+J87</f>
        <v>193255.54785169387</v>
      </c>
      <c r="K108" s="118"/>
      <c r="L108" s="116">
        <f>L24+L43+L64+L87</f>
        <v>37820.026802640794</v>
      </c>
      <c r="M108" s="117">
        <f t="shared" ref="M108:M119" si="18">IF(L108&lt;&gt;0,N108/L108,0)</f>
        <v>1.7280916399847668</v>
      </c>
      <c r="N108" s="115">
        <f>N24+N43+N64+N87</f>
        <v>65356.472141643368</v>
      </c>
      <c r="O108" s="118"/>
      <c r="P108" s="115">
        <f t="shared" ref="P108:P119" si="19">J108+N108</f>
        <v>258612.01999333725</v>
      </c>
      <c r="Q108" s="2"/>
    </row>
    <row r="109" spans="2:17" ht="15.75" x14ac:dyDescent="0.25">
      <c r="B109" s="12" t="s">
        <v>5</v>
      </c>
      <c r="C109" s="2"/>
      <c r="D109" s="116">
        <f t="shared" ref="D109:D119" si="20">D25+D44+D65+D88</f>
        <v>233700.41323844332</v>
      </c>
      <c r="E109" s="117">
        <f t="shared" si="16"/>
        <v>3.1555398624129678</v>
      </c>
      <c r="F109" s="115">
        <f t="shared" ref="F109:F118" si="21">F25+F44+F65+F88</f>
        <v>737450.96983629116</v>
      </c>
      <c r="G109" s="118"/>
      <c r="H109" s="116">
        <f t="shared" ref="H109:H119" si="22">H25+H44+H65+H88</f>
        <v>234583.01383290719</v>
      </c>
      <c r="I109" s="117">
        <f t="shared" si="17"/>
        <v>0.80601562499849755</v>
      </c>
      <c r="J109" s="115">
        <f t="shared" ref="J109:J119" si="23">J25+J44+J65+J88</f>
        <v>189077.5745085619</v>
      </c>
      <c r="K109" s="118"/>
      <c r="L109" s="116">
        <f t="shared" ref="L109:L119" si="24">L25+L44+L65+L88</f>
        <v>37473.333986219564</v>
      </c>
      <c r="M109" s="117">
        <f t="shared" si="18"/>
        <v>1.728761317657955</v>
      </c>
      <c r="N109" s="115">
        <f t="shared" ref="N109:N119" si="25">N25+N44+N65+N88</f>
        <v>64782.450239053564</v>
      </c>
      <c r="O109" s="118"/>
      <c r="P109" s="115">
        <f t="shared" si="19"/>
        <v>253860.02474761545</v>
      </c>
      <c r="Q109" s="2"/>
    </row>
    <row r="110" spans="2:17" ht="15.75" x14ac:dyDescent="0.25">
      <c r="B110" s="12" t="s">
        <v>6</v>
      </c>
      <c r="C110" s="2"/>
      <c r="D110" s="116">
        <f t="shared" si="20"/>
        <v>233604.72810014235</v>
      </c>
      <c r="E110" s="117">
        <f t="shared" si="16"/>
        <v>3.1567689103872989</v>
      </c>
      <c r="F110" s="115">
        <f t="shared" si="21"/>
        <v>737436.14298600762</v>
      </c>
      <c r="G110" s="118"/>
      <c r="H110" s="116">
        <f t="shared" si="22"/>
        <v>233593.17760687458</v>
      </c>
      <c r="I110" s="117">
        <f t="shared" si="17"/>
        <v>0.80655610892906504</v>
      </c>
      <c r="J110" s="115">
        <f t="shared" si="23"/>
        <v>188406.00440297677</v>
      </c>
      <c r="K110" s="118"/>
      <c r="L110" s="116">
        <f t="shared" si="24"/>
        <v>36943.920895151168</v>
      </c>
      <c r="M110" s="117">
        <f t="shared" si="18"/>
        <v>1.7326989248857747</v>
      </c>
      <c r="N110" s="115">
        <f t="shared" si="25"/>
        <v>64012.692016093533</v>
      </c>
      <c r="O110" s="118"/>
      <c r="P110" s="115">
        <f t="shared" si="19"/>
        <v>252418.6964190703</v>
      </c>
      <c r="Q110" s="2"/>
    </row>
    <row r="111" spans="2:17" ht="15.75" x14ac:dyDescent="0.25">
      <c r="B111" s="12" t="s">
        <v>7</v>
      </c>
      <c r="C111" s="2"/>
      <c r="D111" s="116">
        <f t="shared" si="20"/>
        <v>198819.81503443717</v>
      </c>
      <c r="E111" s="117">
        <f t="shared" si="16"/>
        <v>3.1531036634654024</v>
      </c>
      <c r="F111" s="115">
        <f t="shared" si="21"/>
        <v>626899.48715459753</v>
      </c>
      <c r="G111" s="118"/>
      <c r="H111" s="116">
        <f t="shared" si="22"/>
        <v>215424.95617075529</v>
      </c>
      <c r="I111" s="117">
        <f t="shared" si="17"/>
        <v>0.80722952526080438</v>
      </c>
      <c r="J111" s="115">
        <f t="shared" si="23"/>
        <v>173897.38509904838</v>
      </c>
      <c r="K111" s="118"/>
      <c r="L111" s="116">
        <f t="shared" si="24"/>
        <v>33286.839184535726</v>
      </c>
      <c r="M111" s="117">
        <f t="shared" si="18"/>
        <v>1.7316263956719706</v>
      </c>
      <c r="N111" s="115">
        <f t="shared" si="25"/>
        <v>57640.369360430115</v>
      </c>
      <c r="O111" s="118"/>
      <c r="P111" s="115">
        <f t="shared" si="19"/>
        <v>231537.75445947848</v>
      </c>
      <c r="Q111" s="2"/>
    </row>
    <row r="112" spans="2:17" ht="15.75" x14ac:dyDescent="0.25">
      <c r="B112" s="12" t="s">
        <v>8</v>
      </c>
      <c r="C112" s="2"/>
      <c r="D112" s="116">
        <f t="shared" si="20"/>
        <v>200965.00483566409</v>
      </c>
      <c r="E112" s="117">
        <f t="shared" si="16"/>
        <v>3.1607765146086813</v>
      </c>
      <c r="F112" s="115">
        <f t="shared" si="21"/>
        <v>635205.46754278708</v>
      </c>
      <c r="G112" s="118"/>
      <c r="H112" s="116">
        <f t="shared" si="22"/>
        <v>209640.98649852566</v>
      </c>
      <c r="I112" s="117">
        <f t="shared" si="17"/>
        <v>0.80617583411973326</v>
      </c>
      <c r="J112" s="115">
        <f t="shared" si="23"/>
        <v>169007.49715613265</v>
      </c>
      <c r="K112" s="118"/>
      <c r="L112" s="116">
        <f t="shared" si="24"/>
        <v>29597.876920347026</v>
      </c>
      <c r="M112" s="117">
        <f t="shared" si="18"/>
        <v>1.7331934631091037</v>
      </c>
      <c r="N112" s="115">
        <f t="shared" si="25"/>
        <v>51298.846800253275</v>
      </c>
      <c r="O112" s="118"/>
      <c r="P112" s="115">
        <f t="shared" si="19"/>
        <v>220306.34395638591</v>
      </c>
      <c r="Q112" s="2"/>
    </row>
    <row r="113" spans="2:17" ht="15.75" x14ac:dyDescent="0.25">
      <c r="B113" s="12" t="s">
        <v>9</v>
      </c>
      <c r="C113" s="2"/>
      <c r="D113" s="116">
        <f t="shared" si="20"/>
        <v>260459.13255177203</v>
      </c>
      <c r="E113" s="117">
        <f t="shared" si="16"/>
        <v>3.1644750987363799</v>
      </c>
      <c r="F113" s="115">
        <f t="shared" si="21"/>
        <v>824216.43919856066</v>
      </c>
      <c r="G113" s="118"/>
      <c r="H113" s="116">
        <f t="shared" si="22"/>
        <v>262186.43332965719</v>
      </c>
      <c r="I113" s="117">
        <f t="shared" si="17"/>
        <v>0.80285922511808139</v>
      </c>
      <c r="J113" s="115">
        <f t="shared" si="23"/>
        <v>210498.79669952206</v>
      </c>
      <c r="K113" s="118"/>
      <c r="L113" s="116">
        <f t="shared" si="24"/>
        <v>35796.67412428528</v>
      </c>
      <c r="M113" s="117">
        <f t="shared" si="18"/>
        <v>1.7290436210215159</v>
      </c>
      <c r="N113" s="115">
        <f t="shared" si="25"/>
        <v>61894.011048381421</v>
      </c>
      <c r="O113" s="118"/>
      <c r="P113" s="115">
        <f t="shared" si="19"/>
        <v>272392.80774790351</v>
      </c>
      <c r="Q113" s="2"/>
    </row>
    <row r="114" spans="2:17" ht="15.75" x14ac:dyDescent="0.25">
      <c r="B114" s="12" t="s">
        <v>10</v>
      </c>
      <c r="C114" s="2"/>
      <c r="D114" s="116">
        <f t="shared" si="20"/>
        <v>215421.9662927372</v>
      </c>
      <c r="E114" s="117">
        <f t="shared" si="16"/>
        <v>3.1587362454462018</v>
      </c>
      <c r="F114" s="115">
        <f t="shared" si="21"/>
        <v>680461.17299415893</v>
      </c>
      <c r="G114" s="118"/>
      <c r="H114" s="116">
        <f t="shared" si="22"/>
        <v>223433.02242797313</v>
      </c>
      <c r="I114" s="117">
        <f t="shared" si="17"/>
        <v>0.80410739056274172</v>
      </c>
      <c r="J114" s="115">
        <f t="shared" si="23"/>
        <v>179664.14463010401</v>
      </c>
      <c r="K114" s="118"/>
      <c r="L114" s="116">
        <f t="shared" si="24"/>
        <v>32110.589383288498</v>
      </c>
      <c r="M114" s="117">
        <f t="shared" si="18"/>
        <v>1.7256446505062593</v>
      </c>
      <c r="N114" s="115">
        <f t="shared" si="25"/>
        <v>55411.466793874875</v>
      </c>
      <c r="O114" s="118"/>
      <c r="P114" s="115">
        <f t="shared" si="19"/>
        <v>235075.61142397887</v>
      </c>
      <c r="Q114" s="2"/>
    </row>
    <row r="115" spans="2:17" ht="15.75" x14ac:dyDescent="0.25">
      <c r="B115" s="12" t="s">
        <v>11</v>
      </c>
      <c r="C115" s="2"/>
      <c r="D115" s="116">
        <f t="shared" si="20"/>
        <v>259747.2396372307</v>
      </c>
      <c r="E115" s="117">
        <f t="shared" si="16"/>
        <v>3.16410417075575</v>
      </c>
      <c r="F115" s="115">
        <f t="shared" si="21"/>
        <v>821867.32427845488</v>
      </c>
      <c r="G115" s="118"/>
      <c r="H115" s="116">
        <f t="shared" si="22"/>
        <v>267904.75227311853</v>
      </c>
      <c r="I115" s="117">
        <f t="shared" si="17"/>
        <v>0.80432308841925071</v>
      </c>
      <c r="J115" s="115">
        <f t="shared" si="23"/>
        <v>215481.97775050896</v>
      </c>
      <c r="K115" s="118"/>
      <c r="L115" s="116">
        <f t="shared" si="24"/>
        <v>34835.432617191618</v>
      </c>
      <c r="M115" s="117">
        <f t="shared" si="18"/>
        <v>1.7272420540773745</v>
      </c>
      <c r="N115" s="115">
        <f t="shared" si="25"/>
        <v>60169.224188392021</v>
      </c>
      <c r="O115" s="118"/>
      <c r="P115" s="115">
        <f t="shared" si="19"/>
        <v>275651.20193890098</v>
      </c>
      <c r="Q115" s="2"/>
    </row>
    <row r="116" spans="2:17" ht="15.75" x14ac:dyDescent="0.25">
      <c r="B116" s="12" t="s">
        <v>12</v>
      </c>
      <c r="C116" s="2"/>
      <c r="D116" s="116">
        <f t="shared" si="20"/>
        <v>216044.09411238303</v>
      </c>
      <c r="E116" s="117">
        <f t="shared" si="16"/>
        <v>3.1648686975437821</v>
      </c>
      <c r="F116" s="115">
        <f t="shared" si="21"/>
        <v>683751.19074548397</v>
      </c>
      <c r="G116" s="118"/>
      <c r="H116" s="116">
        <f t="shared" si="22"/>
        <v>228587.73760606488</v>
      </c>
      <c r="I116" s="117">
        <f t="shared" si="17"/>
        <v>0.80621903743244505</v>
      </c>
      <c r="J116" s="115">
        <f t="shared" si="23"/>
        <v>184291.78578162196</v>
      </c>
      <c r="K116" s="118"/>
      <c r="L116" s="116">
        <f t="shared" si="24"/>
        <v>31786.007155319294</v>
      </c>
      <c r="M116" s="117">
        <f t="shared" si="18"/>
        <v>1.7330089268413449</v>
      </c>
      <c r="N116" s="115">
        <f t="shared" si="25"/>
        <v>55085.434148811197</v>
      </c>
      <c r="O116" s="118"/>
      <c r="P116" s="115">
        <f t="shared" si="19"/>
        <v>239377.21993043314</v>
      </c>
      <c r="Q116" s="2"/>
    </row>
    <row r="117" spans="2:17" ht="15.75" x14ac:dyDescent="0.25">
      <c r="B117" s="12" t="s">
        <v>13</v>
      </c>
      <c r="C117" s="2"/>
      <c r="D117" s="116">
        <f t="shared" si="20"/>
        <v>208795.37545383378</v>
      </c>
      <c r="E117" s="117">
        <f t="shared" si="16"/>
        <v>3.1603192267296092</v>
      </c>
      <c r="F117" s="115">
        <f t="shared" si="21"/>
        <v>659860.03949897841</v>
      </c>
      <c r="G117" s="118"/>
      <c r="H117" s="116">
        <f t="shared" si="22"/>
        <v>216491.00383938267</v>
      </c>
      <c r="I117" s="117">
        <f t="shared" si="17"/>
        <v>0.80706224591215037</v>
      </c>
      <c r="J117" s="115">
        <f t="shared" si="23"/>
        <v>174721.71577838814</v>
      </c>
      <c r="K117" s="118"/>
      <c r="L117" s="116">
        <f t="shared" si="24"/>
        <v>33015.772802454638</v>
      </c>
      <c r="M117" s="117">
        <f t="shared" si="18"/>
        <v>1.7321781263729967</v>
      </c>
      <c r="N117" s="115">
        <f t="shared" si="25"/>
        <v>57189.199473712419</v>
      </c>
      <c r="O117" s="118"/>
      <c r="P117" s="115">
        <f t="shared" si="19"/>
        <v>231910.91525210056</v>
      </c>
      <c r="Q117" s="2"/>
    </row>
    <row r="118" spans="2:17" ht="15.75" x14ac:dyDescent="0.25">
      <c r="B118" s="12" t="s">
        <v>14</v>
      </c>
      <c r="C118" s="2"/>
      <c r="D118" s="116">
        <f t="shared" si="20"/>
        <v>223325.78854130537</v>
      </c>
      <c r="E118" s="117">
        <f t="shared" si="16"/>
        <v>3.1609638456421227</v>
      </c>
      <c r="F118" s="115">
        <f t="shared" si="21"/>
        <v>705924.74337858416</v>
      </c>
      <c r="G118" s="118"/>
      <c r="H118" s="116">
        <f t="shared" si="22"/>
        <v>229511.14386619252</v>
      </c>
      <c r="I118" s="117">
        <f t="shared" si="17"/>
        <v>0.8051950307795338</v>
      </c>
      <c r="J118" s="115">
        <f t="shared" si="23"/>
        <v>184801.23254958491</v>
      </c>
      <c r="K118" s="118"/>
      <c r="L118" s="116">
        <f t="shared" si="24"/>
        <v>36027.127147749285</v>
      </c>
      <c r="M118" s="117">
        <f t="shared" si="18"/>
        <v>1.7302756100494712</v>
      </c>
      <c r="N118" s="115">
        <f t="shared" si="25"/>
        <v>62336.859403901755</v>
      </c>
      <c r="O118" s="118"/>
      <c r="P118" s="115">
        <f t="shared" si="19"/>
        <v>247138.09195348667</v>
      </c>
      <c r="Q118" s="2"/>
    </row>
    <row r="119" spans="2:17" ht="15.75" x14ac:dyDescent="0.25">
      <c r="B119" s="12" t="s">
        <v>15</v>
      </c>
      <c r="C119" s="2"/>
      <c r="D119" s="116">
        <f t="shared" si="20"/>
        <v>238785.91520449455</v>
      </c>
      <c r="E119" s="117">
        <f t="shared" si="16"/>
        <v>3.1558040390937481</v>
      </c>
      <c r="F119" s="115">
        <f>F35+F54+F75+F98</f>
        <v>753561.55568104109</v>
      </c>
      <c r="G119" s="118"/>
      <c r="H119" s="116">
        <f t="shared" si="22"/>
        <v>241212.74288583887</v>
      </c>
      <c r="I119" s="117">
        <f t="shared" si="17"/>
        <v>0.80544445423700772</v>
      </c>
      <c r="J119" s="115">
        <f t="shared" si="23"/>
        <v>194283.46604869617</v>
      </c>
      <c r="K119" s="118"/>
      <c r="L119" s="116">
        <f t="shared" si="24"/>
        <v>38197.633139276448</v>
      </c>
      <c r="M119" s="117">
        <f t="shared" si="18"/>
        <v>1.7276486730855978</v>
      </c>
      <c r="N119" s="115">
        <f t="shared" si="25"/>
        <v>65992.090208081412</v>
      </c>
      <c r="O119" s="118"/>
      <c r="P119" s="115">
        <f t="shared" si="19"/>
        <v>260275.55625677758</v>
      </c>
      <c r="Q119" s="2"/>
    </row>
    <row r="120" spans="2:17" x14ac:dyDescent="0.2">
      <c r="B120" s="2"/>
      <c r="C120" s="2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5"/>
      <c r="Q120" s="2"/>
    </row>
    <row r="121" spans="2:17" s="107" customFormat="1" ht="19.5" thickBot="1" x14ac:dyDescent="0.35">
      <c r="B121" s="105" t="s">
        <v>16</v>
      </c>
      <c r="C121" s="106"/>
      <c r="D121" s="108">
        <f>SUM(D108:D119)</f>
        <v>2729652.54</v>
      </c>
      <c r="E121" s="109">
        <f>IF(D121&lt;&gt;0,F121/D121,0)</f>
        <v>3.1592886300273149</v>
      </c>
      <c r="F121" s="110">
        <f>SUM(F108:F119)</f>
        <v>8623760.2335471809</v>
      </c>
      <c r="G121" s="111"/>
      <c r="H121" s="108">
        <f>SUM(H108:H119)</f>
        <v>2802390.1700000004</v>
      </c>
      <c r="I121" s="109">
        <f>IF(H121&lt;&gt;0,J121/H121,0)</f>
        <v>0.80552206913316404</v>
      </c>
      <c r="J121" s="110">
        <f>SUM(J108:J119)</f>
        <v>2257387.1282568397</v>
      </c>
      <c r="K121" s="111"/>
      <c r="L121" s="108">
        <f>SUM(L108:L119)</f>
        <v>416891.23415845935</v>
      </c>
      <c r="M121" s="109">
        <f>IF(L121&lt;&gt;0,N121/L121,0)</f>
        <v>1.7298735419044919</v>
      </c>
      <c r="N121" s="110">
        <f>SUM(N108:N119)</f>
        <v>721169.11582262896</v>
      </c>
      <c r="O121" s="111"/>
      <c r="P121" s="110">
        <f>SUM(P108:P119)</f>
        <v>2978556.2440794688</v>
      </c>
      <c r="Q121" s="106"/>
    </row>
    <row r="124" spans="2:17" x14ac:dyDescent="0.2">
      <c r="B124" s="63"/>
    </row>
  </sheetData>
  <mergeCells count="2">
    <mergeCell ref="B59:C61"/>
    <mergeCell ref="B81:C83"/>
  </mergeCells>
  <pageMargins left="0.2" right="0.2" top="0.25" bottom="0.25" header="0.3" footer="0.3"/>
  <pageSetup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Q124"/>
  <sheetViews>
    <sheetView showGridLines="0" tabSelected="1" topLeftCell="B1" zoomScale="75" zoomScaleNormal="75" workbookViewId="0">
      <pane xSplit="3" ySplit="22" topLeftCell="E101" activePane="bottomRight" state="frozen"/>
      <selection activeCell="H50" sqref="H50"/>
      <selection pane="topRight" activeCell="H50" sqref="H50"/>
      <selection pane="bottomLeft" activeCell="H50" sqref="H50"/>
      <selection pane="bottomRight" activeCell="H50" sqref="H50"/>
    </sheetView>
  </sheetViews>
  <sheetFormatPr defaultRowHeight="12.75" x14ac:dyDescent="0.2"/>
  <cols>
    <col min="1" max="1" width="11.85546875" style="1" hidden="1" customWidth="1"/>
    <col min="2" max="2" width="30.140625" style="1" customWidth="1"/>
    <col min="3" max="3" width="3.85546875" style="1" customWidth="1"/>
    <col min="4" max="4" width="13.28515625" style="1" customWidth="1"/>
    <col min="5" max="5" width="15.140625" style="1" customWidth="1"/>
    <col min="6" max="6" width="13.28515625" style="1" customWidth="1"/>
    <col min="7" max="7" width="2.85546875" style="1" customWidth="1"/>
    <col min="8" max="8" width="13.28515625" style="1" customWidth="1"/>
    <col min="9" max="9" width="9.42578125" style="1" bestFit="1" customWidth="1"/>
    <col min="10" max="10" width="13.28515625" style="1" customWidth="1"/>
    <col min="11" max="11" width="3.140625" style="1" customWidth="1"/>
    <col min="12" max="12" width="13.28515625" style="1" customWidth="1"/>
    <col min="13" max="13" width="9.42578125" style="1" bestFit="1" customWidth="1"/>
    <col min="14" max="14" width="13.28515625" style="1" customWidth="1"/>
    <col min="15" max="15" width="3.7109375" style="1" customWidth="1"/>
    <col min="16" max="16" width="13.28515625" style="1" customWidth="1"/>
    <col min="17" max="16384" width="9.140625" style="1"/>
  </cols>
  <sheetData>
    <row r="19" spans="2:17" ht="33.75" customHeight="1" x14ac:dyDescent="0.25">
      <c r="B19" s="2"/>
      <c r="C19" s="2"/>
      <c r="D19" s="3"/>
      <c r="E19" s="4"/>
      <c r="F19" s="2"/>
      <c r="G19" s="4"/>
      <c r="H19" s="2"/>
    </row>
    <row r="20" spans="2:17" ht="20.25" x14ac:dyDescent="0.3"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15.75" x14ac:dyDescent="0.25">
      <c r="B21" s="2"/>
      <c r="C21" s="2"/>
      <c r="D21" s="6"/>
      <c r="E21" s="6"/>
      <c r="F21" s="6"/>
      <c r="G21" s="7"/>
      <c r="H21" s="6"/>
      <c r="I21" s="6"/>
      <c r="J21" s="6"/>
      <c r="K21" s="7"/>
      <c r="L21" s="6"/>
      <c r="M21" s="6"/>
      <c r="N21" s="6"/>
      <c r="O21" s="2"/>
      <c r="P21" s="6"/>
      <c r="Q21" s="8"/>
    </row>
    <row r="22" spans="2:17" ht="33" x14ac:dyDescent="0.3">
      <c r="B22" s="9" t="s">
        <v>0</v>
      </c>
      <c r="C22" s="10"/>
      <c r="D22" s="11" t="s">
        <v>1</v>
      </c>
      <c r="E22" s="11" t="s">
        <v>2</v>
      </c>
      <c r="F22" s="11" t="s">
        <v>3</v>
      </c>
      <c r="G22" s="10"/>
      <c r="H22" s="11" t="s">
        <v>1</v>
      </c>
      <c r="I22" s="11" t="s">
        <v>2</v>
      </c>
      <c r="J22" s="11" t="s">
        <v>3</v>
      </c>
      <c r="K22" s="10"/>
      <c r="L22" s="11" t="s">
        <v>1</v>
      </c>
      <c r="M22" s="11" t="s">
        <v>2</v>
      </c>
      <c r="N22" s="11" t="s">
        <v>3</v>
      </c>
      <c r="O22" s="10"/>
      <c r="P22" s="11" t="s">
        <v>3</v>
      </c>
      <c r="Q22" s="2"/>
    </row>
    <row r="23" spans="2:17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15.75" x14ac:dyDescent="0.25">
      <c r="B24" s="12" t="s">
        <v>4</v>
      </c>
      <c r="C24" s="2"/>
      <c r="D24" s="13">
        <v>221732.81464332045</v>
      </c>
      <c r="E24" s="14">
        <f t="shared" ref="E24:E35" si="0">IF(D24&lt;&gt;0,F24/D24,0)</f>
        <v>3.57</v>
      </c>
      <c r="F24" s="81">
        <f>+D24*'5. UTRs &amp; Sub Transmission'!$G$22</f>
        <v>791586.14827665396</v>
      </c>
      <c r="G24" s="2"/>
      <c r="H24" s="13">
        <v>221583.25700909455</v>
      </c>
      <c r="I24" s="14">
        <f t="shared" ref="I24:I35" si="1">IF(H24&lt;&gt;0,J24/H24,0)</f>
        <v>0.8</v>
      </c>
      <c r="J24" s="16">
        <f>+H24*'5. UTRs &amp; Sub Transmission'!$G$24</f>
        <v>177266.60560727565</v>
      </c>
      <c r="K24" s="2"/>
      <c r="L24" s="13">
        <v>31949.74791734137</v>
      </c>
      <c r="M24" s="14">
        <f t="shared" ref="M24:M35" si="2">IF(L24&lt;&gt;0,N24/L24,0)</f>
        <v>1.86</v>
      </c>
      <c r="N24" s="15">
        <f>+L24*'5. UTRs &amp; Sub Transmission'!$G$26</f>
        <v>59426.531126254951</v>
      </c>
      <c r="O24" s="2"/>
      <c r="P24" s="17">
        <f t="shared" ref="P24:P35" si="3">J24+N24</f>
        <v>236693.13673353061</v>
      </c>
      <c r="Q24" s="2"/>
    </row>
    <row r="25" spans="2:17" ht="15.75" x14ac:dyDescent="0.25">
      <c r="B25" s="12" t="s">
        <v>5</v>
      </c>
      <c r="C25" s="2"/>
      <c r="D25" s="13">
        <v>216202.65277926091</v>
      </c>
      <c r="E25" s="14">
        <f t="shared" si="0"/>
        <v>3.57</v>
      </c>
      <c r="F25" s="81">
        <f>+D25*'5. UTRs &amp; Sub Transmission'!$G$22</f>
        <v>771843.47042196139</v>
      </c>
      <c r="G25" s="2"/>
      <c r="H25" s="13">
        <v>216841.18890737434</v>
      </c>
      <c r="I25" s="14">
        <f t="shared" si="1"/>
        <v>0.8</v>
      </c>
      <c r="J25" s="16">
        <f>+H25*'5. UTRs &amp; Sub Transmission'!$G$24</f>
        <v>173472.95112589948</v>
      </c>
      <c r="K25" s="2"/>
      <c r="L25" s="13">
        <v>31749.812073052624</v>
      </c>
      <c r="M25" s="14">
        <f t="shared" si="2"/>
        <v>1.86</v>
      </c>
      <c r="N25" s="15">
        <f>+L25*'5. UTRs &amp; Sub Transmission'!$G$26</f>
        <v>59054.650455877883</v>
      </c>
      <c r="O25" s="2"/>
      <c r="P25" s="17">
        <f t="shared" si="3"/>
        <v>232527.60158177736</v>
      </c>
      <c r="Q25" s="2"/>
    </row>
    <row r="26" spans="2:17" ht="15.75" x14ac:dyDescent="0.25">
      <c r="B26" s="12" t="s">
        <v>6</v>
      </c>
      <c r="C26" s="2"/>
      <c r="D26" s="13">
        <v>216584.32628824608</v>
      </c>
      <c r="E26" s="14">
        <f t="shared" si="0"/>
        <v>3.57</v>
      </c>
      <c r="F26" s="81">
        <f>+D26*'5. UTRs &amp; Sub Transmission'!$G$22</f>
        <v>773206.04484903847</v>
      </c>
      <c r="G26" s="2"/>
      <c r="H26" s="13">
        <v>216438.24128273086</v>
      </c>
      <c r="I26" s="14">
        <f t="shared" si="1"/>
        <v>0.80000000000000016</v>
      </c>
      <c r="J26" s="16">
        <f>+H26*'5. UTRs &amp; Sub Transmission'!$G$24</f>
        <v>173150.59302618471</v>
      </c>
      <c r="K26" s="2"/>
      <c r="L26" s="13">
        <v>31840.039530988059</v>
      </c>
      <c r="M26" s="14">
        <f t="shared" si="2"/>
        <v>1.86</v>
      </c>
      <c r="N26" s="15">
        <f>+L26*'5. UTRs &amp; Sub Transmission'!$G$26</f>
        <v>59222.473527637791</v>
      </c>
      <c r="O26" s="2"/>
      <c r="P26" s="17">
        <f t="shared" si="3"/>
        <v>232373.06655382249</v>
      </c>
      <c r="Q26" s="2"/>
    </row>
    <row r="27" spans="2:17" ht="15.75" x14ac:dyDescent="0.25">
      <c r="B27" s="12" t="s">
        <v>7</v>
      </c>
      <c r="C27" s="2"/>
      <c r="D27" s="13">
        <v>183465.94135133002</v>
      </c>
      <c r="E27" s="14">
        <f t="shared" si="0"/>
        <v>3.5700000000000003</v>
      </c>
      <c r="F27" s="81">
        <f>+D27*'5. UTRs &amp; Sub Transmission'!$G$22</f>
        <v>654973.41062424821</v>
      </c>
      <c r="G27" s="2"/>
      <c r="H27" s="13">
        <v>200081.43859586757</v>
      </c>
      <c r="I27" s="14">
        <f t="shared" si="1"/>
        <v>0.8</v>
      </c>
      <c r="J27" s="16">
        <f>+H27*'5. UTRs &amp; Sub Transmission'!$G$24</f>
        <v>160065.15087669407</v>
      </c>
      <c r="K27" s="2"/>
      <c r="L27" s="13">
        <v>28555.965124542683</v>
      </c>
      <c r="M27" s="14">
        <f t="shared" si="2"/>
        <v>1.86</v>
      </c>
      <c r="N27" s="15">
        <f>+L27*'5. UTRs &amp; Sub Transmission'!$G$26</f>
        <v>53114.095131649396</v>
      </c>
      <c r="O27" s="2"/>
      <c r="P27" s="17">
        <f t="shared" si="3"/>
        <v>213179.24600834347</v>
      </c>
      <c r="Q27" s="2"/>
    </row>
    <row r="28" spans="2:17" ht="15.75" x14ac:dyDescent="0.25">
      <c r="B28" s="12" t="s">
        <v>8</v>
      </c>
      <c r="C28" s="2"/>
      <c r="D28" s="13">
        <v>187321.66459532554</v>
      </c>
      <c r="E28" s="14">
        <f t="shared" si="0"/>
        <v>3.57</v>
      </c>
      <c r="F28" s="81">
        <f>+D28*'5. UTRs &amp; Sub Transmission'!$G$22</f>
        <v>668738.34260531212</v>
      </c>
      <c r="G28" s="2"/>
      <c r="H28" s="13">
        <v>196006.84862046517</v>
      </c>
      <c r="I28" s="14">
        <f t="shared" si="1"/>
        <v>0.8</v>
      </c>
      <c r="J28" s="16">
        <f>+H28*'5. UTRs &amp; Sub Transmission'!$G$24</f>
        <v>156805.47889637214</v>
      </c>
      <c r="K28" s="2"/>
      <c r="L28" s="13">
        <v>25563.079332343477</v>
      </c>
      <c r="M28" s="14">
        <f t="shared" si="2"/>
        <v>1.86</v>
      </c>
      <c r="N28" s="15">
        <f>+L28*'5. UTRs &amp; Sub Transmission'!$G$26</f>
        <v>47547.327558158868</v>
      </c>
      <c r="O28" s="2"/>
      <c r="P28" s="17">
        <f t="shared" si="3"/>
        <v>204352.806454531</v>
      </c>
      <c r="Q28" s="2"/>
    </row>
    <row r="29" spans="2:17" ht="15.75" x14ac:dyDescent="0.25">
      <c r="B29" s="12" t="s">
        <v>9</v>
      </c>
      <c r="C29" s="2"/>
      <c r="D29" s="13">
        <v>243543.60887452221</v>
      </c>
      <c r="E29" s="14">
        <f t="shared" si="0"/>
        <v>3.57</v>
      </c>
      <c r="F29" s="81">
        <f>+D29*'5. UTRs &amp; Sub Transmission'!$G$22</f>
        <v>869450.68368204427</v>
      </c>
      <c r="G29" s="2"/>
      <c r="H29" s="13">
        <v>245280.26846140975</v>
      </c>
      <c r="I29" s="14">
        <f t="shared" si="1"/>
        <v>0.8</v>
      </c>
      <c r="J29" s="16">
        <f>+H29*'5. UTRs &amp; Sub Transmission'!$G$24</f>
        <v>196224.21476912781</v>
      </c>
      <c r="K29" s="2"/>
      <c r="L29" s="13">
        <v>30366.666155383311</v>
      </c>
      <c r="M29" s="14">
        <f t="shared" si="2"/>
        <v>1.86</v>
      </c>
      <c r="N29" s="15">
        <f>+L29*'5. UTRs &amp; Sub Transmission'!$G$26</f>
        <v>56481.999049012964</v>
      </c>
      <c r="O29" s="2"/>
      <c r="P29" s="17">
        <f t="shared" si="3"/>
        <v>252706.21381814076</v>
      </c>
      <c r="Q29" s="2"/>
    </row>
    <row r="30" spans="2:17" ht="15.75" x14ac:dyDescent="0.25">
      <c r="B30" s="12" t="s">
        <v>10</v>
      </c>
      <c r="C30" s="2"/>
      <c r="D30" s="13">
        <v>199857.38215656474</v>
      </c>
      <c r="E30" s="14">
        <f t="shared" si="0"/>
        <v>3.57</v>
      </c>
      <c r="F30" s="81">
        <f>+D30*'5. UTRs &amp; Sub Transmission'!$G$22</f>
        <v>713490.85429893609</v>
      </c>
      <c r="G30" s="2"/>
      <c r="H30" s="13">
        <v>207878.93652312862</v>
      </c>
      <c r="I30" s="14">
        <f t="shared" si="1"/>
        <v>0.80000000000000016</v>
      </c>
      <c r="J30" s="16">
        <f>+H30*'5. UTRs &amp; Sub Transmission'!$G$24</f>
        <v>166303.14921850292</v>
      </c>
      <c r="K30" s="2"/>
      <c r="L30" s="13">
        <v>26835.491551637486</v>
      </c>
      <c r="M30" s="14">
        <f t="shared" si="2"/>
        <v>1.86</v>
      </c>
      <c r="N30" s="15">
        <f>+L30*'5. UTRs &amp; Sub Transmission'!$G$26</f>
        <v>49914.014286045727</v>
      </c>
      <c r="O30" s="2"/>
      <c r="P30" s="17">
        <f t="shared" si="3"/>
        <v>216217.16350454866</v>
      </c>
      <c r="Q30" s="2"/>
    </row>
    <row r="31" spans="2:17" ht="15.75" x14ac:dyDescent="0.25">
      <c r="B31" s="12" t="s">
        <v>11</v>
      </c>
      <c r="C31" s="2"/>
      <c r="D31" s="13">
        <v>242802.8339457929</v>
      </c>
      <c r="E31" s="14">
        <f t="shared" si="0"/>
        <v>3.57</v>
      </c>
      <c r="F31" s="81">
        <f>+D31*'5. UTRs &amp; Sub Transmission'!$G$22</f>
        <v>866806.11718648055</v>
      </c>
      <c r="G31" s="2"/>
      <c r="H31" s="13">
        <v>250971.775495496</v>
      </c>
      <c r="I31" s="14">
        <f t="shared" si="1"/>
        <v>0.8</v>
      </c>
      <c r="J31" s="16">
        <f>+H31*'5. UTRs &amp; Sub Transmission'!$G$24</f>
        <v>200777.4203963968</v>
      </c>
      <c r="K31" s="2"/>
      <c r="L31" s="13">
        <v>29318.797268905892</v>
      </c>
      <c r="M31" s="14">
        <f t="shared" si="2"/>
        <v>1.86</v>
      </c>
      <c r="N31" s="15">
        <f>+L31*'5. UTRs &amp; Sub Transmission'!$G$26</f>
        <v>54532.962920164959</v>
      </c>
      <c r="O31" s="2"/>
      <c r="P31" s="17">
        <f t="shared" si="3"/>
        <v>255310.38331656175</v>
      </c>
      <c r="Q31" s="2"/>
    </row>
    <row r="32" spans="2:17" ht="15.75" x14ac:dyDescent="0.25">
      <c r="B32" s="12" t="s">
        <v>12</v>
      </c>
      <c r="C32" s="2"/>
      <c r="D32" s="13">
        <v>202315.68787572737</v>
      </c>
      <c r="E32" s="14">
        <f t="shared" si="0"/>
        <v>3.57</v>
      </c>
      <c r="F32" s="81">
        <f>+D32*'5. UTRs &amp; Sub Transmission'!$G$22</f>
        <v>722267.00571634667</v>
      </c>
      <c r="G32" s="2"/>
      <c r="H32" s="13">
        <v>214832.60265628895</v>
      </c>
      <c r="I32" s="14">
        <f t="shared" si="1"/>
        <v>0.8</v>
      </c>
      <c r="J32" s="16">
        <f>+H32*'5. UTRs &amp; Sub Transmission'!$G$24</f>
        <v>171866.08212503116</v>
      </c>
      <c r="K32" s="2"/>
      <c r="L32" s="13">
        <v>27431.197836415744</v>
      </c>
      <c r="M32" s="14">
        <f t="shared" si="2"/>
        <v>1.8599999999999999</v>
      </c>
      <c r="N32" s="15">
        <f>+L32*'5. UTRs &amp; Sub Transmission'!$G$26</f>
        <v>51022.027975733283</v>
      </c>
      <c r="O32" s="2"/>
      <c r="P32" s="17">
        <f t="shared" si="3"/>
        <v>222888.11010076443</v>
      </c>
      <c r="Q32" s="2"/>
    </row>
    <row r="33" spans="2:17" ht="15.75" x14ac:dyDescent="0.25">
      <c r="B33" s="12" t="s">
        <v>13</v>
      </c>
      <c r="C33" s="2"/>
      <c r="D33" s="13">
        <v>194359.02641825398</v>
      </c>
      <c r="E33" s="14">
        <f t="shared" si="0"/>
        <v>3.57</v>
      </c>
      <c r="F33" s="81">
        <f>+D33*'5. UTRs &amp; Sub Transmission'!$G$22</f>
        <v>693861.72431316669</v>
      </c>
      <c r="G33" s="2"/>
      <c r="H33" s="13">
        <v>202064.39204640314</v>
      </c>
      <c r="I33" s="14">
        <f t="shared" si="1"/>
        <v>0.8</v>
      </c>
      <c r="J33" s="16">
        <f>+H33*'5. UTRs &amp; Sub Transmission'!$G$24</f>
        <v>161651.51363712252</v>
      </c>
      <c r="K33" s="2"/>
      <c r="L33" s="13">
        <v>28390.889889001719</v>
      </c>
      <c r="M33" s="14">
        <f t="shared" si="2"/>
        <v>1.86</v>
      </c>
      <c r="N33" s="15">
        <f>+L33*'5. UTRs &amp; Sub Transmission'!$G$26</f>
        <v>52807.055193543201</v>
      </c>
      <c r="O33" s="2"/>
      <c r="P33" s="17">
        <f t="shared" si="3"/>
        <v>214458.56883066572</v>
      </c>
      <c r="Q33" s="2"/>
    </row>
    <row r="34" spans="2:17" ht="15.75" x14ac:dyDescent="0.25">
      <c r="B34" s="12" t="s">
        <v>14</v>
      </c>
      <c r="C34" s="2"/>
      <c r="D34" s="13">
        <v>207820.19963837662</v>
      </c>
      <c r="E34" s="14">
        <f t="shared" si="0"/>
        <v>3.57</v>
      </c>
      <c r="F34" s="81">
        <f>+D34*'5. UTRs &amp; Sub Transmission'!$G$22</f>
        <v>741918.11270900455</v>
      </c>
      <c r="G34" s="2"/>
      <c r="H34" s="13">
        <v>213770.37940150363</v>
      </c>
      <c r="I34" s="14">
        <f t="shared" si="1"/>
        <v>0.8</v>
      </c>
      <c r="J34" s="16">
        <f>+H34*'5. UTRs &amp; Sub Transmission'!$G$24</f>
        <v>171016.30352120291</v>
      </c>
      <c r="K34" s="2"/>
      <c r="L34" s="13">
        <v>30726.550675103052</v>
      </c>
      <c r="M34" s="14">
        <f t="shared" si="2"/>
        <v>1.86</v>
      </c>
      <c r="N34" s="15">
        <f>+L34*'5. UTRs &amp; Sub Transmission'!$G$26</f>
        <v>57151.384255691679</v>
      </c>
      <c r="O34" s="2"/>
      <c r="P34" s="17">
        <f t="shared" si="3"/>
        <v>228167.6877768946</v>
      </c>
      <c r="Q34" s="2"/>
    </row>
    <row r="35" spans="2:17" ht="15.75" x14ac:dyDescent="0.25">
      <c r="B35" s="12" t="s">
        <v>15</v>
      </c>
      <c r="C35" s="2"/>
      <c r="D35" s="13">
        <v>220775.55285868826</v>
      </c>
      <c r="E35" s="14">
        <f t="shared" si="0"/>
        <v>3.57</v>
      </c>
      <c r="F35" s="81">
        <f>+D35*'5. UTRs &amp; Sub Transmission'!$G$22</f>
        <v>788168.72370551701</v>
      </c>
      <c r="G35" s="2"/>
      <c r="H35" s="13">
        <v>223214.52843608632</v>
      </c>
      <c r="I35" s="14">
        <f t="shared" si="1"/>
        <v>0.8</v>
      </c>
      <c r="J35" s="16">
        <f>+H35*'5. UTRs &amp; Sub Transmission'!$G$24</f>
        <v>178571.62274886906</v>
      </c>
      <c r="K35" s="2"/>
      <c r="L35" s="13">
        <v>32206.075922839762</v>
      </c>
      <c r="M35" s="14">
        <f t="shared" si="2"/>
        <v>1.86</v>
      </c>
      <c r="N35" s="15">
        <f>+L35*'5. UTRs &amp; Sub Transmission'!$G$26</f>
        <v>59903.301216481959</v>
      </c>
      <c r="O35" s="2"/>
      <c r="P35" s="17">
        <f t="shared" si="3"/>
        <v>238474.92396535102</v>
      </c>
      <c r="Q35" s="2"/>
    </row>
    <row r="36" spans="2:17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9.5" thickBot="1" x14ac:dyDescent="0.35">
      <c r="B37" s="18" t="s">
        <v>16</v>
      </c>
      <c r="C37" s="2"/>
      <c r="D37" s="19">
        <f>SUM(D24:D35)</f>
        <v>2536781.6914254087</v>
      </c>
      <c r="E37" s="20">
        <f>IF(D37&lt;&gt;0,F37/D37,0)</f>
        <v>3.57</v>
      </c>
      <c r="F37" s="21">
        <f>SUM(F24:F35)</f>
        <v>9056310.6383887082</v>
      </c>
      <c r="G37" s="2"/>
      <c r="H37" s="19">
        <f>SUM(H24:H35)</f>
        <v>2608963.8574358486</v>
      </c>
      <c r="I37" s="20">
        <f>IF(H37&lt;&gt;0,J37/H37,0)</f>
        <v>0.80000000000000016</v>
      </c>
      <c r="J37" s="21">
        <f>SUM(J24:J35)</f>
        <v>2087171.0859486791</v>
      </c>
      <c r="K37" s="2"/>
      <c r="L37" s="19">
        <f>SUM(L24:L35)</f>
        <v>354934.31327755511</v>
      </c>
      <c r="M37" s="20">
        <f>IF(L37&lt;&gt;0,N37/L37,0)</f>
        <v>1.8600000000000005</v>
      </c>
      <c r="N37" s="21">
        <f>SUM(N24:N35)</f>
        <v>660177.82269625273</v>
      </c>
      <c r="O37" s="2"/>
      <c r="P37" s="21">
        <f>SUM(P24:P35)</f>
        <v>2747348.9086449323</v>
      </c>
      <c r="Q37" s="2"/>
    </row>
    <row r="38" spans="2:17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0.25" x14ac:dyDescent="0.3"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16.5" x14ac:dyDescent="0.3">
      <c r="B40" s="9"/>
      <c r="C40" s="10"/>
      <c r="D40" s="11"/>
      <c r="E40" s="11"/>
      <c r="F40" s="11"/>
      <c r="G40" s="10"/>
      <c r="H40" s="11"/>
      <c r="I40" s="11"/>
      <c r="J40" s="11"/>
      <c r="K40" s="10"/>
      <c r="L40" s="11"/>
      <c r="M40" s="11"/>
      <c r="N40" s="11"/>
      <c r="O40" s="10"/>
      <c r="P40" s="11"/>
      <c r="Q40" s="2"/>
    </row>
    <row r="41" spans="2:17" ht="33" x14ac:dyDescent="0.3">
      <c r="B41" s="9" t="s">
        <v>0</v>
      </c>
      <c r="C41" s="10"/>
      <c r="D41" s="11" t="s">
        <v>1</v>
      </c>
      <c r="E41" s="11" t="s">
        <v>2</v>
      </c>
      <c r="F41" s="11" t="s">
        <v>3</v>
      </c>
      <c r="G41" s="10"/>
      <c r="H41" s="11" t="s">
        <v>1</v>
      </c>
      <c r="I41" s="11" t="s">
        <v>2</v>
      </c>
      <c r="J41" s="11" t="s">
        <v>3</v>
      </c>
      <c r="K41" s="10"/>
      <c r="L41" s="11" t="s">
        <v>1</v>
      </c>
      <c r="M41" s="11" t="s">
        <v>2</v>
      </c>
      <c r="N41" s="11" t="s">
        <v>3</v>
      </c>
      <c r="O41" s="10"/>
      <c r="P41" s="11" t="s">
        <v>3</v>
      </c>
      <c r="Q41" s="2"/>
    </row>
    <row r="42" spans="2:17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ht="15.75" x14ac:dyDescent="0.25">
      <c r="B43" s="12" t="s">
        <v>4</v>
      </c>
      <c r="C43" s="2"/>
      <c r="D43" s="13">
        <v>5909.7833649318909</v>
      </c>
      <c r="E43" s="82">
        <f t="shared" ref="E43:E54" si="4">IF(D43&lt;&gt;0,F43/D43,0)</f>
        <v>2.65</v>
      </c>
      <c r="F43" s="15">
        <f>(+'5. UTRs &amp; Sub Transmission'!$G$35)*D43</f>
        <v>15660.92591706951</v>
      </c>
      <c r="G43" s="2"/>
      <c r="H43" s="13">
        <v>5905.7972466829142</v>
      </c>
      <c r="I43" s="82">
        <f t="shared" ref="I43:I54" si="5">IF(H43&lt;&gt;0,J43/H43,0)</f>
        <v>0.64</v>
      </c>
      <c r="J43" s="15">
        <f>(+'5. UTRs &amp; Sub Transmission'!$G$37)*H43</f>
        <v>3779.7102378770651</v>
      </c>
      <c r="K43" s="2"/>
      <c r="L43" s="13">
        <v>5870.2788852994263</v>
      </c>
      <c r="M43" s="14">
        <f t="shared" ref="M43:M54" si="6">IF(L43&lt;&gt;0,N43/L43,0)</f>
        <v>1.5</v>
      </c>
      <c r="N43" s="15">
        <f>+L43*'5. UTRs &amp; Sub Transmission'!$G$39</f>
        <v>8805.418327949139</v>
      </c>
      <c r="O43" s="2"/>
      <c r="P43" s="17">
        <f t="shared" ref="P43:P54" si="7">J43+N43</f>
        <v>12585.128565826204</v>
      </c>
      <c r="Q43" s="2"/>
    </row>
    <row r="44" spans="2:17" ht="15.75" x14ac:dyDescent="0.25">
      <c r="B44" s="12" t="s">
        <v>5</v>
      </c>
      <c r="C44" s="2"/>
      <c r="D44" s="13">
        <v>5506.563770762059</v>
      </c>
      <c r="E44" s="82">
        <f t="shared" si="4"/>
        <v>2.65</v>
      </c>
      <c r="F44" s="15">
        <f>(+'5. UTRs &amp; Sub Transmission'!$G$35)*D44</f>
        <v>14592.393992519455</v>
      </c>
      <c r="G44" s="2"/>
      <c r="H44" s="13">
        <v>5758.1523155158411</v>
      </c>
      <c r="I44" s="82">
        <f t="shared" si="5"/>
        <v>0.64</v>
      </c>
      <c r="J44" s="15">
        <f>(+'5. UTRs &amp; Sub Transmission'!$G$37)*H44</f>
        <v>3685.2174819301385</v>
      </c>
      <c r="K44" s="2"/>
      <c r="L44" s="13">
        <v>5723.521913166941</v>
      </c>
      <c r="M44" s="14">
        <f t="shared" si="6"/>
        <v>1.5</v>
      </c>
      <c r="N44" s="15">
        <f>+L44*'5. UTRs &amp; Sub Transmission'!$G$39</f>
        <v>8585.2828697504119</v>
      </c>
      <c r="O44" s="2"/>
      <c r="P44" s="17">
        <f t="shared" si="7"/>
        <v>12270.50035168055</v>
      </c>
      <c r="Q44" s="2"/>
    </row>
    <row r="45" spans="2:17" ht="15.75" x14ac:dyDescent="0.25">
      <c r="B45" s="12" t="s">
        <v>6</v>
      </c>
      <c r="C45" s="2"/>
      <c r="D45" s="13">
        <v>5138.2283145102274</v>
      </c>
      <c r="E45" s="82">
        <f t="shared" si="4"/>
        <v>2.65</v>
      </c>
      <c r="F45" s="15">
        <f>(+'5. UTRs &amp; Sub Transmission'!$G$35)*D45</f>
        <v>13616.305033452101</v>
      </c>
      <c r="G45" s="2"/>
      <c r="H45" s="13">
        <v>5134.7626061437559</v>
      </c>
      <c r="I45" s="82">
        <f t="shared" si="5"/>
        <v>0.64</v>
      </c>
      <c r="J45" s="15">
        <f>(+'5. UTRs &amp; Sub Transmission'!$G$37)*H45</f>
        <v>3286.2480679320038</v>
      </c>
      <c r="K45" s="2"/>
      <c r="L45" s="13">
        <v>5103.8813641631123</v>
      </c>
      <c r="M45" s="14">
        <f t="shared" si="6"/>
        <v>1.5</v>
      </c>
      <c r="N45" s="15">
        <f>+L45*'5. UTRs &amp; Sub Transmission'!$G$39</f>
        <v>7655.8220462446679</v>
      </c>
      <c r="O45" s="2"/>
      <c r="P45" s="17">
        <f t="shared" si="7"/>
        <v>10942.070114176671</v>
      </c>
      <c r="Q45" s="2"/>
    </row>
    <row r="46" spans="2:17" ht="15.75" x14ac:dyDescent="0.25">
      <c r="B46" s="12" t="s">
        <v>7</v>
      </c>
      <c r="C46" s="2"/>
      <c r="D46" s="13">
        <v>4762.7108298635139</v>
      </c>
      <c r="E46" s="82">
        <f t="shared" si="4"/>
        <v>2.65</v>
      </c>
      <c r="F46" s="15">
        <f>(+'5. UTRs &amp; Sub Transmission'!$G$35)*D46</f>
        <v>12621.183699138312</v>
      </c>
      <c r="G46" s="2"/>
      <c r="H46" s="13">
        <v>4759.4984060941124</v>
      </c>
      <c r="I46" s="82">
        <f t="shared" si="5"/>
        <v>0.64</v>
      </c>
      <c r="J46" s="15">
        <f>(+'5. UTRs &amp; Sub Transmission'!$G$37)*H46</f>
        <v>3046.0789799002318</v>
      </c>
      <c r="K46" s="2"/>
      <c r="L46" s="13">
        <v>4730.8740599930443</v>
      </c>
      <c r="M46" s="14">
        <f t="shared" si="6"/>
        <v>1.5</v>
      </c>
      <c r="N46" s="15">
        <f>+L46*'5. UTRs &amp; Sub Transmission'!$G$39</f>
        <v>7096.3110899895664</v>
      </c>
      <c r="O46" s="2"/>
      <c r="P46" s="17">
        <f t="shared" si="7"/>
        <v>10142.390069889798</v>
      </c>
      <c r="Q46" s="2"/>
    </row>
    <row r="47" spans="2:17" ht="15.75" x14ac:dyDescent="0.25">
      <c r="B47" s="12" t="s">
        <v>8</v>
      </c>
      <c r="C47" s="2"/>
      <c r="D47" s="13">
        <v>4061.9500593342632</v>
      </c>
      <c r="E47" s="82">
        <f t="shared" si="4"/>
        <v>2.65</v>
      </c>
      <c r="F47" s="15">
        <f>(+'5. UTRs &amp; Sub Transmission'!$G$35)*D47</f>
        <v>10764.167657235797</v>
      </c>
      <c r="G47" s="2"/>
      <c r="H47" s="13">
        <v>4059.2102950725102</v>
      </c>
      <c r="I47" s="82">
        <f t="shared" si="5"/>
        <v>0.64</v>
      </c>
      <c r="J47" s="15">
        <f>(+'5. UTRs &amp; Sub Transmission'!$G$37)*H47</f>
        <v>2597.8945888464068</v>
      </c>
      <c r="K47" s="2"/>
      <c r="L47" s="13">
        <v>4034.7975880035469</v>
      </c>
      <c r="M47" s="14">
        <f t="shared" si="6"/>
        <v>1.5</v>
      </c>
      <c r="N47" s="15">
        <f>+L47*'5. UTRs &amp; Sub Transmission'!$G$39</f>
        <v>6052.1963820053206</v>
      </c>
      <c r="O47" s="2"/>
      <c r="P47" s="17">
        <f t="shared" si="7"/>
        <v>8650.0909708517283</v>
      </c>
      <c r="Q47" s="2"/>
    </row>
    <row r="48" spans="2:17" ht="15.75" x14ac:dyDescent="0.25">
      <c r="B48" s="12" t="s">
        <v>9</v>
      </c>
      <c r="C48" s="2"/>
      <c r="D48" s="13">
        <v>5464.4976044491759</v>
      </c>
      <c r="E48" s="82">
        <f t="shared" si="4"/>
        <v>2.65</v>
      </c>
      <c r="F48" s="15">
        <f>(+'5. UTRs &amp; Sub Transmission'!$G$35)*D48</f>
        <v>14480.918651790316</v>
      </c>
      <c r="G48" s="2"/>
      <c r="H48" s="13">
        <v>5462.8624531816959</v>
      </c>
      <c r="I48" s="82">
        <f t="shared" si="5"/>
        <v>0.64</v>
      </c>
      <c r="J48" s="15">
        <f>(+'5. UTRs &amp; Sub Transmission'!$G$37)*H48</f>
        <v>3496.2319700362855</v>
      </c>
      <c r="K48" s="2"/>
      <c r="L48" s="13">
        <v>5430.0079689019694</v>
      </c>
      <c r="M48" s="14">
        <f t="shared" si="6"/>
        <v>1.5</v>
      </c>
      <c r="N48" s="15">
        <f>+L48*'5. UTRs &amp; Sub Transmission'!$G$39</f>
        <v>8145.0119533529542</v>
      </c>
      <c r="O48" s="2"/>
      <c r="P48" s="17">
        <f t="shared" si="7"/>
        <v>11641.24392338924</v>
      </c>
      <c r="Q48" s="2"/>
    </row>
    <row r="49" spans="2:17" ht="15.75" x14ac:dyDescent="0.25">
      <c r="B49" s="12" t="s">
        <v>10</v>
      </c>
      <c r="C49" s="2"/>
      <c r="D49" s="13">
        <v>5310.5969959874074</v>
      </c>
      <c r="E49" s="82">
        <f t="shared" si="4"/>
        <v>2.65</v>
      </c>
      <c r="F49" s="15">
        <f>(+'5. UTRs &amp; Sub Transmission'!$G$35)*D49</f>
        <v>14073.082039366629</v>
      </c>
      <c r="G49" s="2"/>
      <c r="H49" s="13">
        <v>5307.0150258386748</v>
      </c>
      <c r="I49" s="82">
        <f t="shared" si="5"/>
        <v>0.64</v>
      </c>
      <c r="J49" s="15">
        <f>(+'5. UTRs &amp; Sub Transmission'!$G$37)*H49</f>
        <v>3396.4896165367518</v>
      </c>
      <c r="K49" s="2"/>
      <c r="L49" s="13">
        <v>5275.0978316510127</v>
      </c>
      <c r="M49" s="14">
        <f t="shared" si="6"/>
        <v>1.5</v>
      </c>
      <c r="N49" s="15">
        <f>+L49*'5. UTRs &amp; Sub Transmission'!$G$39</f>
        <v>7912.6467474765195</v>
      </c>
      <c r="O49" s="2"/>
      <c r="P49" s="17">
        <f t="shared" si="7"/>
        <v>11309.136364013271</v>
      </c>
      <c r="Q49" s="2"/>
    </row>
    <row r="50" spans="2:17" ht="15.75" x14ac:dyDescent="0.25">
      <c r="B50" s="12" t="s">
        <v>11</v>
      </c>
      <c r="C50" s="2"/>
      <c r="D50" s="13">
        <v>5553.7599573570005</v>
      </c>
      <c r="E50" s="82">
        <f t="shared" si="4"/>
        <v>2.65</v>
      </c>
      <c r="F50" s="15">
        <f>(+'5. UTRs &amp; Sub Transmission'!$G$35)*D50</f>
        <v>14717.463886996051</v>
      </c>
      <c r="G50" s="2"/>
      <c r="H50" s="13">
        <v>5550.013975051148</v>
      </c>
      <c r="I50" s="82">
        <f t="shared" si="5"/>
        <v>0.64</v>
      </c>
      <c r="J50" s="15">
        <f>(+'5. UTRs &amp; Sub Transmission'!$G$37)*H50</f>
        <v>3552.0089440327347</v>
      </c>
      <c r="K50" s="2"/>
      <c r="L50" s="13">
        <v>5516.6353482857285</v>
      </c>
      <c r="M50" s="14">
        <f t="shared" si="6"/>
        <v>1.4999999999999998</v>
      </c>
      <c r="N50" s="15">
        <f>+L50*'5. UTRs &amp; Sub Transmission'!$G$39</f>
        <v>8274.9530224285918</v>
      </c>
      <c r="O50" s="2"/>
      <c r="P50" s="17">
        <f t="shared" si="7"/>
        <v>11826.961966461327</v>
      </c>
      <c r="Q50" s="2"/>
    </row>
    <row r="51" spans="2:17" ht="15.75" x14ac:dyDescent="0.25">
      <c r="B51" s="12" t="s">
        <v>12</v>
      </c>
      <c r="C51" s="2"/>
      <c r="D51" s="13">
        <v>4349.2311951295633</v>
      </c>
      <c r="E51" s="82">
        <f t="shared" si="4"/>
        <v>2.65</v>
      </c>
      <c r="F51" s="15">
        <f>(+'5. UTRs &amp; Sub Transmission'!$G$35)*D51</f>
        <v>11525.462667093343</v>
      </c>
      <c r="G51" s="2"/>
      <c r="H51" s="13">
        <v>4381.1582699784885</v>
      </c>
      <c r="I51" s="82">
        <f t="shared" si="5"/>
        <v>0.64</v>
      </c>
      <c r="J51" s="15">
        <f>(+'5. UTRs &amp; Sub Transmission'!$G$37)*H51</f>
        <v>2803.9412927862327</v>
      </c>
      <c r="K51" s="2"/>
      <c r="L51" s="13">
        <v>4354.8093189035499</v>
      </c>
      <c r="M51" s="14">
        <f t="shared" si="6"/>
        <v>1.5</v>
      </c>
      <c r="N51" s="15">
        <f>+L51*'5. UTRs &amp; Sub Transmission'!$G$39</f>
        <v>6532.2139783553248</v>
      </c>
      <c r="O51" s="2"/>
      <c r="P51" s="17">
        <f t="shared" si="7"/>
        <v>9336.155271141557</v>
      </c>
      <c r="Q51" s="2"/>
    </row>
    <row r="52" spans="2:17" ht="15.75" x14ac:dyDescent="0.25">
      <c r="B52" s="12" t="s">
        <v>13</v>
      </c>
      <c r="C52" s="2"/>
      <c r="D52" s="13">
        <v>4656.0064079966878</v>
      </c>
      <c r="E52" s="82">
        <f t="shared" si="4"/>
        <v>2.65</v>
      </c>
      <c r="F52" s="15">
        <f>(+'5. UTRs &amp; Sub Transmission'!$G$35)*D52</f>
        <v>12338.416981191222</v>
      </c>
      <c r="G52" s="2"/>
      <c r="H52" s="13">
        <v>4652.865955806782</v>
      </c>
      <c r="I52" s="82">
        <f t="shared" si="5"/>
        <v>0.64</v>
      </c>
      <c r="J52" s="15">
        <f>(+'5. UTRs &amp; Sub Transmission'!$G$37)*H52</f>
        <v>2977.8342117163406</v>
      </c>
      <c r="K52" s="2"/>
      <c r="L52" s="13">
        <v>4624.882913452916</v>
      </c>
      <c r="M52" s="14">
        <f t="shared" si="6"/>
        <v>1.5</v>
      </c>
      <c r="N52" s="15">
        <f>+L52*'5. UTRs &amp; Sub Transmission'!$G$39</f>
        <v>6937.3243701793745</v>
      </c>
      <c r="O52" s="2"/>
      <c r="P52" s="17">
        <f t="shared" si="7"/>
        <v>9915.1585818957155</v>
      </c>
      <c r="Q52" s="2"/>
    </row>
    <row r="53" spans="2:17" ht="15.75" x14ac:dyDescent="0.25">
      <c r="B53" s="12" t="s">
        <v>14</v>
      </c>
      <c r="C53" s="2"/>
      <c r="D53" s="13">
        <v>5336.2470973977024</v>
      </c>
      <c r="E53" s="82">
        <f t="shared" si="4"/>
        <v>2.65</v>
      </c>
      <c r="F53" s="15">
        <f>(+'5. UTRs &amp; Sub Transmission'!$G$35)*D53</f>
        <v>14141.054808103911</v>
      </c>
      <c r="G53" s="2"/>
      <c r="H53" s="13">
        <v>5332.6478263885137</v>
      </c>
      <c r="I53" s="82">
        <f t="shared" si="5"/>
        <v>0.64</v>
      </c>
      <c r="J53" s="15">
        <f>(+'5. UTRs &amp; Sub Transmission'!$G$37)*H53</f>
        <v>3412.8946088886487</v>
      </c>
      <c r="K53" s="2"/>
      <c r="L53" s="13">
        <v>5300.5764726462357</v>
      </c>
      <c r="M53" s="14">
        <f t="shared" si="6"/>
        <v>1.5</v>
      </c>
      <c r="N53" s="15">
        <f>+L53*'5. UTRs &amp; Sub Transmission'!$G$39</f>
        <v>7950.8647089693532</v>
      </c>
      <c r="O53" s="2"/>
      <c r="P53" s="17">
        <f t="shared" si="7"/>
        <v>11363.759317858003</v>
      </c>
      <c r="Q53" s="2"/>
    </row>
    <row r="54" spans="2:17" ht="15.75" x14ac:dyDescent="0.25">
      <c r="B54" s="12" t="s">
        <v>15</v>
      </c>
      <c r="C54" s="2"/>
      <c r="D54" s="13">
        <v>6031.8778476448933</v>
      </c>
      <c r="E54" s="82">
        <f t="shared" si="4"/>
        <v>2.65</v>
      </c>
      <c r="F54" s="15">
        <f>(+'5. UTRs &amp; Sub Transmission'!$G$35)*D54</f>
        <v>15984.476296258967</v>
      </c>
      <c r="G54" s="2"/>
      <c r="H54" s="13">
        <v>6027.8093773001483</v>
      </c>
      <c r="I54" s="82">
        <f t="shared" si="5"/>
        <v>0.64</v>
      </c>
      <c r="J54" s="15">
        <f>(+'5. UTRs &amp; Sub Transmission'!$G$37)*H54</f>
        <v>3857.7980014720952</v>
      </c>
      <c r="K54" s="2"/>
      <c r="L54" s="13">
        <v>5991.5572164366886</v>
      </c>
      <c r="M54" s="14">
        <f t="shared" si="6"/>
        <v>1.5</v>
      </c>
      <c r="N54" s="15">
        <f>+L54*'5. UTRs &amp; Sub Transmission'!$G$39</f>
        <v>8987.3358246550324</v>
      </c>
      <c r="O54" s="2"/>
      <c r="P54" s="17">
        <f t="shared" si="7"/>
        <v>12845.133826127127</v>
      </c>
      <c r="Q54" s="2"/>
    </row>
    <row r="55" spans="2:17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19.5" thickBot="1" x14ac:dyDescent="0.35">
      <c r="B56" s="18" t="s">
        <v>16</v>
      </c>
      <c r="C56" s="2"/>
      <c r="D56" s="19">
        <f>SUM(D43:D54)</f>
        <v>62081.453445364386</v>
      </c>
      <c r="E56" s="20">
        <f>IF(D56&lt;&gt;0,F56/D56,0)</f>
        <v>2.65</v>
      </c>
      <c r="F56" s="21">
        <f>SUM(F43:F54)</f>
        <v>164515.85163021562</v>
      </c>
      <c r="G56" s="2"/>
      <c r="H56" s="19">
        <f>SUM(H43:H54)</f>
        <v>62331.79375305459</v>
      </c>
      <c r="I56" s="20">
        <f>IF(H56&lt;&gt;0,J56/H56,0)</f>
        <v>0.64</v>
      </c>
      <c r="J56" s="21">
        <f>SUM(J43:J54)</f>
        <v>39892.348001954939</v>
      </c>
      <c r="K56" s="2"/>
      <c r="L56" s="19">
        <f>SUM(L43:L54)</f>
        <v>61956.920880904174</v>
      </c>
      <c r="M56" s="20">
        <f>IF(L56&lt;&gt;0,N56/L56,0)</f>
        <v>1.4999999999999998</v>
      </c>
      <c r="N56" s="21">
        <f>SUM(N43:N54)</f>
        <v>92935.381321356253</v>
      </c>
      <c r="O56" s="2"/>
      <c r="P56" s="21">
        <f>SUM(P43:P54)</f>
        <v>132827.72932331118</v>
      </c>
      <c r="Q56" s="2"/>
    </row>
    <row r="57" spans="2:17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ht="13.5" thickBo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12.75" customHeight="1" x14ac:dyDescent="0.2">
      <c r="B59" s="134" t="s">
        <v>17</v>
      </c>
      <c r="C59" s="13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2.75" customHeight="1" x14ac:dyDescent="0.2">
      <c r="B60" s="136"/>
      <c r="C60" s="13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ht="12.75" customHeight="1" thickBot="1" x14ac:dyDescent="0.25">
      <c r="B61" s="138"/>
      <c r="C61" s="13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33" x14ac:dyDescent="0.3">
      <c r="B62" s="9" t="s">
        <v>0</v>
      </c>
      <c r="C62" s="10"/>
      <c r="D62" s="11" t="s">
        <v>1</v>
      </c>
      <c r="E62" s="11" t="s">
        <v>2</v>
      </c>
      <c r="F62" s="11" t="s">
        <v>3</v>
      </c>
      <c r="G62" s="10"/>
      <c r="H62" s="11" t="s">
        <v>1</v>
      </c>
      <c r="I62" s="11" t="s">
        <v>2</v>
      </c>
      <c r="J62" s="11" t="s">
        <v>3</v>
      </c>
      <c r="K62" s="10"/>
      <c r="L62" s="11" t="s">
        <v>1</v>
      </c>
      <c r="M62" s="11" t="s">
        <v>2</v>
      </c>
      <c r="N62" s="11" t="s">
        <v>3</v>
      </c>
      <c r="O62" s="10"/>
      <c r="P62" s="11" t="s">
        <v>3</v>
      </c>
      <c r="Q62" s="2"/>
    </row>
    <row r="63" spans="2:17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15.75" x14ac:dyDescent="0.25">
      <c r="B64" s="12" t="s">
        <v>4</v>
      </c>
      <c r="C64" s="2"/>
      <c r="D64" s="13">
        <v>5110.2184037701854</v>
      </c>
      <c r="E64" s="83">
        <f t="shared" ref="E64:E75" si="8">IF(D64&lt;&gt;0,F64/D64,0)</f>
        <v>2.2864</v>
      </c>
      <c r="F64" s="15">
        <f>+D64*'5. UTRs &amp; Sub Transmission'!$E$70</f>
        <v>11684.003358380152</v>
      </c>
      <c r="G64" s="2"/>
      <c r="H64" s="13">
        <v>5106.7715879433317</v>
      </c>
      <c r="I64" s="83">
        <f t="shared" ref="I64:I75" si="9">IF(H64&lt;&gt;0,J64/H64,0)</f>
        <v>0.60440000000000005</v>
      </c>
      <c r="J64" s="15">
        <f>+H64*'5. UTRs &amp; Sub Transmission'!$E$72</f>
        <v>3086.5327477529499</v>
      </c>
      <c r="K64" s="2"/>
      <c r="L64" s="13"/>
      <c r="M64" s="14">
        <f t="shared" ref="M64:M75" si="10">IF(L64&lt;&gt;0,N64/L64,0)</f>
        <v>0</v>
      </c>
      <c r="N64" s="15"/>
      <c r="O64" s="2"/>
      <c r="P64" s="17">
        <f t="shared" ref="P64:P75" si="11">J64+N64</f>
        <v>3086.5327477529499</v>
      </c>
      <c r="Q64" s="2"/>
    </row>
    <row r="65" spans="2:17" ht="15.75" x14ac:dyDescent="0.25">
      <c r="B65" s="12" t="s">
        <v>5</v>
      </c>
      <c r="C65" s="2"/>
      <c r="D65" s="13">
        <v>4893.3006261636056</v>
      </c>
      <c r="E65" s="83">
        <f t="shared" si="8"/>
        <v>2.2864</v>
      </c>
      <c r="F65" s="15">
        <f>+D65*'5. UTRs &amp; Sub Transmission'!$E$70</f>
        <v>11188.042551660468</v>
      </c>
      <c r="G65" s="2"/>
      <c r="H65" s="13">
        <v>4890.5640418655494</v>
      </c>
      <c r="I65" s="83">
        <f t="shared" si="9"/>
        <v>0.60440000000000005</v>
      </c>
      <c r="J65" s="15">
        <f>+H65*'5. UTRs &amp; Sub Transmission'!$E$72</f>
        <v>2955.8569069035384</v>
      </c>
      <c r="K65" s="2"/>
      <c r="L65" s="13"/>
      <c r="M65" s="14">
        <f t="shared" si="10"/>
        <v>0</v>
      </c>
      <c r="N65" s="15"/>
      <c r="O65" s="2"/>
      <c r="P65" s="17">
        <f t="shared" si="11"/>
        <v>2955.8569069035384</v>
      </c>
      <c r="Q65" s="2"/>
    </row>
    <row r="66" spans="2:17" ht="15.75" x14ac:dyDescent="0.25">
      <c r="B66" s="12" t="s">
        <v>6</v>
      </c>
      <c r="C66" s="2"/>
      <c r="D66" s="13">
        <v>4776.0694026779956</v>
      </c>
      <c r="E66" s="83">
        <f t="shared" si="8"/>
        <v>2.2864</v>
      </c>
      <c r="F66" s="15">
        <f>+D66*'5. UTRs &amp; Sub Transmission'!$E$70</f>
        <v>10920.005082282969</v>
      </c>
      <c r="G66" s="2"/>
      <c r="H66" s="13">
        <v>4918.8626536725724</v>
      </c>
      <c r="I66" s="83">
        <f t="shared" si="9"/>
        <v>0.60440000000000005</v>
      </c>
      <c r="J66" s="15">
        <f>+H66*'5. UTRs &amp; Sub Transmission'!$E$72</f>
        <v>2972.9605878797029</v>
      </c>
      <c r="K66" s="2"/>
      <c r="L66" s="13"/>
      <c r="M66" s="14">
        <f t="shared" si="10"/>
        <v>0</v>
      </c>
      <c r="N66" s="15"/>
      <c r="O66" s="2"/>
      <c r="P66" s="17">
        <f t="shared" si="11"/>
        <v>2972.9605878797029</v>
      </c>
      <c r="Q66" s="2"/>
    </row>
    <row r="67" spans="2:17" ht="15.75" x14ac:dyDescent="0.25">
      <c r="B67" s="12" t="s">
        <v>7</v>
      </c>
      <c r="C67" s="2"/>
      <c r="D67" s="13">
        <v>3980.6187177825009</v>
      </c>
      <c r="E67" s="83">
        <f t="shared" si="8"/>
        <v>2.2864</v>
      </c>
      <c r="F67" s="15">
        <f>+D67*'5. UTRs &amp; Sub Transmission'!$E$70</f>
        <v>9101.2866363379107</v>
      </c>
      <c r="G67" s="2"/>
      <c r="H67" s="13">
        <v>3977.9338110890803</v>
      </c>
      <c r="I67" s="83">
        <f t="shared" si="9"/>
        <v>0.60440000000000005</v>
      </c>
      <c r="J67" s="15">
        <f>+H67*'5. UTRs &amp; Sub Transmission'!$E$72</f>
        <v>2404.2631954222402</v>
      </c>
      <c r="K67" s="2"/>
      <c r="L67" s="13"/>
      <c r="M67" s="14">
        <f t="shared" si="10"/>
        <v>0</v>
      </c>
      <c r="N67" s="15"/>
      <c r="O67" s="2"/>
      <c r="P67" s="17">
        <f t="shared" si="11"/>
        <v>2404.2631954222402</v>
      </c>
      <c r="Q67" s="2"/>
    </row>
    <row r="68" spans="2:17" ht="15.75" x14ac:dyDescent="0.25">
      <c r="B68" s="12" t="s">
        <v>8</v>
      </c>
      <c r="C68" s="2"/>
      <c r="D68" s="13">
        <v>3611.0725767441036</v>
      </c>
      <c r="E68" s="83">
        <f t="shared" si="8"/>
        <v>2.8775999999999997</v>
      </c>
      <c r="F68" s="15">
        <f>+D68*'5. UTRs &amp; Sub Transmission'!$G$70</f>
        <v>10391.222446838832</v>
      </c>
      <c r="G68" s="2"/>
      <c r="H68" s="13">
        <v>3608.6369270074397</v>
      </c>
      <c r="I68" s="83">
        <f t="shared" si="9"/>
        <v>0.68710000000000004</v>
      </c>
      <c r="J68" s="15">
        <f>+H68*'5. UTRs &amp; Sub Transmission'!$G$72</f>
        <v>2479.4944325468118</v>
      </c>
      <c r="K68" s="2"/>
      <c r="L68" s="13"/>
      <c r="M68" s="14">
        <f t="shared" si="10"/>
        <v>0</v>
      </c>
      <c r="N68" s="15"/>
      <c r="O68" s="2"/>
      <c r="P68" s="17">
        <f t="shared" si="11"/>
        <v>2479.4944325468118</v>
      </c>
      <c r="Q68" s="2"/>
    </row>
    <row r="69" spans="2:17" ht="15.75" x14ac:dyDescent="0.25">
      <c r="B69" s="12" t="s">
        <v>9</v>
      </c>
      <c r="C69" s="2"/>
      <c r="D69" s="13">
        <v>4898.9641685549987</v>
      </c>
      <c r="E69" s="83">
        <f t="shared" si="8"/>
        <v>2.8776000000000002</v>
      </c>
      <c r="F69" s="15">
        <f>+D69*'5. UTRs &amp; Sub Transmission'!$G$70</f>
        <v>14097.259291433866</v>
      </c>
      <c r="G69" s="2"/>
      <c r="H69" s="13">
        <v>4895.6598426148576</v>
      </c>
      <c r="I69" s="83">
        <f t="shared" si="9"/>
        <v>0.68710000000000004</v>
      </c>
      <c r="J69" s="15">
        <f>+H69*'5. UTRs &amp; Sub Transmission'!$G$72</f>
        <v>3363.8078778606687</v>
      </c>
      <c r="K69" s="2"/>
      <c r="L69" s="13"/>
      <c r="M69" s="14">
        <f t="shared" si="10"/>
        <v>0</v>
      </c>
      <c r="N69" s="15"/>
      <c r="O69" s="2"/>
      <c r="P69" s="17">
        <f t="shared" si="11"/>
        <v>3363.8078778606687</v>
      </c>
      <c r="Q69" s="2"/>
    </row>
    <row r="70" spans="2:17" ht="15.75" x14ac:dyDescent="0.25">
      <c r="B70" s="12" t="s">
        <v>10</v>
      </c>
      <c r="C70" s="2"/>
      <c r="D70" s="13">
        <v>4177.9911181144362</v>
      </c>
      <c r="E70" s="83">
        <f t="shared" si="8"/>
        <v>2.8776000000000002</v>
      </c>
      <c r="F70" s="15">
        <f>+D70*'5. UTRs &amp; Sub Transmission'!$G$70</f>
        <v>12022.587241486102</v>
      </c>
      <c r="G70" s="2"/>
      <c r="H70" s="13">
        <v>4175.173084759982</v>
      </c>
      <c r="I70" s="83">
        <f t="shared" si="9"/>
        <v>0.68710000000000004</v>
      </c>
      <c r="J70" s="15">
        <f>+H70*'5. UTRs &amp; Sub Transmission'!$G$72</f>
        <v>2868.7614265385837</v>
      </c>
      <c r="K70" s="2"/>
      <c r="L70" s="13"/>
      <c r="M70" s="14">
        <f t="shared" si="10"/>
        <v>0</v>
      </c>
      <c r="N70" s="15"/>
      <c r="O70" s="2"/>
      <c r="P70" s="17">
        <f t="shared" si="11"/>
        <v>2868.7614265385837</v>
      </c>
      <c r="Q70" s="2"/>
    </row>
    <row r="71" spans="2:17" ht="15.75" x14ac:dyDescent="0.25">
      <c r="B71" s="12" t="s">
        <v>11</v>
      </c>
      <c r="C71" s="2"/>
      <c r="D71" s="13">
        <v>4361.4919436036844</v>
      </c>
      <c r="E71" s="83">
        <f t="shared" si="8"/>
        <v>2.8776000000000002</v>
      </c>
      <c r="F71" s="15">
        <f>+D71*'5. UTRs &amp; Sub Transmission'!$G$70</f>
        <v>12550.629216913963</v>
      </c>
      <c r="G71" s="2"/>
      <c r="H71" s="13">
        <v>4358.5501398935303</v>
      </c>
      <c r="I71" s="83">
        <f t="shared" si="9"/>
        <v>0.68710000000000004</v>
      </c>
      <c r="J71" s="15">
        <f>+H71*'5. UTRs &amp; Sub Transmission'!$G$72</f>
        <v>2994.7598011208447</v>
      </c>
      <c r="K71" s="2"/>
      <c r="L71" s="13"/>
      <c r="M71" s="14">
        <f t="shared" si="10"/>
        <v>0</v>
      </c>
      <c r="N71" s="15"/>
      <c r="O71" s="2"/>
      <c r="P71" s="17">
        <f t="shared" si="11"/>
        <v>2994.7598011208447</v>
      </c>
      <c r="Q71" s="2"/>
    </row>
    <row r="72" spans="2:17" ht="15.75" x14ac:dyDescent="0.25">
      <c r="B72" s="12" t="s">
        <v>12</v>
      </c>
      <c r="C72" s="2"/>
      <c r="D72" s="13">
        <v>3068.2240905371914</v>
      </c>
      <c r="E72" s="83">
        <f t="shared" si="8"/>
        <v>2.8776000000000002</v>
      </c>
      <c r="F72" s="15">
        <f>+D72*'5. UTRs &amp; Sub Transmission'!$G$70</f>
        <v>8829.121642929822</v>
      </c>
      <c r="G72" s="2"/>
      <c r="H72" s="13">
        <v>3067.2824325150586</v>
      </c>
      <c r="I72" s="83">
        <f t="shared" si="9"/>
        <v>0.68710000000000004</v>
      </c>
      <c r="J72" s="15">
        <f>+H72*'5. UTRs &amp; Sub Transmission'!$G$72</f>
        <v>2107.5297593810969</v>
      </c>
      <c r="K72" s="2"/>
      <c r="L72" s="13"/>
      <c r="M72" s="14">
        <f t="shared" si="10"/>
        <v>0</v>
      </c>
      <c r="N72" s="15"/>
      <c r="O72" s="2"/>
      <c r="P72" s="17">
        <f t="shared" si="11"/>
        <v>2107.5297593810969</v>
      </c>
      <c r="Q72" s="2"/>
    </row>
    <row r="73" spans="2:17" ht="15.75" x14ac:dyDescent="0.25">
      <c r="B73" s="12" t="s">
        <v>13</v>
      </c>
      <c r="C73" s="2"/>
      <c r="D73" s="13">
        <v>3359.6092425581387</v>
      </c>
      <c r="E73" s="83">
        <f t="shared" si="8"/>
        <v>2.8776000000000002</v>
      </c>
      <c r="F73" s="15">
        <f>+D73*'5. UTRs &amp; Sub Transmission'!$G$70</f>
        <v>9667.6115563853</v>
      </c>
      <c r="G73" s="2"/>
      <c r="H73" s="13">
        <v>3357.3432035370374</v>
      </c>
      <c r="I73" s="83">
        <f t="shared" si="9"/>
        <v>0.68710000000000004</v>
      </c>
      <c r="J73" s="15">
        <f>+H73*'5. UTRs &amp; Sub Transmission'!$G$72</f>
        <v>2306.8305151502987</v>
      </c>
      <c r="K73" s="2"/>
      <c r="L73" s="13"/>
      <c r="M73" s="14">
        <f t="shared" si="10"/>
        <v>0</v>
      </c>
      <c r="N73" s="15"/>
      <c r="O73" s="2"/>
      <c r="P73" s="17">
        <f t="shared" si="11"/>
        <v>2306.8305151502987</v>
      </c>
      <c r="Q73" s="2"/>
    </row>
    <row r="74" spans="2:17" ht="15.75" x14ac:dyDescent="0.25">
      <c r="B74" s="12" t="s">
        <v>14</v>
      </c>
      <c r="C74" s="2"/>
      <c r="D74" s="13">
        <v>3717.8282988137498</v>
      </c>
      <c r="E74" s="83">
        <f t="shared" si="8"/>
        <v>2.8776000000000002</v>
      </c>
      <c r="F74" s="15">
        <f>+D74*'5. UTRs &amp; Sub Transmission'!$G$70</f>
        <v>10698.422712666446</v>
      </c>
      <c r="G74" s="2"/>
      <c r="H74" s="13">
        <v>3960.9546440048671</v>
      </c>
      <c r="I74" s="83">
        <f t="shared" si="9"/>
        <v>0.68710000000000004</v>
      </c>
      <c r="J74" s="15">
        <f>+H74*'5. UTRs &amp; Sub Transmission'!$G$72</f>
        <v>2721.5719358957444</v>
      </c>
      <c r="K74" s="2"/>
      <c r="L74" s="13"/>
      <c r="M74" s="14">
        <f t="shared" si="10"/>
        <v>0</v>
      </c>
      <c r="N74" s="15"/>
      <c r="O74" s="2"/>
      <c r="P74" s="17">
        <f t="shared" si="11"/>
        <v>2721.5719358957444</v>
      </c>
      <c r="Q74" s="2"/>
    </row>
    <row r="75" spans="2:17" ht="15.75" x14ac:dyDescent="0.25">
      <c r="B75" s="12" t="s">
        <v>15</v>
      </c>
      <c r="C75" s="2"/>
      <c r="D75" s="13">
        <v>4867.2503831713111</v>
      </c>
      <c r="E75" s="83">
        <f t="shared" si="8"/>
        <v>2.8776000000000002</v>
      </c>
      <c r="F75" s="15">
        <f>+D75*'5. UTRs &amp; Sub Transmission'!$G$70</f>
        <v>14005.999702613766</v>
      </c>
      <c r="G75" s="2"/>
      <c r="H75" s="13">
        <v>4863.967448015037</v>
      </c>
      <c r="I75" s="83">
        <f t="shared" si="9"/>
        <v>0.68710000000000004</v>
      </c>
      <c r="J75" s="15">
        <f>+H75*'5. UTRs &amp; Sub Transmission'!$G$72</f>
        <v>3342.0320335311321</v>
      </c>
      <c r="K75" s="2"/>
      <c r="L75" s="13"/>
      <c r="M75" s="14">
        <f t="shared" si="10"/>
        <v>0</v>
      </c>
      <c r="N75" s="15"/>
      <c r="O75" s="2"/>
      <c r="P75" s="17">
        <f t="shared" si="11"/>
        <v>3342.0320335311321</v>
      </c>
      <c r="Q75" s="2"/>
    </row>
    <row r="76" spans="2:17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19.5" thickBot="1" x14ac:dyDescent="0.35">
      <c r="B77" s="18" t="s">
        <v>16</v>
      </c>
      <c r="C77" s="2"/>
      <c r="D77" s="19">
        <f>SUM(D64:D75)</f>
        <v>50822.638972491906</v>
      </c>
      <c r="E77" s="20">
        <f>IF(D77&lt;&gt;0,F77/D77,0)</f>
        <v>2.6593698039388269</v>
      </c>
      <c r="F77" s="21">
        <f>SUM(F64:F75)</f>
        <v>135156.19143992959</v>
      </c>
      <c r="G77" s="2"/>
      <c r="H77" s="19">
        <f>SUM(H64:H75)</f>
        <v>51181.699816918335</v>
      </c>
      <c r="I77" s="20">
        <f>IF(H77&lt;&gt;0,J77/H77,0)</f>
        <v>0.65657063638350532</v>
      </c>
      <c r="J77" s="21">
        <f>SUM(J64:J75)</f>
        <v>33604.401219983607</v>
      </c>
      <c r="K77" s="2"/>
      <c r="L77" s="19">
        <f>SUM(L64:L75)</f>
        <v>0</v>
      </c>
      <c r="M77" s="20">
        <f>IF(L77&lt;&gt;0,N77/L77,0)</f>
        <v>0</v>
      </c>
      <c r="N77" s="21">
        <f>SUM(N64:N75)</f>
        <v>0</v>
      </c>
      <c r="O77" s="2"/>
      <c r="P77" s="21">
        <f>SUM(P64:P75)</f>
        <v>33604.401219983607</v>
      </c>
      <c r="Q77" s="2"/>
    </row>
    <row r="78" spans="2:17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13.5" thickBo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x14ac:dyDescent="0.2">
      <c r="B81" s="134" t="s">
        <v>18</v>
      </c>
      <c r="C81" s="13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2">
      <c r="B82" s="136"/>
      <c r="C82" s="13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13.5" thickBot="1" x14ac:dyDescent="0.25">
      <c r="B83" s="138"/>
      <c r="C83" s="13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33" x14ac:dyDescent="0.3">
      <c r="B85" s="9" t="s">
        <v>0</v>
      </c>
      <c r="C85" s="10"/>
      <c r="D85" s="11" t="s">
        <v>1</v>
      </c>
      <c r="E85" s="11" t="s">
        <v>2</v>
      </c>
      <c r="F85" s="11" t="s">
        <v>3</v>
      </c>
      <c r="G85" s="10"/>
      <c r="H85" s="11" t="s">
        <v>1</v>
      </c>
      <c r="I85" s="11" t="s">
        <v>2</v>
      </c>
      <c r="J85" s="11" t="s">
        <v>3</v>
      </c>
      <c r="K85" s="10"/>
      <c r="L85" s="11" t="s">
        <v>1</v>
      </c>
      <c r="M85" s="11" t="s">
        <v>2</v>
      </c>
      <c r="N85" s="11" t="s">
        <v>3</v>
      </c>
      <c r="O85" s="10"/>
      <c r="P85" s="11" t="s">
        <v>3</v>
      </c>
      <c r="Q85" s="2"/>
    </row>
    <row r="86" spans="2:17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ht="15.75" x14ac:dyDescent="0.25">
      <c r="B87" s="12" t="s">
        <v>4</v>
      </c>
      <c r="C87" s="2"/>
      <c r="D87" s="13">
        <v>7230.2505855338604</v>
      </c>
      <c r="E87" s="83">
        <f t="shared" ref="E87:E98" si="12">IF(D87&lt;&gt;0,F87/D87,0)</f>
        <v>2.1469999999999998</v>
      </c>
      <c r="F87" s="15">
        <f>+D87*'5. UTRs &amp; Sub Transmission'!$E$84</f>
        <v>15523.348007141198</v>
      </c>
      <c r="G87" s="2"/>
      <c r="H87" s="13">
        <v>7225.373818988628</v>
      </c>
      <c r="I87" s="83">
        <f t="shared" ref="I87:I98" si="13">IF(H87&lt;&gt;0,J87/H87,0)</f>
        <v>1.5896999999999999</v>
      </c>
      <c r="J87" s="15">
        <f>+H87*'5. UTRs &amp; Sub Transmission'!$E$86</f>
        <v>11486.176760046221</v>
      </c>
      <c r="K87" s="2"/>
      <c r="L87" s="13"/>
      <c r="M87" s="14">
        <f t="shared" ref="M87:M98" si="14">IF(L87&lt;&gt;0,N87/L87,0)</f>
        <v>0</v>
      </c>
      <c r="N87" s="15"/>
      <c r="O87" s="2"/>
      <c r="P87" s="17">
        <f t="shared" ref="P87:P98" si="15">J87+N87</f>
        <v>11486.176760046221</v>
      </c>
      <c r="Q87" s="2"/>
    </row>
    <row r="88" spans="2:17" ht="15.75" x14ac:dyDescent="0.25">
      <c r="B88" s="12" t="s">
        <v>5</v>
      </c>
      <c r="C88" s="2"/>
      <c r="D88" s="13">
        <v>7097.8960622567402</v>
      </c>
      <c r="E88" s="83">
        <f t="shared" si="12"/>
        <v>2.1469999999999998</v>
      </c>
      <c r="F88" s="15">
        <f>+D88*'5. UTRs &amp; Sub Transmission'!$E$84</f>
        <v>15239.18284566522</v>
      </c>
      <c r="G88" s="2"/>
      <c r="H88" s="13">
        <v>7093.1085681514587</v>
      </c>
      <c r="I88" s="83">
        <f t="shared" si="13"/>
        <v>1.5896999999999997</v>
      </c>
      <c r="J88" s="15">
        <f>+H88*'5. UTRs &amp; Sub Transmission'!$E$86</f>
        <v>11275.914690790372</v>
      </c>
      <c r="K88" s="2"/>
      <c r="L88" s="13"/>
      <c r="M88" s="14">
        <f t="shared" si="14"/>
        <v>0</v>
      </c>
      <c r="N88" s="15"/>
      <c r="O88" s="2"/>
      <c r="P88" s="17">
        <f t="shared" si="15"/>
        <v>11275.914690790372</v>
      </c>
      <c r="Q88" s="2"/>
    </row>
    <row r="89" spans="2:17" ht="15.75" x14ac:dyDescent="0.25">
      <c r="B89" s="12" t="s">
        <v>6</v>
      </c>
      <c r="C89" s="2"/>
      <c r="D89" s="13">
        <v>7106.1040947080337</v>
      </c>
      <c r="E89" s="83">
        <f t="shared" si="12"/>
        <v>2.1469999999999998</v>
      </c>
      <c r="F89" s="15">
        <f>+D89*'5. UTRs &amp; Sub Transmission'!$E$84</f>
        <v>15256.805491338147</v>
      </c>
      <c r="G89" s="2"/>
      <c r="H89" s="13">
        <v>7101.3110643274067</v>
      </c>
      <c r="I89" s="83">
        <f t="shared" si="13"/>
        <v>1.5896999999999999</v>
      </c>
      <c r="J89" s="15">
        <f>+H89*'5. UTRs &amp; Sub Transmission'!$E$86</f>
        <v>11288.954198961277</v>
      </c>
      <c r="K89" s="2"/>
      <c r="L89" s="13"/>
      <c r="M89" s="14">
        <f t="shared" si="14"/>
        <v>0</v>
      </c>
      <c r="N89" s="15"/>
      <c r="O89" s="2"/>
      <c r="P89" s="17">
        <f t="shared" si="15"/>
        <v>11288.954198961277</v>
      </c>
      <c r="Q89" s="2"/>
    </row>
    <row r="90" spans="2:17" ht="15.75" x14ac:dyDescent="0.25">
      <c r="B90" s="12" t="s">
        <v>7</v>
      </c>
      <c r="C90" s="2"/>
      <c r="D90" s="13">
        <v>6610.5441354611412</v>
      </c>
      <c r="E90" s="83">
        <f t="shared" si="12"/>
        <v>2.1469999999999998</v>
      </c>
      <c r="F90" s="15">
        <f>+D90*'5. UTRs &amp; Sub Transmission'!$E$84</f>
        <v>14192.838258835069</v>
      </c>
      <c r="G90" s="2"/>
      <c r="H90" s="13">
        <v>6606.0853577045164</v>
      </c>
      <c r="I90" s="83">
        <f t="shared" si="13"/>
        <v>1.5896999999999999</v>
      </c>
      <c r="J90" s="15">
        <f>+H90*'5. UTRs &amp; Sub Transmission'!$E$86</f>
        <v>10501.693893142869</v>
      </c>
      <c r="K90" s="2"/>
      <c r="L90" s="13"/>
      <c r="M90" s="14">
        <f t="shared" si="14"/>
        <v>0</v>
      </c>
      <c r="N90" s="15"/>
      <c r="O90" s="2"/>
      <c r="P90" s="17">
        <f t="shared" si="15"/>
        <v>10501.693893142869</v>
      </c>
      <c r="Q90" s="2"/>
    </row>
    <row r="91" spans="2:17" ht="15.75" x14ac:dyDescent="0.25">
      <c r="B91" s="12" t="s">
        <v>8</v>
      </c>
      <c r="C91" s="2"/>
      <c r="D91" s="13">
        <v>5970.3176042601863</v>
      </c>
      <c r="E91" s="83">
        <f t="shared" si="12"/>
        <v>2.5882000000000001</v>
      </c>
      <c r="F91" s="15">
        <f>+D91*'5. UTRs &amp; Sub Transmission'!$G$84</f>
        <v>15452.376023346214</v>
      </c>
      <c r="G91" s="2"/>
      <c r="H91" s="13">
        <v>5966.2906559805342</v>
      </c>
      <c r="I91" s="83">
        <f t="shared" si="13"/>
        <v>1.7677</v>
      </c>
      <c r="J91" s="15">
        <f>+H91*'5. UTRs &amp; Sub Transmission'!$G$86</f>
        <v>10546.611992576791</v>
      </c>
      <c r="K91" s="2"/>
      <c r="L91" s="13"/>
      <c r="M91" s="14">
        <f t="shared" si="14"/>
        <v>0</v>
      </c>
      <c r="N91" s="15"/>
      <c r="O91" s="2"/>
      <c r="P91" s="17">
        <f t="shared" si="15"/>
        <v>10546.611992576791</v>
      </c>
      <c r="Q91" s="2"/>
    </row>
    <row r="92" spans="2:17" ht="15.75" x14ac:dyDescent="0.25">
      <c r="B92" s="12" t="s">
        <v>9</v>
      </c>
      <c r="C92" s="2"/>
      <c r="D92" s="13">
        <v>6552.0619042456692</v>
      </c>
      <c r="E92" s="83">
        <f t="shared" si="12"/>
        <v>2.5882000000000001</v>
      </c>
      <c r="F92" s="15">
        <f>+D92*'5. UTRs &amp; Sub Transmission'!$G$84</f>
        <v>16958.046620568643</v>
      </c>
      <c r="G92" s="2"/>
      <c r="H92" s="13">
        <v>6547.6425724508836</v>
      </c>
      <c r="I92" s="83">
        <f t="shared" si="13"/>
        <v>1.7677</v>
      </c>
      <c r="J92" s="15">
        <f>+H92*'5. UTRs &amp; Sub Transmission'!$G$86</f>
        <v>11574.267775321427</v>
      </c>
      <c r="K92" s="2"/>
      <c r="L92" s="13"/>
      <c r="M92" s="14">
        <f t="shared" si="14"/>
        <v>0</v>
      </c>
      <c r="N92" s="15"/>
      <c r="O92" s="2"/>
      <c r="P92" s="17">
        <f t="shared" si="15"/>
        <v>11574.267775321427</v>
      </c>
      <c r="Q92" s="2"/>
    </row>
    <row r="93" spans="2:17" ht="15.75" x14ac:dyDescent="0.25">
      <c r="B93" s="12" t="s">
        <v>10</v>
      </c>
      <c r="C93" s="2"/>
      <c r="D93" s="13">
        <v>6075.9960220706007</v>
      </c>
      <c r="E93" s="83">
        <f t="shared" si="12"/>
        <v>2.5882000000000001</v>
      </c>
      <c r="F93" s="15">
        <f>+D93*'5. UTRs &amp; Sub Transmission'!$G$84</f>
        <v>15725.892904323129</v>
      </c>
      <c r="G93" s="2"/>
      <c r="H93" s="13">
        <v>6071.8977942458714</v>
      </c>
      <c r="I93" s="83">
        <f t="shared" si="13"/>
        <v>1.7677</v>
      </c>
      <c r="J93" s="15">
        <f>+H93*'5. UTRs &amp; Sub Transmission'!$G$86</f>
        <v>10733.293730888427</v>
      </c>
      <c r="K93" s="2"/>
      <c r="L93" s="13"/>
      <c r="M93" s="14">
        <f t="shared" si="14"/>
        <v>0</v>
      </c>
      <c r="N93" s="15"/>
      <c r="O93" s="2"/>
      <c r="P93" s="17">
        <f t="shared" si="15"/>
        <v>10733.293730888427</v>
      </c>
      <c r="Q93" s="2"/>
    </row>
    <row r="94" spans="2:17" ht="15.75" x14ac:dyDescent="0.25">
      <c r="B94" s="12" t="s">
        <v>11</v>
      </c>
      <c r="C94" s="2"/>
      <c r="D94" s="13">
        <v>7029.1537904771503</v>
      </c>
      <c r="E94" s="83">
        <f t="shared" si="12"/>
        <v>2.5882000000000005</v>
      </c>
      <c r="F94" s="15">
        <f>+D94*'5. UTRs &amp; Sub Transmission'!$G$84</f>
        <v>18192.855840512962</v>
      </c>
      <c r="G94" s="2"/>
      <c r="H94" s="13">
        <v>7024.4126626778898</v>
      </c>
      <c r="I94" s="83">
        <f t="shared" si="13"/>
        <v>1.7677</v>
      </c>
      <c r="J94" s="15">
        <f>+H94*'5. UTRs &amp; Sub Transmission'!$G$86</f>
        <v>12417.054263815706</v>
      </c>
      <c r="K94" s="2"/>
      <c r="L94" s="13"/>
      <c r="M94" s="14">
        <f t="shared" si="14"/>
        <v>0</v>
      </c>
      <c r="N94" s="15"/>
      <c r="O94" s="2"/>
      <c r="P94" s="17">
        <f t="shared" si="15"/>
        <v>12417.054263815706</v>
      </c>
      <c r="Q94" s="2"/>
    </row>
    <row r="95" spans="2:17" ht="15.75" x14ac:dyDescent="0.25">
      <c r="B95" s="12" t="s">
        <v>12</v>
      </c>
      <c r="C95" s="2"/>
      <c r="D95" s="13">
        <v>6310.9509509888994</v>
      </c>
      <c r="E95" s="83">
        <f t="shared" si="12"/>
        <v>2.5882000000000001</v>
      </c>
      <c r="F95" s="15">
        <f>+D95*'5. UTRs &amp; Sub Transmission'!$G$84</f>
        <v>16334.00325134947</v>
      </c>
      <c r="G95" s="2"/>
      <c r="H95" s="13">
        <v>6306.6942472823966</v>
      </c>
      <c r="I95" s="83">
        <f t="shared" si="13"/>
        <v>1.7677000000000003</v>
      </c>
      <c r="J95" s="15">
        <f>+H95*'5. UTRs &amp; Sub Transmission'!$G$86</f>
        <v>11148.343420921094</v>
      </c>
      <c r="K95" s="2"/>
      <c r="L95" s="13"/>
      <c r="M95" s="14">
        <f t="shared" si="14"/>
        <v>0</v>
      </c>
      <c r="N95" s="15"/>
      <c r="O95" s="2"/>
      <c r="P95" s="17">
        <f t="shared" si="15"/>
        <v>11148.343420921094</v>
      </c>
      <c r="Q95" s="2"/>
    </row>
    <row r="96" spans="2:17" ht="15.75" x14ac:dyDescent="0.25">
      <c r="B96" s="12" t="s">
        <v>13</v>
      </c>
      <c r="C96" s="2"/>
      <c r="D96" s="13">
        <v>6420.7333850249606</v>
      </c>
      <c r="E96" s="83">
        <f t="shared" si="12"/>
        <v>2.5881999999999996</v>
      </c>
      <c r="F96" s="15">
        <f>+D96*'5. UTRs &amp; Sub Transmission'!$G$84</f>
        <v>16618.142147121602</v>
      </c>
      <c r="G96" s="2"/>
      <c r="H96" s="13">
        <v>6416.4026336357083</v>
      </c>
      <c r="I96" s="83">
        <f t="shared" si="13"/>
        <v>1.7677</v>
      </c>
      <c r="J96" s="15">
        <f>+H96*'5. UTRs &amp; Sub Transmission'!$G$86</f>
        <v>11342.274935477843</v>
      </c>
      <c r="K96" s="2"/>
      <c r="L96" s="13"/>
      <c r="M96" s="14">
        <f t="shared" si="14"/>
        <v>0</v>
      </c>
      <c r="N96" s="15"/>
      <c r="O96" s="2"/>
      <c r="P96" s="17">
        <f t="shared" si="15"/>
        <v>11342.274935477843</v>
      </c>
      <c r="Q96" s="2"/>
    </row>
    <row r="97" spans="2:17" ht="15.75" x14ac:dyDescent="0.25">
      <c r="B97" s="12" t="s">
        <v>14</v>
      </c>
      <c r="C97" s="2"/>
      <c r="D97" s="13">
        <v>6451.5135067173142</v>
      </c>
      <c r="E97" s="83">
        <f t="shared" si="12"/>
        <v>2.5882000000000001</v>
      </c>
      <c r="F97" s="15">
        <f>+D97*'5. UTRs &amp; Sub Transmission'!$G$84</f>
        <v>16697.807258085752</v>
      </c>
      <c r="G97" s="2"/>
      <c r="H97" s="13">
        <v>6447.1619942955149</v>
      </c>
      <c r="I97" s="83">
        <f t="shared" si="13"/>
        <v>1.7676999999999998</v>
      </c>
      <c r="J97" s="15">
        <f>+H97*'5. UTRs &amp; Sub Transmission'!$G$86</f>
        <v>11396.648257316181</v>
      </c>
      <c r="K97" s="2"/>
      <c r="L97" s="13"/>
      <c r="M97" s="14">
        <f t="shared" si="14"/>
        <v>0</v>
      </c>
      <c r="N97" s="15"/>
      <c r="O97" s="2"/>
      <c r="P97" s="17">
        <f t="shared" si="15"/>
        <v>11396.648257316181</v>
      </c>
      <c r="Q97" s="2"/>
    </row>
    <row r="98" spans="2:17" ht="15.75" x14ac:dyDescent="0.25">
      <c r="B98" s="12" t="s">
        <v>15</v>
      </c>
      <c r="C98" s="2"/>
      <c r="D98" s="13">
        <v>7111.2341149900931</v>
      </c>
      <c r="E98" s="83">
        <f t="shared" si="12"/>
        <v>2.5882000000000001</v>
      </c>
      <c r="F98" s="15">
        <f>+D98*'5. UTRs &amp; Sub Transmission'!$G$84</f>
        <v>18405.296136417361</v>
      </c>
      <c r="G98" s="2"/>
      <c r="H98" s="13">
        <v>7106.4376244373752</v>
      </c>
      <c r="I98" s="83">
        <f t="shared" si="13"/>
        <v>1.7677</v>
      </c>
      <c r="J98" s="15">
        <f>+H98*'5. UTRs &amp; Sub Transmission'!$G$86</f>
        <v>12562.049788717948</v>
      </c>
      <c r="K98" s="2"/>
      <c r="L98" s="13"/>
      <c r="M98" s="14">
        <f t="shared" si="14"/>
        <v>0</v>
      </c>
      <c r="N98" s="15"/>
      <c r="O98" s="2"/>
      <c r="P98" s="17">
        <f t="shared" si="15"/>
        <v>12562.049788717948</v>
      </c>
      <c r="Q98" s="2"/>
    </row>
    <row r="99" spans="2:17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ht="19.5" thickBot="1" x14ac:dyDescent="0.35">
      <c r="B100" s="18" t="s">
        <v>16</v>
      </c>
      <c r="C100" s="2"/>
      <c r="D100" s="19">
        <f>SUM(D87:D98)</f>
        <v>79966.756156734627</v>
      </c>
      <c r="E100" s="20">
        <f>IF(D100&lt;&gt;0,F100/D100,0)</f>
        <v>2.4334686579420075</v>
      </c>
      <c r="F100" s="21">
        <f>SUM(F87:F98)</f>
        <v>194596.59478470476</v>
      </c>
      <c r="G100" s="2"/>
      <c r="H100" s="19">
        <f>SUM(H87:H98)</f>
        <v>79912.818994178175</v>
      </c>
      <c r="I100" s="20">
        <f>IF(H100&lt;&gt;0,J100/H100,0)</f>
        <v>1.7052743905568386</v>
      </c>
      <c r="J100" s="21">
        <f>SUM(J87:J98)</f>
        <v>136273.28370797614</v>
      </c>
      <c r="K100" s="2"/>
      <c r="L100" s="19">
        <f>SUM(L87:L98)</f>
        <v>0</v>
      </c>
      <c r="M100" s="20">
        <f>IF(L100&lt;&gt;0,N100/L100,0)</f>
        <v>0</v>
      </c>
      <c r="N100" s="21">
        <f>SUM(N87:N98)</f>
        <v>0</v>
      </c>
      <c r="O100" s="2"/>
      <c r="P100" s="21">
        <f>SUM(P87:P98)</f>
        <v>136273.28370797614</v>
      </c>
      <c r="Q100" s="2"/>
    </row>
    <row r="101" spans="2:17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ht="20.25" x14ac:dyDescent="0.3"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0.25" x14ac:dyDescent="0.3">
      <c r="B104" s="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15.75" x14ac:dyDescent="0.25">
      <c r="B105" s="2"/>
      <c r="C105" s="2"/>
      <c r="D105" s="6"/>
      <c r="E105" s="6"/>
      <c r="F105" s="6"/>
      <c r="G105" s="7"/>
      <c r="H105" s="6"/>
      <c r="I105" s="6"/>
      <c r="J105" s="6"/>
      <c r="K105" s="7"/>
      <c r="L105" s="6"/>
      <c r="M105" s="6"/>
      <c r="N105" s="6"/>
      <c r="O105" s="7"/>
      <c r="P105" s="6"/>
      <c r="Q105" s="2"/>
    </row>
    <row r="106" spans="2:17" ht="33" x14ac:dyDescent="0.3">
      <c r="B106" s="22" t="s">
        <v>0</v>
      </c>
      <c r="C106" s="2"/>
      <c r="D106" s="11" t="s">
        <v>1</v>
      </c>
      <c r="E106" s="11" t="s">
        <v>2</v>
      </c>
      <c r="F106" s="11" t="s">
        <v>3</v>
      </c>
      <c r="G106" s="10"/>
      <c r="H106" s="11" t="s">
        <v>1</v>
      </c>
      <c r="I106" s="11" t="s">
        <v>2</v>
      </c>
      <c r="J106" s="11" t="s">
        <v>3</v>
      </c>
      <c r="K106" s="10"/>
      <c r="L106" s="11" t="s">
        <v>1</v>
      </c>
      <c r="M106" s="11" t="s">
        <v>2</v>
      </c>
      <c r="N106" s="11" t="s">
        <v>3</v>
      </c>
      <c r="O106" s="10"/>
      <c r="P106" s="11" t="s">
        <v>3</v>
      </c>
      <c r="Q106" s="2"/>
    </row>
    <row r="107" spans="2:17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5.75" x14ac:dyDescent="0.25">
      <c r="B108" s="12" t="s">
        <v>4</v>
      </c>
      <c r="C108" s="2"/>
      <c r="D108" s="116">
        <f>D24+D43+D64+D87</f>
        <v>239983.06699755637</v>
      </c>
      <c r="E108" s="117">
        <f t="shared" ref="E108:E119" si="16">IF(D108&lt;&gt;0,F108/D108,0)</f>
        <v>3.4771387664936446</v>
      </c>
      <c r="F108" s="115">
        <f>F24+F43+F64+F87</f>
        <v>834454.42555924482</v>
      </c>
      <c r="G108" s="118"/>
      <c r="H108" s="116">
        <f>H24+H43+H64+H87</f>
        <v>239821.19966270943</v>
      </c>
      <c r="I108" s="117">
        <f t="shared" ref="I108:I119" si="17">IF(H108&lt;&gt;0,J108/H108,0)</f>
        <v>0.81568696023568976</v>
      </c>
      <c r="J108" s="115">
        <f>J24+J43+J64+J87</f>
        <v>195619.0253529519</v>
      </c>
      <c r="K108" s="118"/>
      <c r="L108" s="116">
        <f>L24+L43+L64+L87</f>
        <v>37820.026802640794</v>
      </c>
      <c r="M108" s="117">
        <f t="shared" ref="M108:M119" si="18">IF(L108&lt;&gt;0,N108/L108,0)</f>
        <v>1.8041221866463557</v>
      </c>
      <c r="N108" s="115">
        <f>N24+N43+N64+N87</f>
        <v>68231.949454204092</v>
      </c>
      <c r="O108" s="118"/>
      <c r="P108" s="115">
        <f t="shared" ref="P108:P119" si="19">J108+N108</f>
        <v>263850.97480715602</v>
      </c>
      <c r="Q108" s="2"/>
    </row>
    <row r="109" spans="2:17" ht="15.75" x14ac:dyDescent="0.25">
      <c r="B109" s="12" t="s">
        <v>5</v>
      </c>
      <c r="C109" s="2"/>
      <c r="D109" s="116">
        <f t="shared" ref="D109:D119" si="20">D25+D44+D65+D88</f>
        <v>233700.41323844332</v>
      </c>
      <c r="E109" s="117">
        <f t="shared" si="16"/>
        <v>3.4782270110170774</v>
      </c>
      <c r="F109" s="115">
        <f t="shared" ref="F109:F118" si="21">F25+F44+F65+F88</f>
        <v>812863.08981180657</v>
      </c>
      <c r="G109" s="118"/>
      <c r="H109" s="116">
        <f t="shared" ref="H109:H119" si="22">H25+H44+H65+H88</f>
        <v>234583.01383290719</v>
      </c>
      <c r="I109" s="117">
        <f t="shared" si="17"/>
        <v>0.81587296999197911</v>
      </c>
      <c r="J109" s="115">
        <f t="shared" ref="J109:J119" si="23">J25+J44+J65+J88</f>
        <v>191389.94020552351</v>
      </c>
      <c r="K109" s="118"/>
      <c r="L109" s="116">
        <f t="shared" ref="L109:L119" si="24">L25+L44+L65+L88</f>
        <v>37473.333986219564</v>
      </c>
      <c r="M109" s="117">
        <f t="shared" si="18"/>
        <v>1.8050150902106066</v>
      </c>
      <c r="N109" s="115">
        <f t="shared" ref="N109:N119" si="25">N25+N44+N65+N88</f>
        <v>67639.933325628299</v>
      </c>
      <c r="O109" s="118"/>
      <c r="P109" s="115">
        <f t="shared" si="19"/>
        <v>259029.8735311518</v>
      </c>
      <c r="Q109" s="2"/>
    </row>
    <row r="110" spans="2:17" ht="15.75" x14ac:dyDescent="0.25">
      <c r="B110" s="12" t="s">
        <v>6</v>
      </c>
      <c r="C110" s="2"/>
      <c r="D110" s="116">
        <f t="shared" si="20"/>
        <v>233604.72810014235</v>
      </c>
      <c r="E110" s="117">
        <f t="shared" si="16"/>
        <v>3.4802341847618461</v>
      </c>
      <c r="F110" s="115">
        <f t="shared" si="21"/>
        <v>812999.16045611165</v>
      </c>
      <c r="G110" s="118"/>
      <c r="H110" s="116">
        <f t="shared" si="22"/>
        <v>233593.17760687458</v>
      </c>
      <c r="I110" s="117">
        <f t="shared" si="17"/>
        <v>0.81637125636389085</v>
      </c>
      <c r="J110" s="115">
        <f t="shared" si="23"/>
        <v>190698.7558809577</v>
      </c>
      <c r="K110" s="118"/>
      <c r="L110" s="116">
        <f t="shared" si="24"/>
        <v>36943.920895151168</v>
      </c>
      <c r="M110" s="117">
        <f t="shared" si="18"/>
        <v>1.8102652331810327</v>
      </c>
      <c r="N110" s="115">
        <f t="shared" si="25"/>
        <v>66878.295573882453</v>
      </c>
      <c r="O110" s="118"/>
      <c r="P110" s="115">
        <f t="shared" si="19"/>
        <v>257577.05145484017</v>
      </c>
      <c r="Q110" s="2"/>
    </row>
    <row r="111" spans="2:17" ht="15.75" x14ac:dyDescent="0.25">
      <c r="B111" s="12" t="s">
        <v>7</v>
      </c>
      <c r="C111" s="2"/>
      <c r="D111" s="116">
        <f t="shared" si="20"/>
        <v>198819.81503443717</v>
      </c>
      <c r="E111" s="117">
        <f t="shared" si="16"/>
        <v>3.4749490089752473</v>
      </c>
      <c r="F111" s="115">
        <f t="shared" si="21"/>
        <v>690888.71921855945</v>
      </c>
      <c r="G111" s="118"/>
      <c r="H111" s="116">
        <f t="shared" si="22"/>
        <v>215424.95617075529</v>
      </c>
      <c r="I111" s="117">
        <f t="shared" si="17"/>
        <v>0.81706961938820322</v>
      </c>
      <c r="J111" s="115">
        <f t="shared" si="23"/>
        <v>176017.1869451594</v>
      </c>
      <c r="K111" s="118"/>
      <c r="L111" s="116">
        <f t="shared" si="24"/>
        <v>33286.839184535726</v>
      </c>
      <c r="M111" s="117">
        <f t="shared" si="18"/>
        <v>1.8088351942292944</v>
      </c>
      <c r="N111" s="115">
        <f t="shared" si="25"/>
        <v>60210.406221638965</v>
      </c>
      <c r="O111" s="118"/>
      <c r="P111" s="115">
        <f t="shared" si="19"/>
        <v>236227.59316679835</v>
      </c>
      <c r="Q111" s="2"/>
    </row>
    <row r="112" spans="2:17" ht="15.75" x14ac:dyDescent="0.25">
      <c r="B112" s="12" t="s">
        <v>8</v>
      </c>
      <c r="C112" s="2"/>
      <c r="D112" s="116">
        <f t="shared" si="20"/>
        <v>200965.00483566409</v>
      </c>
      <c r="E112" s="117">
        <f t="shared" si="16"/>
        <v>3.5097956945763689</v>
      </c>
      <c r="F112" s="115">
        <f t="shared" si="21"/>
        <v>705346.10873273294</v>
      </c>
      <c r="G112" s="118"/>
      <c r="H112" s="116">
        <f t="shared" si="22"/>
        <v>209640.98649852566</v>
      </c>
      <c r="I112" s="117">
        <f t="shared" si="17"/>
        <v>0.82249889580420754</v>
      </c>
      <c r="J112" s="115">
        <f t="shared" si="23"/>
        <v>172429.47991034214</v>
      </c>
      <c r="K112" s="118"/>
      <c r="L112" s="116">
        <f t="shared" si="24"/>
        <v>29597.876920347026</v>
      </c>
      <c r="M112" s="117">
        <f t="shared" si="18"/>
        <v>1.810924617478805</v>
      </c>
      <c r="N112" s="115">
        <f t="shared" si="25"/>
        <v>53599.523940164188</v>
      </c>
      <c r="O112" s="118"/>
      <c r="P112" s="115">
        <f t="shared" si="19"/>
        <v>226029.00385050633</v>
      </c>
      <c r="Q112" s="2"/>
    </row>
    <row r="113" spans="2:17" ht="15.75" x14ac:dyDescent="0.25">
      <c r="B113" s="12" t="s">
        <v>9</v>
      </c>
      <c r="C113" s="2"/>
      <c r="D113" s="116">
        <f t="shared" si="20"/>
        <v>260459.13255177203</v>
      </c>
      <c r="E113" s="117">
        <f t="shared" si="16"/>
        <v>3.5129768700429929</v>
      </c>
      <c r="F113" s="115">
        <f t="shared" si="21"/>
        <v>914986.90824583708</v>
      </c>
      <c r="G113" s="118"/>
      <c r="H113" s="116">
        <f t="shared" si="22"/>
        <v>262186.43332965719</v>
      </c>
      <c r="I113" s="117">
        <f t="shared" si="17"/>
        <v>0.81872475118667831</v>
      </c>
      <c r="J113" s="115">
        <f t="shared" si="23"/>
        <v>214658.5223923462</v>
      </c>
      <c r="K113" s="118"/>
      <c r="L113" s="116">
        <f t="shared" si="24"/>
        <v>35796.67412428528</v>
      </c>
      <c r="M113" s="117">
        <f t="shared" si="18"/>
        <v>1.8053914946953544</v>
      </c>
      <c r="N113" s="115">
        <f t="shared" si="25"/>
        <v>64627.011002365922</v>
      </c>
      <c r="O113" s="118"/>
      <c r="P113" s="115">
        <f t="shared" si="19"/>
        <v>279285.53339471214</v>
      </c>
      <c r="Q113" s="2"/>
    </row>
    <row r="114" spans="2:17" ht="15.75" x14ac:dyDescent="0.25">
      <c r="B114" s="12" t="s">
        <v>10</v>
      </c>
      <c r="C114" s="2"/>
      <c r="D114" s="116">
        <f t="shared" si="20"/>
        <v>215421.9662927372</v>
      </c>
      <c r="E114" s="117">
        <f t="shared" si="16"/>
        <v>3.5061996205981933</v>
      </c>
      <c r="F114" s="115">
        <f t="shared" si="21"/>
        <v>755312.41648411192</v>
      </c>
      <c r="G114" s="118"/>
      <c r="H114" s="116">
        <f t="shared" si="22"/>
        <v>223433.02242797313</v>
      </c>
      <c r="I114" s="117">
        <f t="shared" si="17"/>
        <v>0.82038765801307023</v>
      </c>
      <c r="J114" s="115">
        <f t="shared" si="23"/>
        <v>183301.69399246667</v>
      </c>
      <c r="K114" s="118"/>
      <c r="L114" s="116">
        <f t="shared" si="24"/>
        <v>32110.589383288498</v>
      </c>
      <c r="M114" s="117">
        <f t="shared" si="18"/>
        <v>1.8008595340083455</v>
      </c>
      <c r="N114" s="115">
        <f t="shared" si="25"/>
        <v>57826.66103352225</v>
      </c>
      <c r="O114" s="118"/>
      <c r="P114" s="115">
        <f t="shared" si="19"/>
        <v>241128.35502598892</v>
      </c>
      <c r="Q114" s="2"/>
    </row>
    <row r="115" spans="2:17" ht="15.75" x14ac:dyDescent="0.25">
      <c r="B115" s="12" t="s">
        <v>11</v>
      </c>
      <c r="C115" s="2"/>
      <c r="D115" s="116">
        <f t="shared" si="20"/>
        <v>259747.2396372307</v>
      </c>
      <c r="E115" s="117">
        <f t="shared" si="16"/>
        <v>3.5121338244248443</v>
      </c>
      <c r="F115" s="115">
        <f t="shared" si="21"/>
        <v>912267.06613090355</v>
      </c>
      <c r="G115" s="118"/>
      <c r="H115" s="116">
        <f t="shared" si="22"/>
        <v>267904.75227311853</v>
      </c>
      <c r="I115" s="117">
        <f t="shared" si="17"/>
        <v>0.82022152104770574</v>
      </c>
      <c r="J115" s="115">
        <f t="shared" si="23"/>
        <v>219741.24340536608</v>
      </c>
      <c r="K115" s="118"/>
      <c r="L115" s="116">
        <f t="shared" si="24"/>
        <v>34835.432617191618</v>
      </c>
      <c r="M115" s="117">
        <f t="shared" si="18"/>
        <v>1.8029894054364992</v>
      </c>
      <c r="N115" s="115">
        <f t="shared" si="25"/>
        <v>62807.91594259355</v>
      </c>
      <c r="O115" s="118"/>
      <c r="P115" s="115">
        <f t="shared" si="19"/>
        <v>282549.15934795962</v>
      </c>
      <c r="Q115" s="2"/>
    </row>
    <row r="116" spans="2:17" ht="15.75" x14ac:dyDescent="0.25">
      <c r="B116" s="12" t="s">
        <v>12</v>
      </c>
      <c r="C116" s="2"/>
      <c r="D116" s="116">
        <f t="shared" si="20"/>
        <v>216044.09411238303</v>
      </c>
      <c r="E116" s="117">
        <f t="shared" si="16"/>
        <v>3.5129661673737842</v>
      </c>
      <c r="F116" s="115">
        <f t="shared" si="21"/>
        <v>758955.59327771934</v>
      </c>
      <c r="G116" s="118"/>
      <c r="H116" s="116">
        <f t="shared" si="22"/>
        <v>228587.73760606488</v>
      </c>
      <c r="I116" s="117">
        <f t="shared" si="17"/>
        <v>0.82211713789293628</v>
      </c>
      <c r="J116" s="115">
        <f t="shared" si="23"/>
        <v>187925.89659811958</v>
      </c>
      <c r="K116" s="118"/>
      <c r="L116" s="116">
        <f t="shared" si="24"/>
        <v>31786.007155319294</v>
      </c>
      <c r="M116" s="117">
        <f t="shared" si="18"/>
        <v>1.8106785691217928</v>
      </c>
      <c r="N116" s="115">
        <f t="shared" si="25"/>
        <v>57554.241954088604</v>
      </c>
      <c r="O116" s="118"/>
      <c r="P116" s="115">
        <f t="shared" si="19"/>
        <v>245480.1385522082</v>
      </c>
      <c r="Q116" s="2"/>
    </row>
    <row r="117" spans="2:17" ht="15.75" x14ac:dyDescent="0.25">
      <c r="B117" s="12" t="s">
        <v>13</v>
      </c>
      <c r="C117" s="2"/>
      <c r="D117" s="116">
        <f t="shared" si="20"/>
        <v>208795.37545383378</v>
      </c>
      <c r="E117" s="117">
        <f t="shared" si="16"/>
        <v>3.5081519090437085</v>
      </c>
      <c r="F117" s="115">
        <f t="shared" si="21"/>
        <v>732485.89499786485</v>
      </c>
      <c r="G117" s="118"/>
      <c r="H117" s="116">
        <f t="shared" si="22"/>
        <v>216491.00383938267</v>
      </c>
      <c r="I117" s="117">
        <f t="shared" si="17"/>
        <v>0.82349127741000261</v>
      </c>
      <c r="J117" s="115">
        <f t="shared" si="23"/>
        <v>178278.45329946702</v>
      </c>
      <c r="K117" s="118"/>
      <c r="L117" s="116">
        <f t="shared" si="24"/>
        <v>33015.772802454638</v>
      </c>
      <c r="M117" s="117">
        <f t="shared" si="18"/>
        <v>1.8095708351639959</v>
      </c>
      <c r="N117" s="115">
        <f t="shared" si="25"/>
        <v>59744.379563722578</v>
      </c>
      <c r="O117" s="118"/>
      <c r="P117" s="115">
        <f t="shared" si="19"/>
        <v>238022.8328631896</v>
      </c>
      <c r="Q117" s="2"/>
    </row>
    <row r="118" spans="2:17" ht="15.75" x14ac:dyDescent="0.25">
      <c r="B118" s="12" t="s">
        <v>14</v>
      </c>
      <c r="C118" s="2"/>
      <c r="D118" s="116">
        <f t="shared" si="20"/>
        <v>223325.78854130537</v>
      </c>
      <c r="E118" s="117">
        <f t="shared" si="16"/>
        <v>3.5081277563381628</v>
      </c>
      <c r="F118" s="115">
        <f t="shared" si="21"/>
        <v>783455.39748786064</v>
      </c>
      <c r="G118" s="118"/>
      <c r="H118" s="116">
        <f t="shared" si="22"/>
        <v>229511.14386619252</v>
      </c>
      <c r="I118" s="117">
        <f t="shared" si="17"/>
        <v>0.82151748776620914</v>
      </c>
      <c r="J118" s="115">
        <f t="shared" si="23"/>
        <v>188547.41832330349</v>
      </c>
      <c r="K118" s="118"/>
      <c r="L118" s="116">
        <f t="shared" si="24"/>
        <v>36027.127147749285</v>
      </c>
      <c r="M118" s="117">
        <f t="shared" si="18"/>
        <v>1.8070341467326283</v>
      </c>
      <c r="N118" s="115">
        <f t="shared" si="25"/>
        <v>65102.248964661034</v>
      </c>
      <c r="O118" s="118"/>
      <c r="P118" s="115">
        <f t="shared" si="19"/>
        <v>253649.66728796452</v>
      </c>
      <c r="Q118" s="2"/>
    </row>
    <row r="119" spans="2:17" ht="15.75" x14ac:dyDescent="0.25">
      <c r="B119" s="12" t="s">
        <v>15</v>
      </c>
      <c r="C119" s="2"/>
      <c r="D119" s="116">
        <f t="shared" si="20"/>
        <v>238785.91520449455</v>
      </c>
      <c r="E119" s="117">
        <f t="shared" si="16"/>
        <v>3.5034080428252197</v>
      </c>
      <c r="F119" s="115">
        <f>F35+F54+F75+F98</f>
        <v>836564.4958408071</v>
      </c>
      <c r="G119" s="118"/>
      <c r="H119" s="116">
        <f t="shared" si="22"/>
        <v>241212.74288583887</v>
      </c>
      <c r="I119" s="117">
        <f t="shared" si="17"/>
        <v>0.82223476338668178</v>
      </c>
      <c r="J119" s="115">
        <f t="shared" si="23"/>
        <v>198333.50257259022</v>
      </c>
      <c r="K119" s="118"/>
      <c r="L119" s="116">
        <f t="shared" si="24"/>
        <v>38197.633139276448</v>
      </c>
      <c r="M119" s="117">
        <f t="shared" si="18"/>
        <v>1.8035315641141303</v>
      </c>
      <c r="N119" s="115">
        <f t="shared" si="25"/>
        <v>68890.637041136986</v>
      </c>
      <c r="O119" s="118"/>
      <c r="P119" s="115">
        <f t="shared" si="19"/>
        <v>267224.13961372722</v>
      </c>
      <c r="Q119" s="2"/>
    </row>
    <row r="120" spans="2:17" x14ac:dyDescent="0.2">
      <c r="B120" s="2"/>
      <c r="C120" s="2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5"/>
      <c r="Q120" s="2"/>
    </row>
    <row r="121" spans="2:17" s="107" customFormat="1" ht="19.5" thickBot="1" x14ac:dyDescent="0.35">
      <c r="B121" s="105" t="s">
        <v>16</v>
      </c>
      <c r="C121" s="106"/>
      <c r="D121" s="108">
        <f>SUM(D108:D119)</f>
        <v>2729652.54</v>
      </c>
      <c r="E121" s="109">
        <f>IF(D121&lt;&gt;0,F121/D121,0)</f>
        <v>3.4988259993865594</v>
      </c>
      <c r="F121" s="110">
        <f>SUM(F108:F119)</f>
        <v>9550579.27624356</v>
      </c>
      <c r="G121" s="111"/>
      <c r="H121" s="108">
        <f>SUM(H108:H119)</f>
        <v>2802390.1700000004</v>
      </c>
      <c r="I121" s="109">
        <f>IF(H121&lt;&gt;0,J121/H121,0)</f>
        <v>0.81963644586956041</v>
      </c>
      <c r="J121" s="110">
        <f>SUM(J108:J119)</f>
        <v>2296941.1188785937</v>
      </c>
      <c r="K121" s="111"/>
      <c r="L121" s="108">
        <f>SUM(L108:L119)</f>
        <v>416891.23415845935</v>
      </c>
      <c r="M121" s="109">
        <f>IF(L121&lt;&gt;0,N121/L121,0)</f>
        <v>1.8064980558726558</v>
      </c>
      <c r="N121" s="110">
        <f>SUM(N108:N119)</f>
        <v>753113.20401760889</v>
      </c>
      <c r="O121" s="111"/>
      <c r="P121" s="110">
        <f>SUM(P108:P119)</f>
        <v>3050054.322896203</v>
      </c>
      <c r="Q121" s="106"/>
    </row>
    <row r="124" spans="2:17" x14ac:dyDescent="0.2">
      <c r="B124" s="63"/>
    </row>
  </sheetData>
  <mergeCells count="2">
    <mergeCell ref="B59:C61"/>
    <mergeCell ref="B81:C83"/>
  </mergeCells>
  <phoneticPr fontId="11" type="noConversion"/>
  <pageMargins left="0.25" right="0.25" top="0.25" bottom="0.25" header="0.5" footer="0.5"/>
  <pageSetup scale="4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9:Q124"/>
  <sheetViews>
    <sheetView showGridLines="0" tabSelected="1" topLeftCell="B109" workbookViewId="0">
      <selection activeCell="H50" sqref="H50"/>
    </sheetView>
  </sheetViews>
  <sheetFormatPr defaultRowHeight="12.75" x14ac:dyDescent="0.2"/>
  <cols>
    <col min="1" max="1" width="11.85546875" style="1" hidden="1" customWidth="1"/>
    <col min="2" max="2" width="30.140625" style="1" customWidth="1"/>
    <col min="3" max="3" width="3.85546875" style="1" customWidth="1"/>
    <col min="4" max="4" width="13.28515625" style="1" customWidth="1"/>
    <col min="5" max="5" width="15.140625" style="1" customWidth="1"/>
    <col min="6" max="6" width="13.28515625" style="1" customWidth="1"/>
    <col min="7" max="7" width="2.85546875" style="1" customWidth="1"/>
    <col min="8" max="8" width="13.28515625" style="1" customWidth="1"/>
    <col min="9" max="9" width="9.42578125" style="1" bestFit="1" customWidth="1"/>
    <col min="10" max="10" width="13.28515625" style="1" customWidth="1"/>
    <col min="11" max="11" width="3.140625" style="1" customWidth="1"/>
    <col min="12" max="12" width="13.28515625" style="1" customWidth="1"/>
    <col min="13" max="13" width="9.42578125" style="1" bestFit="1" customWidth="1"/>
    <col min="14" max="14" width="13.28515625" style="1" customWidth="1"/>
    <col min="15" max="15" width="3.7109375" style="1" customWidth="1"/>
    <col min="16" max="16" width="13.28515625" style="1" customWidth="1"/>
    <col min="17" max="16384" width="9.140625" style="1"/>
  </cols>
  <sheetData>
    <row r="19" spans="2:17" ht="33.75" customHeight="1" x14ac:dyDescent="0.25">
      <c r="B19" s="2"/>
      <c r="C19" s="2"/>
      <c r="D19" s="3"/>
      <c r="E19" s="4"/>
      <c r="F19" s="2"/>
      <c r="G19" s="4"/>
      <c r="H19" s="2"/>
    </row>
    <row r="20" spans="2:17" ht="33" x14ac:dyDescent="0.3">
      <c r="B20" s="9" t="s">
        <v>0</v>
      </c>
      <c r="C20" s="10"/>
      <c r="D20" s="11" t="s">
        <v>1</v>
      </c>
      <c r="E20" s="11" t="s">
        <v>2</v>
      </c>
      <c r="F20" s="11" t="s">
        <v>3</v>
      </c>
      <c r="G20" s="10"/>
      <c r="H20" s="11" t="s">
        <v>1</v>
      </c>
      <c r="I20" s="11" t="s">
        <v>2</v>
      </c>
      <c r="J20" s="11" t="s">
        <v>3</v>
      </c>
      <c r="K20" s="10"/>
      <c r="L20" s="11" t="s">
        <v>1</v>
      </c>
      <c r="M20" s="11" t="s">
        <v>2</v>
      </c>
      <c r="N20" s="11" t="s">
        <v>3</v>
      </c>
      <c r="O20" s="10"/>
      <c r="P20" s="11" t="s">
        <v>3</v>
      </c>
      <c r="Q20" s="2"/>
    </row>
    <row r="21" spans="2:17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15.75" x14ac:dyDescent="0.25">
      <c r="B22" s="12" t="s">
        <v>4</v>
      </c>
      <c r="C22" s="2"/>
      <c r="D22" s="13">
        <v>221732.81464332045</v>
      </c>
      <c r="E22" s="14">
        <f t="shared" ref="E22:E33" si="0">IF(D22&lt;&gt;0,F22/D22,0)</f>
        <v>3.57</v>
      </c>
      <c r="F22" s="81">
        <f>+D22*'5. UTRs &amp; Sub Transmission'!$I$22</f>
        <v>791586.14827665396</v>
      </c>
      <c r="G22" s="2"/>
      <c r="H22" s="13">
        <v>221583.25700909455</v>
      </c>
      <c r="I22" s="14">
        <f t="shared" ref="I22:I33" si="1">IF(H22&lt;&gt;0,J22/H22,0)</f>
        <v>0.8</v>
      </c>
      <c r="J22" s="16">
        <f>+H22*'5. UTRs &amp; Sub Transmission'!$I$24</f>
        <v>177266.60560727565</v>
      </c>
      <c r="K22" s="2"/>
      <c r="L22" s="13">
        <v>31949.74791734137</v>
      </c>
      <c r="M22" s="14">
        <f t="shared" ref="M22:M33" si="2">IF(L22&lt;&gt;0,N22/L22,0)</f>
        <v>1.86</v>
      </c>
      <c r="N22" s="15">
        <f>+L22*'5. UTRs &amp; Sub Transmission'!$I$26</f>
        <v>59426.531126254951</v>
      </c>
      <c r="O22" s="2"/>
      <c r="P22" s="17">
        <f t="shared" ref="P22:P33" si="3">J22+N22</f>
        <v>236693.13673353061</v>
      </c>
      <c r="Q22" s="2"/>
    </row>
    <row r="23" spans="2:17" ht="15.75" x14ac:dyDescent="0.25">
      <c r="B23" s="12" t="s">
        <v>5</v>
      </c>
      <c r="C23" s="2"/>
      <c r="D23" s="13">
        <v>216202.65277926091</v>
      </c>
      <c r="E23" s="14">
        <f t="shared" si="0"/>
        <v>3.57</v>
      </c>
      <c r="F23" s="81">
        <f>+D23*'5. UTRs &amp; Sub Transmission'!$I$22</f>
        <v>771843.47042196139</v>
      </c>
      <c r="G23" s="2"/>
      <c r="H23" s="13">
        <v>216841.18890737434</v>
      </c>
      <c r="I23" s="14">
        <f t="shared" si="1"/>
        <v>0.8</v>
      </c>
      <c r="J23" s="16">
        <f>+H23*'5. UTRs &amp; Sub Transmission'!$I$24</f>
        <v>173472.95112589948</v>
      </c>
      <c r="K23" s="2"/>
      <c r="L23" s="13">
        <v>31749.812073052624</v>
      </c>
      <c r="M23" s="14">
        <f t="shared" si="2"/>
        <v>1.86</v>
      </c>
      <c r="N23" s="15">
        <f>+L23*'5. UTRs &amp; Sub Transmission'!$I$26</f>
        <v>59054.650455877883</v>
      </c>
      <c r="O23" s="2"/>
      <c r="P23" s="17">
        <f t="shared" si="3"/>
        <v>232527.60158177736</v>
      </c>
      <c r="Q23" s="2"/>
    </row>
    <row r="24" spans="2:17" ht="15.75" x14ac:dyDescent="0.25">
      <c r="B24" s="12" t="s">
        <v>6</v>
      </c>
      <c r="C24" s="2"/>
      <c r="D24" s="13">
        <v>216584.32628824608</v>
      </c>
      <c r="E24" s="14">
        <f t="shared" si="0"/>
        <v>3.57</v>
      </c>
      <c r="F24" s="81">
        <f>+D24*'5. UTRs &amp; Sub Transmission'!$I$22</f>
        <v>773206.04484903847</v>
      </c>
      <c r="G24" s="2"/>
      <c r="H24" s="13">
        <v>216438.24128273086</v>
      </c>
      <c r="I24" s="14">
        <f t="shared" si="1"/>
        <v>0.80000000000000016</v>
      </c>
      <c r="J24" s="16">
        <f>+H24*'5. UTRs &amp; Sub Transmission'!$I$24</f>
        <v>173150.59302618471</v>
      </c>
      <c r="K24" s="2"/>
      <c r="L24" s="13">
        <v>31840.039530988059</v>
      </c>
      <c r="M24" s="14">
        <f t="shared" si="2"/>
        <v>1.86</v>
      </c>
      <c r="N24" s="15">
        <f>+L24*'5. UTRs &amp; Sub Transmission'!$I$26</f>
        <v>59222.473527637791</v>
      </c>
      <c r="O24" s="2"/>
      <c r="P24" s="17">
        <f t="shared" si="3"/>
        <v>232373.06655382249</v>
      </c>
      <c r="Q24" s="2"/>
    </row>
    <row r="25" spans="2:17" ht="15.75" x14ac:dyDescent="0.25">
      <c r="B25" s="12" t="s">
        <v>7</v>
      </c>
      <c r="C25" s="2"/>
      <c r="D25" s="13">
        <v>183465.94135133002</v>
      </c>
      <c r="E25" s="14">
        <f t="shared" si="0"/>
        <v>3.5700000000000003</v>
      </c>
      <c r="F25" s="81">
        <f>+D25*'5. UTRs &amp; Sub Transmission'!$I$22</f>
        <v>654973.41062424821</v>
      </c>
      <c r="G25" s="2"/>
      <c r="H25" s="13">
        <v>200081.43859586757</v>
      </c>
      <c r="I25" s="14">
        <f t="shared" si="1"/>
        <v>0.8</v>
      </c>
      <c r="J25" s="16">
        <f>+H25*'5. UTRs &amp; Sub Transmission'!$I$24</f>
        <v>160065.15087669407</v>
      </c>
      <c r="K25" s="2"/>
      <c r="L25" s="13">
        <v>28555.965124542683</v>
      </c>
      <c r="M25" s="14">
        <f t="shared" si="2"/>
        <v>1.86</v>
      </c>
      <c r="N25" s="15">
        <f>+L25*'5. UTRs &amp; Sub Transmission'!$I$26</f>
        <v>53114.095131649396</v>
      </c>
      <c r="O25" s="2"/>
      <c r="P25" s="17">
        <f t="shared" si="3"/>
        <v>213179.24600834347</v>
      </c>
      <c r="Q25" s="2"/>
    </row>
    <row r="26" spans="2:17" ht="15.75" x14ac:dyDescent="0.25">
      <c r="B26" s="12" t="s">
        <v>8</v>
      </c>
      <c r="C26" s="2"/>
      <c r="D26" s="13">
        <v>187321.66459532554</v>
      </c>
      <c r="E26" s="14">
        <f t="shared" si="0"/>
        <v>3.57</v>
      </c>
      <c r="F26" s="81">
        <f>+D26*'5. UTRs &amp; Sub Transmission'!$I$22</f>
        <v>668738.34260531212</v>
      </c>
      <c r="G26" s="2"/>
      <c r="H26" s="13">
        <v>196006.84862046517</v>
      </c>
      <c r="I26" s="14">
        <f t="shared" si="1"/>
        <v>0.8</v>
      </c>
      <c r="J26" s="16">
        <f>+H26*'5. UTRs &amp; Sub Transmission'!$I$24</f>
        <v>156805.47889637214</v>
      </c>
      <c r="K26" s="2"/>
      <c r="L26" s="13">
        <v>25563.079332343477</v>
      </c>
      <c r="M26" s="14">
        <f t="shared" si="2"/>
        <v>1.86</v>
      </c>
      <c r="N26" s="15">
        <f>+L26*'5. UTRs &amp; Sub Transmission'!$I$26</f>
        <v>47547.327558158868</v>
      </c>
      <c r="O26" s="2"/>
      <c r="P26" s="17">
        <f t="shared" si="3"/>
        <v>204352.806454531</v>
      </c>
      <c r="Q26" s="2"/>
    </row>
    <row r="27" spans="2:17" ht="15.75" x14ac:dyDescent="0.25">
      <c r="B27" s="12" t="s">
        <v>9</v>
      </c>
      <c r="C27" s="2"/>
      <c r="D27" s="13">
        <v>243543.60887452221</v>
      </c>
      <c r="E27" s="14">
        <f t="shared" si="0"/>
        <v>3.57</v>
      </c>
      <c r="F27" s="81">
        <f>+D27*'5. UTRs &amp; Sub Transmission'!$I$22</f>
        <v>869450.68368204427</v>
      </c>
      <c r="G27" s="2"/>
      <c r="H27" s="13">
        <v>245280.26846140975</v>
      </c>
      <c r="I27" s="14">
        <f t="shared" si="1"/>
        <v>0.8</v>
      </c>
      <c r="J27" s="16">
        <f>+H27*'5. UTRs &amp; Sub Transmission'!$I$24</f>
        <v>196224.21476912781</v>
      </c>
      <c r="K27" s="2"/>
      <c r="L27" s="13">
        <v>30366.666155383311</v>
      </c>
      <c r="M27" s="14">
        <f t="shared" si="2"/>
        <v>1.86</v>
      </c>
      <c r="N27" s="15">
        <f>+L27*'5. UTRs &amp; Sub Transmission'!$I$26</f>
        <v>56481.999049012964</v>
      </c>
      <c r="O27" s="2"/>
      <c r="P27" s="17">
        <f t="shared" si="3"/>
        <v>252706.21381814076</v>
      </c>
      <c r="Q27" s="2"/>
    </row>
    <row r="28" spans="2:17" ht="15.75" x14ac:dyDescent="0.25">
      <c r="B28" s="12" t="s">
        <v>10</v>
      </c>
      <c r="C28" s="2"/>
      <c r="D28" s="13">
        <v>199857.38215656474</v>
      </c>
      <c r="E28" s="14">
        <f t="shared" si="0"/>
        <v>3.57</v>
      </c>
      <c r="F28" s="81">
        <f>+D28*'5. UTRs &amp; Sub Transmission'!$I$22</f>
        <v>713490.85429893609</v>
      </c>
      <c r="G28" s="2"/>
      <c r="H28" s="13">
        <v>207878.93652312862</v>
      </c>
      <c r="I28" s="14">
        <f t="shared" si="1"/>
        <v>0.80000000000000016</v>
      </c>
      <c r="J28" s="16">
        <f>+H28*'5. UTRs &amp; Sub Transmission'!$I$24</f>
        <v>166303.14921850292</v>
      </c>
      <c r="K28" s="2"/>
      <c r="L28" s="13">
        <v>26835.491551637486</v>
      </c>
      <c r="M28" s="14">
        <f t="shared" si="2"/>
        <v>1.86</v>
      </c>
      <c r="N28" s="15">
        <f>+L28*'5. UTRs &amp; Sub Transmission'!$I$26</f>
        <v>49914.014286045727</v>
      </c>
      <c r="O28" s="2"/>
      <c r="P28" s="17">
        <f t="shared" si="3"/>
        <v>216217.16350454866</v>
      </c>
      <c r="Q28" s="2"/>
    </row>
    <row r="29" spans="2:17" ht="15.75" x14ac:dyDescent="0.25">
      <c r="B29" s="12" t="s">
        <v>11</v>
      </c>
      <c r="C29" s="2"/>
      <c r="D29" s="13">
        <v>242802.8339457929</v>
      </c>
      <c r="E29" s="14">
        <f t="shared" si="0"/>
        <v>3.57</v>
      </c>
      <c r="F29" s="81">
        <f>+D29*'5. UTRs &amp; Sub Transmission'!$I$22</f>
        <v>866806.11718648055</v>
      </c>
      <c r="G29" s="2"/>
      <c r="H29" s="13">
        <v>250971.775495496</v>
      </c>
      <c r="I29" s="14">
        <f t="shared" si="1"/>
        <v>0.8</v>
      </c>
      <c r="J29" s="16">
        <f>+H29*'5. UTRs &amp; Sub Transmission'!$I$24</f>
        <v>200777.4203963968</v>
      </c>
      <c r="K29" s="2"/>
      <c r="L29" s="13">
        <v>29318.797268905892</v>
      </c>
      <c r="M29" s="14">
        <f t="shared" si="2"/>
        <v>1.86</v>
      </c>
      <c r="N29" s="15">
        <f>+L29*'5. UTRs &amp; Sub Transmission'!$I$26</f>
        <v>54532.962920164959</v>
      </c>
      <c r="O29" s="2"/>
      <c r="P29" s="17">
        <f t="shared" si="3"/>
        <v>255310.38331656175</v>
      </c>
      <c r="Q29" s="2"/>
    </row>
    <row r="30" spans="2:17" ht="15.75" x14ac:dyDescent="0.25">
      <c r="B30" s="12" t="s">
        <v>12</v>
      </c>
      <c r="C30" s="2"/>
      <c r="D30" s="13">
        <v>202315.68787572737</v>
      </c>
      <c r="E30" s="14">
        <f t="shared" si="0"/>
        <v>3.57</v>
      </c>
      <c r="F30" s="81">
        <f>+D30*'5. UTRs &amp; Sub Transmission'!$I$22</f>
        <v>722267.00571634667</v>
      </c>
      <c r="G30" s="2"/>
      <c r="H30" s="13">
        <v>214832.60265628895</v>
      </c>
      <c r="I30" s="14">
        <f t="shared" si="1"/>
        <v>0.8</v>
      </c>
      <c r="J30" s="16">
        <f>+H30*'5. UTRs &amp; Sub Transmission'!$I$24</f>
        <v>171866.08212503116</v>
      </c>
      <c r="K30" s="2"/>
      <c r="L30" s="13">
        <v>27431.197836415744</v>
      </c>
      <c r="M30" s="14">
        <f t="shared" si="2"/>
        <v>1.8599999999999999</v>
      </c>
      <c r="N30" s="15">
        <f>+L30*'5. UTRs &amp; Sub Transmission'!$I$26</f>
        <v>51022.027975733283</v>
      </c>
      <c r="O30" s="2"/>
      <c r="P30" s="17">
        <f t="shared" si="3"/>
        <v>222888.11010076443</v>
      </c>
      <c r="Q30" s="2"/>
    </row>
    <row r="31" spans="2:17" ht="15.75" x14ac:dyDescent="0.25">
      <c r="B31" s="12" t="s">
        <v>13</v>
      </c>
      <c r="C31" s="2"/>
      <c r="D31" s="13">
        <v>194359.02641825398</v>
      </c>
      <c r="E31" s="14">
        <f t="shared" si="0"/>
        <v>3.57</v>
      </c>
      <c r="F31" s="81">
        <f>+D31*'5. UTRs &amp; Sub Transmission'!$I$22</f>
        <v>693861.72431316669</v>
      </c>
      <c r="G31" s="2"/>
      <c r="H31" s="13">
        <v>202064.39204640314</v>
      </c>
      <c r="I31" s="14">
        <f t="shared" si="1"/>
        <v>0.8</v>
      </c>
      <c r="J31" s="16">
        <f>+H31*'5. UTRs &amp; Sub Transmission'!$I$24</f>
        <v>161651.51363712252</v>
      </c>
      <c r="K31" s="2"/>
      <c r="L31" s="13">
        <v>28390.889889001719</v>
      </c>
      <c r="M31" s="14">
        <f t="shared" si="2"/>
        <v>1.86</v>
      </c>
      <c r="N31" s="15">
        <f>+L31*'5. UTRs &amp; Sub Transmission'!$I$26</f>
        <v>52807.055193543201</v>
      </c>
      <c r="O31" s="2"/>
      <c r="P31" s="17">
        <f t="shared" si="3"/>
        <v>214458.56883066572</v>
      </c>
      <c r="Q31" s="2"/>
    </row>
    <row r="32" spans="2:17" ht="15.75" x14ac:dyDescent="0.25">
      <c r="B32" s="12" t="s">
        <v>14</v>
      </c>
      <c r="C32" s="2"/>
      <c r="D32" s="13">
        <v>207820.19963837662</v>
      </c>
      <c r="E32" s="14">
        <f t="shared" si="0"/>
        <v>3.57</v>
      </c>
      <c r="F32" s="81">
        <f>+D32*'5. UTRs &amp; Sub Transmission'!$I$22</f>
        <v>741918.11270900455</v>
      </c>
      <c r="G32" s="2"/>
      <c r="H32" s="13">
        <v>213770.37940150363</v>
      </c>
      <c r="I32" s="14">
        <f t="shared" si="1"/>
        <v>0.8</v>
      </c>
      <c r="J32" s="16">
        <f>+H32*'5. UTRs &amp; Sub Transmission'!$I$24</f>
        <v>171016.30352120291</v>
      </c>
      <c r="K32" s="2"/>
      <c r="L32" s="13">
        <v>30726.550675103052</v>
      </c>
      <c r="M32" s="14">
        <f t="shared" si="2"/>
        <v>1.86</v>
      </c>
      <c r="N32" s="15">
        <f>+L32*'5. UTRs &amp; Sub Transmission'!$I$26</f>
        <v>57151.384255691679</v>
      </c>
      <c r="O32" s="2"/>
      <c r="P32" s="17">
        <f t="shared" si="3"/>
        <v>228167.6877768946</v>
      </c>
      <c r="Q32" s="2"/>
    </row>
    <row r="33" spans="2:17" ht="15.75" x14ac:dyDescent="0.25">
      <c r="B33" s="12" t="s">
        <v>15</v>
      </c>
      <c r="C33" s="2"/>
      <c r="D33" s="13">
        <v>220775.55285868826</v>
      </c>
      <c r="E33" s="14">
        <f t="shared" si="0"/>
        <v>3.57</v>
      </c>
      <c r="F33" s="81">
        <f>+D33*'5. UTRs &amp; Sub Transmission'!$I$22</f>
        <v>788168.72370551701</v>
      </c>
      <c r="G33" s="2"/>
      <c r="H33" s="13">
        <v>223214.52843608632</v>
      </c>
      <c r="I33" s="14">
        <f t="shared" si="1"/>
        <v>0.8</v>
      </c>
      <c r="J33" s="16">
        <f>+H33*'5. UTRs &amp; Sub Transmission'!$I$24</f>
        <v>178571.62274886906</v>
      </c>
      <c r="K33" s="2"/>
      <c r="L33" s="13">
        <v>32206.075922839762</v>
      </c>
      <c r="M33" s="14">
        <f t="shared" si="2"/>
        <v>1.86</v>
      </c>
      <c r="N33" s="15">
        <f>+L33*'5. UTRs &amp; Sub Transmission'!$I$26</f>
        <v>59903.301216481959</v>
      </c>
      <c r="O33" s="2"/>
      <c r="P33" s="17">
        <f t="shared" si="3"/>
        <v>238474.92396535102</v>
      </c>
      <c r="Q33" s="2"/>
    </row>
    <row r="34" spans="2:17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19.5" thickBot="1" x14ac:dyDescent="0.35">
      <c r="B35" s="18" t="s">
        <v>16</v>
      </c>
      <c r="C35" s="2"/>
      <c r="D35" s="19">
        <f>SUM(D22:D33)</f>
        <v>2536781.6914254087</v>
      </c>
      <c r="E35" s="20">
        <f>IF(D35&lt;&gt;0,F35/D35,0)</f>
        <v>3.57</v>
      </c>
      <c r="F35" s="21">
        <f>SUM(F22:F33)</f>
        <v>9056310.6383887082</v>
      </c>
      <c r="G35" s="2"/>
      <c r="H35" s="19">
        <f>SUM(H22:H33)</f>
        <v>2608963.8574358486</v>
      </c>
      <c r="I35" s="20">
        <f>IF(H35&lt;&gt;0,J35/H35,0)</f>
        <v>0.80000000000000016</v>
      </c>
      <c r="J35" s="21">
        <f>SUM(J22:J33)</f>
        <v>2087171.0859486791</v>
      </c>
      <c r="K35" s="2"/>
      <c r="L35" s="19">
        <f>SUM(L22:L33)</f>
        <v>354934.31327755511</v>
      </c>
      <c r="M35" s="20">
        <f>IF(L35&lt;&gt;0,N35/L35,0)</f>
        <v>1.8600000000000005</v>
      </c>
      <c r="N35" s="21">
        <f>SUM(N22:N33)</f>
        <v>660177.82269625273</v>
      </c>
      <c r="O35" s="2"/>
      <c r="P35" s="21">
        <f>SUM(P22:P33)</f>
        <v>2747348.9086449323</v>
      </c>
      <c r="Q35" s="2"/>
    </row>
    <row r="36" spans="2:17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20.25" x14ac:dyDescent="0.3"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16.5" x14ac:dyDescent="0.3">
      <c r="B38" s="9"/>
      <c r="C38" s="10"/>
      <c r="D38" s="11"/>
      <c r="E38" s="11"/>
      <c r="F38" s="11"/>
      <c r="G38" s="10"/>
      <c r="H38" s="11"/>
      <c r="I38" s="11"/>
      <c r="J38" s="11"/>
      <c r="K38" s="10"/>
      <c r="L38" s="11"/>
      <c r="M38" s="11"/>
      <c r="N38" s="11"/>
      <c r="O38" s="10"/>
      <c r="P38" s="11"/>
      <c r="Q38" s="2"/>
    </row>
    <row r="39" spans="2:17" ht="16.5" x14ac:dyDescent="0.3">
      <c r="B39" s="9"/>
      <c r="C39" s="10"/>
      <c r="D39" s="11"/>
      <c r="E39" s="11"/>
      <c r="F39" s="11"/>
      <c r="G39" s="10"/>
      <c r="H39" s="11"/>
      <c r="I39" s="11"/>
      <c r="J39" s="11"/>
      <c r="K39" s="10"/>
      <c r="L39" s="11"/>
      <c r="M39" s="11"/>
      <c r="N39" s="11"/>
      <c r="O39" s="10"/>
      <c r="P39" s="11"/>
      <c r="Q39" s="2"/>
    </row>
    <row r="40" spans="2:17" ht="33" x14ac:dyDescent="0.3">
      <c r="B40" s="9" t="s">
        <v>0</v>
      </c>
      <c r="C40" s="10"/>
      <c r="D40" s="11" t="s">
        <v>1</v>
      </c>
      <c r="E40" s="11" t="s">
        <v>2</v>
      </c>
      <c r="F40" s="11" t="s">
        <v>3</v>
      </c>
      <c r="G40" s="10"/>
      <c r="H40" s="11" t="s">
        <v>1</v>
      </c>
      <c r="I40" s="11" t="s">
        <v>2</v>
      </c>
      <c r="J40" s="11" t="s">
        <v>3</v>
      </c>
      <c r="K40" s="10"/>
      <c r="L40" s="11" t="s">
        <v>1</v>
      </c>
      <c r="M40" s="11" t="s">
        <v>2</v>
      </c>
      <c r="N40" s="11" t="s">
        <v>3</v>
      </c>
      <c r="O40" s="10"/>
      <c r="P40" s="11" t="s">
        <v>3</v>
      </c>
      <c r="Q40" s="2"/>
    </row>
    <row r="41" spans="2:17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15.75" x14ac:dyDescent="0.25">
      <c r="B42" s="12" t="s">
        <v>4</v>
      </c>
      <c r="C42" s="2"/>
      <c r="D42" s="13">
        <v>5909.7833649318909</v>
      </c>
      <c r="E42" s="14">
        <f t="shared" ref="E42:E53" si="4">IF(D42&lt;&gt;0,F42/D42,0)</f>
        <v>2.65</v>
      </c>
      <c r="F42" s="15">
        <f>(+'5. UTRs &amp; Sub Transmission'!$I$35+'5. UTRs &amp; Sub Transmission'!$I$49)*D42</f>
        <v>15660.92591706951</v>
      </c>
      <c r="G42" s="2"/>
      <c r="H42" s="13">
        <v>5905.7972466829142</v>
      </c>
      <c r="I42" s="14">
        <f t="shared" ref="I42:I53" si="5">IF(H42&lt;&gt;0,J42/H42,0)</f>
        <v>0.64</v>
      </c>
      <c r="J42" s="15">
        <f>(+'5. UTRs &amp; Sub Transmission'!$I$37+'5. UTRs &amp; Sub Transmission'!$I$51)*H42</f>
        <v>3779.7102378770651</v>
      </c>
      <c r="K42" s="2"/>
      <c r="L42" s="13">
        <v>5870.2788852994263</v>
      </c>
      <c r="M42" s="14">
        <f t="shared" ref="M42:M53" si="6">IF(L42&lt;&gt;0,N42/L42,0)</f>
        <v>1.5</v>
      </c>
      <c r="N42" s="15">
        <f>+L42*'5. UTRs &amp; Sub Transmission'!$I$39</f>
        <v>8805.418327949139</v>
      </c>
      <c r="O42" s="2"/>
      <c r="P42" s="17">
        <f t="shared" ref="P42:P53" si="7">J42+N42</f>
        <v>12585.128565826204</v>
      </c>
      <c r="Q42" s="2"/>
    </row>
    <row r="43" spans="2:17" ht="15.75" x14ac:dyDescent="0.25">
      <c r="B43" s="12" t="s">
        <v>5</v>
      </c>
      <c r="C43" s="2"/>
      <c r="D43" s="13">
        <v>5506.563770762059</v>
      </c>
      <c r="E43" s="14">
        <f t="shared" si="4"/>
        <v>2.65</v>
      </c>
      <c r="F43" s="15">
        <f>(+'5. UTRs &amp; Sub Transmission'!$I$35+'5. UTRs &amp; Sub Transmission'!$I$49)*D43</f>
        <v>14592.393992519455</v>
      </c>
      <c r="G43" s="2"/>
      <c r="H43" s="13">
        <v>5758.1523155158411</v>
      </c>
      <c r="I43" s="14">
        <f t="shared" si="5"/>
        <v>0.64</v>
      </c>
      <c r="J43" s="15">
        <f>(+'5. UTRs &amp; Sub Transmission'!$I$37+'5. UTRs &amp; Sub Transmission'!$I$51)*H43</f>
        <v>3685.2174819301385</v>
      </c>
      <c r="K43" s="2"/>
      <c r="L43" s="13">
        <v>5723.521913166941</v>
      </c>
      <c r="M43" s="14">
        <f t="shared" si="6"/>
        <v>1.5</v>
      </c>
      <c r="N43" s="15">
        <f>+L43*'5. UTRs &amp; Sub Transmission'!$I$39</f>
        <v>8585.2828697504119</v>
      </c>
      <c r="O43" s="2"/>
      <c r="P43" s="17">
        <f t="shared" si="7"/>
        <v>12270.50035168055</v>
      </c>
      <c r="Q43" s="2"/>
    </row>
    <row r="44" spans="2:17" ht="15.75" x14ac:dyDescent="0.25">
      <c r="B44" s="12" t="s">
        <v>6</v>
      </c>
      <c r="C44" s="2"/>
      <c r="D44" s="13">
        <v>5138.2283145102274</v>
      </c>
      <c r="E44" s="14">
        <f t="shared" si="4"/>
        <v>2.65</v>
      </c>
      <c r="F44" s="15">
        <f>(+'5. UTRs &amp; Sub Transmission'!$I$35+'5. UTRs &amp; Sub Transmission'!$I$49)*D44</f>
        <v>13616.305033452101</v>
      </c>
      <c r="G44" s="2"/>
      <c r="H44" s="13">
        <v>5134.7626061437559</v>
      </c>
      <c r="I44" s="14">
        <f t="shared" si="5"/>
        <v>0.64</v>
      </c>
      <c r="J44" s="15">
        <f>(+'5. UTRs &amp; Sub Transmission'!$I$37+'5. UTRs &amp; Sub Transmission'!$I$51)*H44</f>
        <v>3286.2480679320038</v>
      </c>
      <c r="K44" s="2"/>
      <c r="L44" s="13">
        <v>5103.8813641631123</v>
      </c>
      <c r="M44" s="14">
        <f t="shared" si="6"/>
        <v>1.5</v>
      </c>
      <c r="N44" s="15">
        <f>+L44*'5. UTRs &amp; Sub Transmission'!$I$39</f>
        <v>7655.8220462446679</v>
      </c>
      <c r="O44" s="2"/>
      <c r="P44" s="17">
        <f t="shared" si="7"/>
        <v>10942.070114176671</v>
      </c>
      <c r="Q44" s="2"/>
    </row>
    <row r="45" spans="2:17" ht="15.75" x14ac:dyDescent="0.25">
      <c r="B45" s="12" t="s">
        <v>7</v>
      </c>
      <c r="C45" s="2"/>
      <c r="D45" s="13">
        <v>4762.7108298635139</v>
      </c>
      <c r="E45" s="14">
        <f t="shared" si="4"/>
        <v>2.65</v>
      </c>
      <c r="F45" s="15">
        <f>(+'5. UTRs &amp; Sub Transmission'!$I$35+'5. UTRs &amp; Sub Transmission'!$I$49)*D45</f>
        <v>12621.183699138312</v>
      </c>
      <c r="G45" s="2"/>
      <c r="H45" s="13">
        <v>4759.4984060941124</v>
      </c>
      <c r="I45" s="14">
        <f t="shared" si="5"/>
        <v>0.64</v>
      </c>
      <c r="J45" s="15">
        <f>(+'5. UTRs &amp; Sub Transmission'!$I$37+'5. UTRs &amp; Sub Transmission'!$I$51)*H45</f>
        <v>3046.0789799002318</v>
      </c>
      <c r="K45" s="2"/>
      <c r="L45" s="13">
        <v>4730.8740599930443</v>
      </c>
      <c r="M45" s="14">
        <f t="shared" si="6"/>
        <v>1.5</v>
      </c>
      <c r="N45" s="15">
        <f>+L45*'5. UTRs &amp; Sub Transmission'!$I$39</f>
        <v>7096.3110899895664</v>
      </c>
      <c r="O45" s="2"/>
      <c r="P45" s="17">
        <f t="shared" si="7"/>
        <v>10142.390069889798</v>
      </c>
      <c r="Q45" s="2"/>
    </row>
    <row r="46" spans="2:17" ht="15.75" x14ac:dyDescent="0.25">
      <c r="B46" s="12" t="s">
        <v>8</v>
      </c>
      <c r="C46" s="2"/>
      <c r="D46" s="13">
        <v>4061.9500593342632</v>
      </c>
      <c r="E46" s="14">
        <f t="shared" si="4"/>
        <v>2.65</v>
      </c>
      <c r="F46" s="15">
        <f>(+'5. UTRs &amp; Sub Transmission'!$I$35+'5. UTRs &amp; Sub Transmission'!$I$49)*D46</f>
        <v>10764.167657235797</v>
      </c>
      <c r="G46" s="2"/>
      <c r="H46" s="13">
        <v>4059.2102950725102</v>
      </c>
      <c r="I46" s="14">
        <f t="shared" si="5"/>
        <v>0.64</v>
      </c>
      <c r="J46" s="15">
        <f>(+'5. UTRs &amp; Sub Transmission'!$I$37+'5. UTRs &amp; Sub Transmission'!$I$51)*H46</f>
        <v>2597.8945888464068</v>
      </c>
      <c r="K46" s="2"/>
      <c r="L46" s="13">
        <v>4034.7975880035469</v>
      </c>
      <c r="M46" s="14">
        <f t="shared" si="6"/>
        <v>1.5</v>
      </c>
      <c r="N46" s="15">
        <f>+L46*'5. UTRs &amp; Sub Transmission'!$I$39</f>
        <v>6052.1963820053206</v>
      </c>
      <c r="O46" s="2"/>
      <c r="P46" s="17">
        <f t="shared" si="7"/>
        <v>8650.0909708517283</v>
      </c>
      <c r="Q46" s="2"/>
    </row>
    <row r="47" spans="2:17" ht="15.75" x14ac:dyDescent="0.25">
      <c r="B47" s="12" t="s">
        <v>9</v>
      </c>
      <c r="C47" s="2"/>
      <c r="D47" s="13">
        <v>5464.4976044491759</v>
      </c>
      <c r="E47" s="14">
        <f t="shared" si="4"/>
        <v>2.65</v>
      </c>
      <c r="F47" s="15">
        <f>(+'5. UTRs &amp; Sub Transmission'!$I$35+'5. UTRs &amp; Sub Transmission'!$I$49)*D47</f>
        <v>14480.918651790316</v>
      </c>
      <c r="G47" s="2"/>
      <c r="H47" s="13">
        <v>5462.8624531816959</v>
      </c>
      <c r="I47" s="14">
        <f t="shared" si="5"/>
        <v>0.64</v>
      </c>
      <c r="J47" s="15">
        <f>(+'5. UTRs &amp; Sub Transmission'!$I$37+'5. UTRs &amp; Sub Transmission'!$I$51)*H47</f>
        <v>3496.2319700362855</v>
      </c>
      <c r="K47" s="2"/>
      <c r="L47" s="13">
        <v>5430.0079689019694</v>
      </c>
      <c r="M47" s="14">
        <f t="shared" si="6"/>
        <v>1.5</v>
      </c>
      <c r="N47" s="15">
        <f>+L47*'5. UTRs &amp; Sub Transmission'!$I$39</f>
        <v>8145.0119533529542</v>
      </c>
      <c r="O47" s="2"/>
      <c r="P47" s="17">
        <f t="shared" si="7"/>
        <v>11641.24392338924</v>
      </c>
      <c r="Q47" s="2"/>
    </row>
    <row r="48" spans="2:17" ht="15.75" x14ac:dyDescent="0.25">
      <c r="B48" s="12" t="s">
        <v>10</v>
      </c>
      <c r="C48" s="2"/>
      <c r="D48" s="13">
        <v>5310.5969959874074</v>
      </c>
      <c r="E48" s="14">
        <f t="shared" si="4"/>
        <v>2.65</v>
      </c>
      <c r="F48" s="15">
        <f>(+'5. UTRs &amp; Sub Transmission'!$I$35+'5. UTRs &amp; Sub Transmission'!$I$49)*D48</f>
        <v>14073.082039366629</v>
      </c>
      <c r="G48" s="2"/>
      <c r="H48" s="13">
        <v>5307.0150258386748</v>
      </c>
      <c r="I48" s="14">
        <f t="shared" si="5"/>
        <v>0.64</v>
      </c>
      <c r="J48" s="15">
        <f>(+'5. UTRs &amp; Sub Transmission'!$I$37+'5. UTRs &amp; Sub Transmission'!$I$51)*H48</f>
        <v>3396.4896165367518</v>
      </c>
      <c r="K48" s="2"/>
      <c r="L48" s="13">
        <v>5275.0978316510127</v>
      </c>
      <c r="M48" s="14">
        <f t="shared" si="6"/>
        <v>1.5</v>
      </c>
      <c r="N48" s="15">
        <f>+L48*'5. UTRs &amp; Sub Transmission'!$I$39</f>
        <v>7912.6467474765195</v>
      </c>
      <c r="O48" s="2"/>
      <c r="P48" s="17">
        <f t="shared" si="7"/>
        <v>11309.136364013271</v>
      </c>
      <c r="Q48" s="2"/>
    </row>
    <row r="49" spans="2:17" ht="15.75" x14ac:dyDescent="0.25">
      <c r="B49" s="12" t="s">
        <v>11</v>
      </c>
      <c r="C49" s="2"/>
      <c r="D49" s="13">
        <v>5553.7599573570005</v>
      </c>
      <c r="E49" s="14">
        <f t="shared" si="4"/>
        <v>2.65</v>
      </c>
      <c r="F49" s="15">
        <f>(+'5. UTRs &amp; Sub Transmission'!$I$35+'5. UTRs &amp; Sub Transmission'!$I$49)*D49</f>
        <v>14717.463886996051</v>
      </c>
      <c r="G49" s="2"/>
      <c r="H49" s="13">
        <v>5550.013975051148</v>
      </c>
      <c r="I49" s="14">
        <f t="shared" si="5"/>
        <v>0.64</v>
      </c>
      <c r="J49" s="15">
        <f>(+'5. UTRs &amp; Sub Transmission'!$I$37+'5. UTRs &amp; Sub Transmission'!$I$51)*H49</f>
        <v>3552.0089440327347</v>
      </c>
      <c r="K49" s="2"/>
      <c r="L49" s="13">
        <v>5516.6353482857285</v>
      </c>
      <c r="M49" s="14">
        <f t="shared" si="6"/>
        <v>1.4999999999999998</v>
      </c>
      <c r="N49" s="15">
        <f>+L49*'5. UTRs &amp; Sub Transmission'!$I$39</f>
        <v>8274.9530224285918</v>
      </c>
      <c r="O49" s="2"/>
      <c r="P49" s="17">
        <f t="shared" si="7"/>
        <v>11826.961966461327</v>
      </c>
      <c r="Q49" s="2"/>
    </row>
    <row r="50" spans="2:17" ht="15.75" x14ac:dyDescent="0.25">
      <c r="B50" s="12" t="s">
        <v>12</v>
      </c>
      <c r="C50" s="2"/>
      <c r="D50" s="13">
        <v>4349.2311951295633</v>
      </c>
      <c r="E50" s="14">
        <f t="shared" si="4"/>
        <v>2.65</v>
      </c>
      <c r="F50" s="15">
        <f>(+'5. UTRs &amp; Sub Transmission'!$I$35+'5. UTRs &amp; Sub Transmission'!$I$49)*D50</f>
        <v>11525.462667093343</v>
      </c>
      <c r="G50" s="2"/>
      <c r="H50" s="13">
        <v>4381.1582699784885</v>
      </c>
      <c r="I50" s="14">
        <f t="shared" si="5"/>
        <v>0.64</v>
      </c>
      <c r="J50" s="15">
        <f>(+'5. UTRs &amp; Sub Transmission'!$I$37+'5. UTRs &amp; Sub Transmission'!$I$51)*H50</f>
        <v>2803.9412927862327</v>
      </c>
      <c r="K50" s="2"/>
      <c r="L50" s="13">
        <v>4354.8093189035499</v>
      </c>
      <c r="M50" s="14">
        <f t="shared" si="6"/>
        <v>1.5</v>
      </c>
      <c r="N50" s="15">
        <f>+L50*'5. UTRs &amp; Sub Transmission'!$I$39</f>
        <v>6532.2139783553248</v>
      </c>
      <c r="O50" s="2"/>
      <c r="P50" s="17">
        <f t="shared" si="7"/>
        <v>9336.155271141557</v>
      </c>
      <c r="Q50" s="2"/>
    </row>
    <row r="51" spans="2:17" ht="15.75" x14ac:dyDescent="0.25">
      <c r="B51" s="12" t="s">
        <v>13</v>
      </c>
      <c r="C51" s="2"/>
      <c r="D51" s="13">
        <v>4656.0064079966878</v>
      </c>
      <c r="E51" s="14">
        <f t="shared" si="4"/>
        <v>2.65</v>
      </c>
      <c r="F51" s="15">
        <f>(+'5. UTRs &amp; Sub Transmission'!$I$35+'5. UTRs &amp; Sub Transmission'!$I$49)*D51</f>
        <v>12338.416981191222</v>
      </c>
      <c r="G51" s="2"/>
      <c r="H51" s="13">
        <v>4652.865955806782</v>
      </c>
      <c r="I51" s="14">
        <f t="shared" si="5"/>
        <v>0.64</v>
      </c>
      <c r="J51" s="15">
        <f>(+'5. UTRs &amp; Sub Transmission'!$I$37+'5. UTRs &amp; Sub Transmission'!$I$51)*H51</f>
        <v>2977.8342117163406</v>
      </c>
      <c r="K51" s="2"/>
      <c r="L51" s="13">
        <v>4624.882913452916</v>
      </c>
      <c r="M51" s="14">
        <f t="shared" si="6"/>
        <v>1.5</v>
      </c>
      <c r="N51" s="15">
        <f>+L51*'5. UTRs &amp; Sub Transmission'!$I$39</f>
        <v>6937.3243701793745</v>
      </c>
      <c r="O51" s="2"/>
      <c r="P51" s="17">
        <f t="shared" si="7"/>
        <v>9915.1585818957155</v>
      </c>
      <c r="Q51" s="2"/>
    </row>
    <row r="52" spans="2:17" ht="15.75" x14ac:dyDescent="0.25">
      <c r="B52" s="12" t="s">
        <v>14</v>
      </c>
      <c r="C52" s="2"/>
      <c r="D52" s="13">
        <v>5336.2470973977024</v>
      </c>
      <c r="E52" s="14">
        <f t="shared" si="4"/>
        <v>2.65</v>
      </c>
      <c r="F52" s="15">
        <f>(+'5. UTRs &amp; Sub Transmission'!$I$35+'5. UTRs &amp; Sub Transmission'!$I$49)*D52</f>
        <v>14141.054808103911</v>
      </c>
      <c r="G52" s="2"/>
      <c r="H52" s="13">
        <v>5332.6478263885137</v>
      </c>
      <c r="I52" s="14">
        <f t="shared" si="5"/>
        <v>0.64</v>
      </c>
      <c r="J52" s="15">
        <f>(+'5. UTRs &amp; Sub Transmission'!$I$37+'5. UTRs &amp; Sub Transmission'!$I$51)*H52</f>
        <v>3412.8946088886487</v>
      </c>
      <c r="K52" s="2"/>
      <c r="L52" s="13">
        <v>5300.5764726462357</v>
      </c>
      <c r="M52" s="14">
        <f t="shared" si="6"/>
        <v>1.5</v>
      </c>
      <c r="N52" s="15">
        <f>+L52*'5. UTRs &amp; Sub Transmission'!$I$39</f>
        <v>7950.8647089693532</v>
      </c>
      <c r="O52" s="2"/>
      <c r="P52" s="17">
        <f t="shared" si="7"/>
        <v>11363.759317858003</v>
      </c>
      <c r="Q52" s="2"/>
    </row>
    <row r="53" spans="2:17" ht="15.75" x14ac:dyDescent="0.25">
      <c r="B53" s="12" t="s">
        <v>15</v>
      </c>
      <c r="C53" s="2"/>
      <c r="D53" s="13">
        <v>6031.8778476448933</v>
      </c>
      <c r="E53" s="14">
        <f t="shared" si="4"/>
        <v>2.65</v>
      </c>
      <c r="F53" s="15">
        <f>(+'5. UTRs &amp; Sub Transmission'!$I$35+'5. UTRs &amp; Sub Transmission'!$I$49)*D53</f>
        <v>15984.476296258967</v>
      </c>
      <c r="G53" s="2"/>
      <c r="H53" s="13">
        <v>6027.8093773001483</v>
      </c>
      <c r="I53" s="14">
        <f t="shared" si="5"/>
        <v>0.64</v>
      </c>
      <c r="J53" s="15">
        <f>(+'5. UTRs &amp; Sub Transmission'!$I$37+'5. UTRs &amp; Sub Transmission'!$I$51)*H53</f>
        <v>3857.7980014720952</v>
      </c>
      <c r="K53" s="2"/>
      <c r="L53" s="13">
        <v>5991.5572164366886</v>
      </c>
      <c r="M53" s="14">
        <f t="shared" si="6"/>
        <v>1.5</v>
      </c>
      <c r="N53" s="15">
        <f>+L53*'5. UTRs &amp; Sub Transmission'!$I$39</f>
        <v>8987.3358246550324</v>
      </c>
      <c r="O53" s="2"/>
      <c r="P53" s="17">
        <f t="shared" si="7"/>
        <v>12845.133826127127</v>
      </c>
      <c r="Q53" s="2"/>
    </row>
    <row r="54" spans="2:17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ht="19.5" thickBot="1" x14ac:dyDescent="0.35">
      <c r="B55" s="18" t="s">
        <v>16</v>
      </c>
      <c r="C55" s="2"/>
      <c r="D55" s="19">
        <f>SUM(D42:D53)</f>
        <v>62081.453445364386</v>
      </c>
      <c r="E55" s="20">
        <f>IF(D55&lt;&gt;0,F55/D55,0)</f>
        <v>2.65</v>
      </c>
      <c r="F55" s="21">
        <f>SUM(F42:F53)</f>
        <v>164515.85163021562</v>
      </c>
      <c r="G55" s="2"/>
      <c r="H55" s="19">
        <f>SUM(H42:H53)</f>
        <v>62331.79375305459</v>
      </c>
      <c r="I55" s="20">
        <f>IF(H55&lt;&gt;0,J55/H55,0)</f>
        <v>0.64</v>
      </c>
      <c r="J55" s="21">
        <f>SUM(J42:J53)</f>
        <v>39892.348001954939</v>
      </c>
      <c r="K55" s="2"/>
      <c r="L55" s="19">
        <f>SUM(L42:L53)</f>
        <v>61956.920880904174</v>
      </c>
      <c r="M55" s="20">
        <f>IF(L55&lt;&gt;0,N55/L55,0)</f>
        <v>1.4999999999999998</v>
      </c>
      <c r="N55" s="21">
        <f>SUM(N42:N53)</f>
        <v>92935.381321356253</v>
      </c>
      <c r="O55" s="2"/>
      <c r="P55" s="21">
        <f>SUM(P42:P53)</f>
        <v>132827.72932331118</v>
      </c>
      <c r="Q55" s="2"/>
    </row>
    <row r="56" spans="2:17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ht="13.5" thickBo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ht="12.75" customHeight="1" x14ac:dyDescent="0.2">
      <c r="B58" s="134" t="s">
        <v>17</v>
      </c>
      <c r="C58" s="13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12.75" customHeight="1" x14ac:dyDescent="0.2">
      <c r="B59" s="136"/>
      <c r="C59" s="13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2.75" customHeight="1" thickBot="1" x14ac:dyDescent="0.25">
      <c r="B60" s="138"/>
      <c r="C60" s="13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ht="33" x14ac:dyDescent="0.3">
      <c r="B61" s="9" t="s">
        <v>0</v>
      </c>
      <c r="C61" s="10"/>
      <c r="D61" s="11" t="s">
        <v>1</v>
      </c>
      <c r="E61" s="11" t="s">
        <v>2</v>
      </c>
      <c r="F61" s="11" t="s">
        <v>3</v>
      </c>
      <c r="G61" s="10"/>
      <c r="H61" s="11" t="s">
        <v>1</v>
      </c>
      <c r="I61" s="11" t="s">
        <v>2</v>
      </c>
      <c r="J61" s="11" t="s">
        <v>3</v>
      </c>
      <c r="K61" s="10"/>
      <c r="L61" s="11" t="s">
        <v>1</v>
      </c>
      <c r="M61" s="11" t="s">
        <v>2</v>
      </c>
      <c r="N61" s="11" t="s">
        <v>3</v>
      </c>
      <c r="O61" s="10"/>
      <c r="P61" s="11" t="s">
        <v>3</v>
      </c>
      <c r="Q61" s="2"/>
    </row>
    <row r="62" spans="2:17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ht="15.75" x14ac:dyDescent="0.25">
      <c r="B63" s="12" t="s">
        <v>4</v>
      </c>
      <c r="C63" s="2"/>
      <c r="D63" s="13">
        <v>5110.2184037701854</v>
      </c>
      <c r="E63" s="83">
        <f t="shared" ref="E63:E74" si="8">IF(D63&lt;&gt;0,F63/D63,0)</f>
        <v>2.8776000000000002</v>
      </c>
      <c r="F63" s="15">
        <f>+D63*'5. UTRs &amp; Sub Transmission'!$I$70</f>
        <v>14705.164478689087</v>
      </c>
      <c r="G63" s="2"/>
      <c r="H63" s="13">
        <v>5106.7715879433317</v>
      </c>
      <c r="I63" s="83">
        <f t="shared" ref="I63:I74" si="9">IF(H63&lt;&gt;0,J63/H63,0)</f>
        <v>0.68710000000000004</v>
      </c>
      <c r="J63" s="15">
        <f>+H63*'5. UTRs &amp; Sub Transmission'!$I$72</f>
        <v>3508.8627580758634</v>
      </c>
      <c r="K63" s="2"/>
      <c r="L63" s="13"/>
      <c r="M63" s="14">
        <f t="shared" ref="M63:M74" si="10">IF(L63&lt;&gt;0,N63/L63,0)</f>
        <v>0</v>
      </c>
      <c r="N63" s="15"/>
      <c r="O63" s="2"/>
      <c r="P63" s="17">
        <f t="shared" ref="P63:P74" si="11">J63+N63</f>
        <v>3508.8627580758634</v>
      </c>
      <c r="Q63" s="2"/>
    </row>
    <row r="64" spans="2:17" ht="15.75" x14ac:dyDescent="0.25">
      <c r="B64" s="12" t="s">
        <v>5</v>
      </c>
      <c r="C64" s="2"/>
      <c r="D64" s="13">
        <v>4893.3006261636056</v>
      </c>
      <c r="E64" s="83">
        <f t="shared" si="8"/>
        <v>2.8776000000000002</v>
      </c>
      <c r="F64" s="15">
        <f>+D64*'5. UTRs &amp; Sub Transmission'!$I$70</f>
        <v>14080.961881848392</v>
      </c>
      <c r="G64" s="2"/>
      <c r="H64" s="13">
        <v>4890.5640418655494</v>
      </c>
      <c r="I64" s="83">
        <f t="shared" si="9"/>
        <v>0.68710000000000004</v>
      </c>
      <c r="J64" s="15">
        <f>+H64*'5. UTRs &amp; Sub Transmission'!$I$72</f>
        <v>3360.306553165819</v>
      </c>
      <c r="K64" s="2"/>
      <c r="L64" s="13"/>
      <c r="M64" s="14">
        <f t="shared" si="10"/>
        <v>0</v>
      </c>
      <c r="N64" s="15"/>
      <c r="O64" s="2"/>
      <c r="P64" s="17">
        <f t="shared" si="11"/>
        <v>3360.306553165819</v>
      </c>
      <c r="Q64" s="2"/>
    </row>
    <row r="65" spans="2:17" ht="15.75" x14ac:dyDescent="0.25">
      <c r="B65" s="12" t="s">
        <v>6</v>
      </c>
      <c r="C65" s="2"/>
      <c r="D65" s="13">
        <v>4776.0694026779956</v>
      </c>
      <c r="E65" s="83">
        <f t="shared" si="8"/>
        <v>2.8776000000000002</v>
      </c>
      <c r="F65" s="15">
        <f>+D65*'5. UTRs &amp; Sub Transmission'!$I$70</f>
        <v>13743.6173131462</v>
      </c>
      <c r="G65" s="2"/>
      <c r="H65" s="13">
        <v>4918.8626536725724</v>
      </c>
      <c r="I65" s="83">
        <f t="shared" si="9"/>
        <v>0.68710000000000004</v>
      </c>
      <c r="J65" s="15">
        <f>+H65*'5. UTRs &amp; Sub Transmission'!$I$72</f>
        <v>3379.7505293384247</v>
      </c>
      <c r="K65" s="2"/>
      <c r="L65" s="13"/>
      <c r="M65" s="14">
        <f t="shared" si="10"/>
        <v>0</v>
      </c>
      <c r="N65" s="15"/>
      <c r="O65" s="2"/>
      <c r="P65" s="17">
        <f t="shared" si="11"/>
        <v>3379.7505293384247</v>
      </c>
      <c r="Q65" s="2"/>
    </row>
    <row r="66" spans="2:17" ht="15.75" x14ac:dyDescent="0.25">
      <c r="B66" s="12" t="s">
        <v>7</v>
      </c>
      <c r="C66" s="2"/>
      <c r="D66" s="13">
        <v>3980.6187177825009</v>
      </c>
      <c r="E66" s="83">
        <f t="shared" si="8"/>
        <v>2.8776000000000002</v>
      </c>
      <c r="F66" s="15">
        <f>+D66*'5. UTRs &amp; Sub Transmission'!$I$70</f>
        <v>11454.628422290925</v>
      </c>
      <c r="G66" s="2"/>
      <c r="H66" s="13">
        <v>3977.9338110890803</v>
      </c>
      <c r="I66" s="83">
        <f t="shared" si="9"/>
        <v>0.68710000000000004</v>
      </c>
      <c r="J66" s="15">
        <f>+H66*'5. UTRs &amp; Sub Transmission'!$I$72</f>
        <v>2733.2383215993073</v>
      </c>
      <c r="K66" s="2"/>
      <c r="L66" s="13"/>
      <c r="M66" s="14">
        <f t="shared" si="10"/>
        <v>0</v>
      </c>
      <c r="N66" s="15"/>
      <c r="O66" s="2"/>
      <c r="P66" s="17">
        <f t="shared" si="11"/>
        <v>2733.2383215993073</v>
      </c>
      <c r="Q66" s="2"/>
    </row>
    <row r="67" spans="2:17" ht="15.75" x14ac:dyDescent="0.25">
      <c r="B67" s="12" t="s">
        <v>8</v>
      </c>
      <c r="C67" s="2"/>
      <c r="D67" s="13">
        <v>3611.0725767441036</v>
      </c>
      <c r="E67" s="83">
        <f t="shared" si="8"/>
        <v>2.8775999999999997</v>
      </c>
      <c r="F67" s="15">
        <f>+D67*'5. UTRs &amp; Sub Transmission'!$I$70</f>
        <v>10391.222446838832</v>
      </c>
      <c r="G67" s="2"/>
      <c r="H67" s="13">
        <v>3608.6369270074397</v>
      </c>
      <c r="I67" s="83">
        <f t="shared" si="9"/>
        <v>0.68710000000000004</v>
      </c>
      <c r="J67" s="15">
        <f>+H67*'5. UTRs &amp; Sub Transmission'!$I$72</f>
        <v>2479.4944325468118</v>
      </c>
      <c r="K67" s="2"/>
      <c r="L67" s="13"/>
      <c r="M67" s="14">
        <f t="shared" si="10"/>
        <v>0</v>
      </c>
      <c r="N67" s="15"/>
      <c r="O67" s="2"/>
      <c r="P67" s="17">
        <f t="shared" si="11"/>
        <v>2479.4944325468118</v>
      </c>
      <c r="Q67" s="2"/>
    </row>
    <row r="68" spans="2:17" ht="15.75" x14ac:dyDescent="0.25">
      <c r="B68" s="12" t="s">
        <v>9</v>
      </c>
      <c r="C68" s="2"/>
      <c r="D68" s="13">
        <v>4898.9641685549987</v>
      </c>
      <c r="E68" s="83">
        <f t="shared" si="8"/>
        <v>2.8776000000000002</v>
      </c>
      <c r="F68" s="15">
        <f>+D68*'5. UTRs &amp; Sub Transmission'!$I$70</f>
        <v>14097.259291433866</v>
      </c>
      <c r="G68" s="2"/>
      <c r="H68" s="13">
        <v>4895.6598426148576</v>
      </c>
      <c r="I68" s="83">
        <f t="shared" si="9"/>
        <v>0.68710000000000004</v>
      </c>
      <c r="J68" s="15">
        <f>+H68*'5. UTRs &amp; Sub Transmission'!$I$72</f>
        <v>3363.8078778606687</v>
      </c>
      <c r="K68" s="2"/>
      <c r="L68" s="13"/>
      <c r="M68" s="14">
        <f t="shared" si="10"/>
        <v>0</v>
      </c>
      <c r="N68" s="15"/>
      <c r="O68" s="2"/>
      <c r="P68" s="17">
        <f t="shared" si="11"/>
        <v>3363.8078778606687</v>
      </c>
      <c r="Q68" s="2"/>
    </row>
    <row r="69" spans="2:17" ht="15.75" x14ac:dyDescent="0.25">
      <c r="B69" s="12" t="s">
        <v>10</v>
      </c>
      <c r="C69" s="2"/>
      <c r="D69" s="13">
        <v>4177.9911181144362</v>
      </c>
      <c r="E69" s="83">
        <f t="shared" si="8"/>
        <v>2.8776000000000002</v>
      </c>
      <c r="F69" s="15">
        <f>+D69*'5. UTRs &amp; Sub Transmission'!$I$70</f>
        <v>12022.587241486102</v>
      </c>
      <c r="G69" s="2"/>
      <c r="H69" s="13">
        <v>4175.173084759982</v>
      </c>
      <c r="I69" s="83">
        <f t="shared" si="9"/>
        <v>0.68710000000000004</v>
      </c>
      <c r="J69" s="15">
        <f>+H69*'5. UTRs &amp; Sub Transmission'!$I$72</f>
        <v>2868.7614265385837</v>
      </c>
      <c r="K69" s="2"/>
      <c r="L69" s="13"/>
      <c r="M69" s="14">
        <f t="shared" si="10"/>
        <v>0</v>
      </c>
      <c r="N69" s="15"/>
      <c r="O69" s="2"/>
      <c r="P69" s="17">
        <f t="shared" si="11"/>
        <v>2868.7614265385837</v>
      </c>
      <c r="Q69" s="2"/>
    </row>
    <row r="70" spans="2:17" ht="15.75" x14ac:dyDescent="0.25">
      <c r="B70" s="12" t="s">
        <v>11</v>
      </c>
      <c r="C70" s="2"/>
      <c r="D70" s="13">
        <v>4361.4919436036844</v>
      </c>
      <c r="E70" s="83">
        <f t="shared" si="8"/>
        <v>2.8776000000000002</v>
      </c>
      <c r="F70" s="15">
        <f>+D70*'5. UTRs &amp; Sub Transmission'!$I$70</f>
        <v>12550.629216913963</v>
      </c>
      <c r="G70" s="2"/>
      <c r="H70" s="13">
        <v>4358.5501398935303</v>
      </c>
      <c r="I70" s="83">
        <f t="shared" si="9"/>
        <v>0.68710000000000004</v>
      </c>
      <c r="J70" s="15">
        <f>+H70*'5. UTRs &amp; Sub Transmission'!$I$72</f>
        <v>2994.7598011208447</v>
      </c>
      <c r="K70" s="2"/>
      <c r="L70" s="13"/>
      <c r="M70" s="14">
        <f t="shared" si="10"/>
        <v>0</v>
      </c>
      <c r="N70" s="15"/>
      <c r="O70" s="2"/>
      <c r="P70" s="17">
        <f t="shared" si="11"/>
        <v>2994.7598011208447</v>
      </c>
      <c r="Q70" s="2"/>
    </row>
    <row r="71" spans="2:17" ht="15.75" x14ac:dyDescent="0.25">
      <c r="B71" s="12" t="s">
        <v>12</v>
      </c>
      <c r="C71" s="2"/>
      <c r="D71" s="13">
        <v>3068.2240905371914</v>
      </c>
      <c r="E71" s="83">
        <f t="shared" si="8"/>
        <v>2.8776000000000002</v>
      </c>
      <c r="F71" s="15">
        <f>+D71*'5. UTRs &amp; Sub Transmission'!$I$70</f>
        <v>8829.121642929822</v>
      </c>
      <c r="G71" s="2"/>
      <c r="H71" s="13">
        <v>3067.2824325150586</v>
      </c>
      <c r="I71" s="83">
        <f t="shared" si="9"/>
        <v>0.68710000000000004</v>
      </c>
      <c r="J71" s="15">
        <f>+H71*'5. UTRs &amp; Sub Transmission'!$I$72</f>
        <v>2107.5297593810969</v>
      </c>
      <c r="K71" s="2"/>
      <c r="L71" s="13"/>
      <c r="M71" s="14">
        <f t="shared" si="10"/>
        <v>0</v>
      </c>
      <c r="N71" s="15"/>
      <c r="O71" s="2"/>
      <c r="P71" s="17">
        <f t="shared" si="11"/>
        <v>2107.5297593810969</v>
      </c>
      <c r="Q71" s="2"/>
    </row>
    <row r="72" spans="2:17" ht="15.75" x14ac:dyDescent="0.25">
      <c r="B72" s="12" t="s">
        <v>13</v>
      </c>
      <c r="C72" s="2"/>
      <c r="D72" s="13">
        <v>3359.6092425581387</v>
      </c>
      <c r="E72" s="83">
        <f t="shared" si="8"/>
        <v>2.8776000000000002</v>
      </c>
      <c r="F72" s="15">
        <f>+D72*'5. UTRs &amp; Sub Transmission'!$I$70</f>
        <v>9667.6115563853</v>
      </c>
      <c r="G72" s="2"/>
      <c r="H72" s="13">
        <v>3357.3432035370374</v>
      </c>
      <c r="I72" s="83">
        <f t="shared" si="9"/>
        <v>0.68710000000000004</v>
      </c>
      <c r="J72" s="15">
        <f>+H72*'5. UTRs &amp; Sub Transmission'!$I$72</f>
        <v>2306.8305151502987</v>
      </c>
      <c r="K72" s="2"/>
      <c r="L72" s="13"/>
      <c r="M72" s="14">
        <f t="shared" si="10"/>
        <v>0</v>
      </c>
      <c r="N72" s="15"/>
      <c r="O72" s="2"/>
      <c r="P72" s="17">
        <f t="shared" si="11"/>
        <v>2306.8305151502987</v>
      </c>
      <c r="Q72" s="2"/>
    </row>
    <row r="73" spans="2:17" ht="15.75" x14ac:dyDescent="0.25">
      <c r="B73" s="12" t="s">
        <v>14</v>
      </c>
      <c r="C73" s="2"/>
      <c r="D73" s="13">
        <v>3717.8282988137498</v>
      </c>
      <c r="E73" s="83">
        <f t="shared" si="8"/>
        <v>2.8776000000000002</v>
      </c>
      <c r="F73" s="15">
        <f>+D73*'5. UTRs &amp; Sub Transmission'!$I$70</f>
        <v>10698.422712666446</v>
      </c>
      <c r="G73" s="2"/>
      <c r="H73" s="13">
        <v>3960.9546440048671</v>
      </c>
      <c r="I73" s="83">
        <f t="shared" si="9"/>
        <v>0.68710000000000004</v>
      </c>
      <c r="J73" s="15">
        <f>+H73*'5. UTRs &amp; Sub Transmission'!$I$72</f>
        <v>2721.5719358957444</v>
      </c>
      <c r="K73" s="2"/>
      <c r="L73" s="13"/>
      <c r="M73" s="14">
        <f t="shared" si="10"/>
        <v>0</v>
      </c>
      <c r="N73" s="15"/>
      <c r="O73" s="2"/>
      <c r="P73" s="17">
        <f t="shared" si="11"/>
        <v>2721.5719358957444</v>
      </c>
      <c r="Q73" s="2"/>
    </row>
    <row r="74" spans="2:17" ht="15.75" x14ac:dyDescent="0.25">
      <c r="B74" s="12" t="s">
        <v>15</v>
      </c>
      <c r="C74" s="2"/>
      <c r="D74" s="13">
        <v>4867.2503831713111</v>
      </c>
      <c r="E74" s="83">
        <f t="shared" si="8"/>
        <v>2.8776000000000002</v>
      </c>
      <c r="F74" s="15">
        <f>+D74*'5. UTRs &amp; Sub Transmission'!$I$70</f>
        <v>14005.999702613766</v>
      </c>
      <c r="G74" s="2"/>
      <c r="H74" s="13">
        <v>4863.967448015037</v>
      </c>
      <c r="I74" s="83">
        <f t="shared" si="9"/>
        <v>0.68710000000000004</v>
      </c>
      <c r="J74" s="15">
        <f>+H74*'5. UTRs &amp; Sub Transmission'!$I$72</f>
        <v>3342.0320335311321</v>
      </c>
      <c r="K74" s="2"/>
      <c r="L74" s="13"/>
      <c r="M74" s="14">
        <f t="shared" si="10"/>
        <v>0</v>
      </c>
      <c r="N74" s="15"/>
      <c r="O74" s="2"/>
      <c r="P74" s="17">
        <f t="shared" si="11"/>
        <v>3342.0320335311321</v>
      </c>
      <c r="Q74" s="2"/>
    </row>
    <row r="75" spans="2:17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19.5" thickBot="1" x14ac:dyDescent="0.35">
      <c r="B76" s="18" t="s">
        <v>16</v>
      </c>
      <c r="C76" s="2"/>
      <c r="D76" s="19">
        <f>SUM(D63:D74)</f>
        <v>50822.638972491906</v>
      </c>
      <c r="E76" s="20">
        <f>IF(D76&lt;&gt;0,F76/D76,0)</f>
        <v>2.8775999999999993</v>
      </c>
      <c r="F76" s="21">
        <f>SUM(F63:F74)</f>
        <v>146247.22590724268</v>
      </c>
      <c r="G76" s="2"/>
      <c r="H76" s="19">
        <f>SUM(H63:H74)</f>
        <v>51181.699816918335</v>
      </c>
      <c r="I76" s="20">
        <f>IF(H76&lt;&gt;0,J76/H76,0)</f>
        <v>0.68710000000000004</v>
      </c>
      <c r="J76" s="21">
        <f>SUM(J63:J74)</f>
        <v>35166.945944204592</v>
      </c>
      <c r="K76" s="2"/>
      <c r="L76" s="19">
        <f>SUM(L63:L74)</f>
        <v>0</v>
      </c>
      <c r="M76" s="20">
        <f>IF(L76&lt;&gt;0,N76/L76,0)</f>
        <v>0</v>
      </c>
      <c r="N76" s="21">
        <f>SUM(N63:N74)</f>
        <v>0</v>
      </c>
      <c r="O76" s="2"/>
      <c r="P76" s="21">
        <f>SUM(P63:P74)</f>
        <v>35166.945944204592</v>
      </c>
      <c r="Q76" s="2"/>
    </row>
    <row r="77" spans="2:17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ht="13.5" thickBo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x14ac:dyDescent="0.2">
      <c r="B80" s="134" t="s">
        <v>18</v>
      </c>
      <c r="C80" s="13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x14ac:dyDescent="0.2">
      <c r="B81" s="136"/>
      <c r="C81" s="13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ht="13.5" thickBot="1" x14ac:dyDescent="0.25">
      <c r="B82" s="138"/>
      <c r="C82" s="13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ht="33" x14ac:dyDescent="0.3">
      <c r="B84" s="9" t="s">
        <v>0</v>
      </c>
      <c r="C84" s="10"/>
      <c r="D84" s="11" t="s">
        <v>1</v>
      </c>
      <c r="E84" s="11" t="s">
        <v>2</v>
      </c>
      <c r="F84" s="11" t="s">
        <v>3</v>
      </c>
      <c r="G84" s="10"/>
      <c r="H84" s="11" t="s">
        <v>1</v>
      </c>
      <c r="I84" s="11" t="s">
        <v>2</v>
      </c>
      <c r="J84" s="11" t="s">
        <v>3</v>
      </c>
      <c r="K84" s="10"/>
      <c r="L84" s="11" t="s">
        <v>1</v>
      </c>
      <c r="M84" s="11" t="s">
        <v>2</v>
      </c>
      <c r="N84" s="11" t="s">
        <v>3</v>
      </c>
      <c r="O84" s="10"/>
      <c r="P84" s="11" t="s">
        <v>3</v>
      </c>
      <c r="Q84" s="2"/>
    </row>
    <row r="85" spans="2:17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ht="15.75" x14ac:dyDescent="0.25">
      <c r="B86" s="12" t="s">
        <v>4</v>
      </c>
      <c r="C86" s="2"/>
      <c r="D86" s="13">
        <v>7230.2505855338604</v>
      </c>
      <c r="E86" s="83">
        <f t="shared" ref="E86:E97" si="12">IF(D86&lt;&gt;0,F86/D86,0)</f>
        <v>2.5882000000000001</v>
      </c>
      <c r="F86" s="15">
        <f>+D86*'5. UTRs &amp; Sub Transmission'!$I$84</f>
        <v>18713.334565478737</v>
      </c>
      <c r="G86" s="2"/>
      <c r="H86" s="13">
        <v>7225.373818988628</v>
      </c>
      <c r="I86" s="83">
        <f t="shared" ref="I86:I97" si="13">IF(H86&lt;&gt;0,J86/H86,0)</f>
        <v>1.7677</v>
      </c>
      <c r="J86" s="15">
        <f>+H86*'5. UTRs &amp; Sub Transmission'!$I$86</f>
        <v>12772.293299826199</v>
      </c>
      <c r="K86" s="2"/>
      <c r="L86" s="13"/>
      <c r="M86" s="14">
        <f t="shared" ref="M86:M97" si="14">IF(L86&lt;&gt;0,N86/L86,0)</f>
        <v>0</v>
      </c>
      <c r="N86" s="15"/>
      <c r="O86" s="2"/>
      <c r="P86" s="17">
        <f t="shared" ref="P86:P97" si="15">J86+N86</f>
        <v>12772.293299826199</v>
      </c>
      <c r="Q86" s="2"/>
    </row>
    <row r="87" spans="2:17" ht="15.75" x14ac:dyDescent="0.25">
      <c r="B87" s="12" t="s">
        <v>5</v>
      </c>
      <c r="C87" s="2"/>
      <c r="D87" s="13">
        <v>7097.8960622567402</v>
      </c>
      <c r="E87" s="83">
        <f t="shared" si="12"/>
        <v>2.5881999999999996</v>
      </c>
      <c r="F87" s="15">
        <f>+D87*'5. UTRs &amp; Sub Transmission'!$I$84</f>
        <v>18370.774588332893</v>
      </c>
      <c r="G87" s="2"/>
      <c r="H87" s="13">
        <v>7093.1085681514587</v>
      </c>
      <c r="I87" s="83">
        <f t="shared" si="13"/>
        <v>1.7677</v>
      </c>
      <c r="J87" s="15">
        <f>+H87*'5. UTRs &amp; Sub Transmission'!$I$86</f>
        <v>12538.488015921333</v>
      </c>
      <c r="K87" s="2"/>
      <c r="L87" s="13"/>
      <c r="M87" s="14">
        <f t="shared" si="14"/>
        <v>0</v>
      </c>
      <c r="N87" s="15"/>
      <c r="O87" s="2"/>
      <c r="P87" s="17">
        <f t="shared" si="15"/>
        <v>12538.488015921333</v>
      </c>
      <c r="Q87" s="2"/>
    </row>
    <row r="88" spans="2:17" ht="15.75" x14ac:dyDescent="0.25">
      <c r="B88" s="12" t="s">
        <v>6</v>
      </c>
      <c r="C88" s="2"/>
      <c r="D88" s="13">
        <v>7106.1040947080337</v>
      </c>
      <c r="E88" s="83">
        <f t="shared" si="12"/>
        <v>2.5881999999999996</v>
      </c>
      <c r="F88" s="15">
        <f>+D88*'5. UTRs &amp; Sub Transmission'!$I$84</f>
        <v>18392.018617923331</v>
      </c>
      <c r="G88" s="2"/>
      <c r="H88" s="13">
        <v>7101.3110643274067</v>
      </c>
      <c r="I88" s="83">
        <f t="shared" si="13"/>
        <v>1.7677</v>
      </c>
      <c r="J88" s="15">
        <f>+H88*'5. UTRs &amp; Sub Transmission'!$I$86</f>
        <v>12552.987568411558</v>
      </c>
      <c r="K88" s="2"/>
      <c r="L88" s="13"/>
      <c r="M88" s="14">
        <f t="shared" si="14"/>
        <v>0</v>
      </c>
      <c r="N88" s="15"/>
      <c r="O88" s="2"/>
      <c r="P88" s="17">
        <f t="shared" si="15"/>
        <v>12552.987568411558</v>
      </c>
      <c r="Q88" s="2"/>
    </row>
    <row r="89" spans="2:17" ht="15.75" x14ac:dyDescent="0.25">
      <c r="B89" s="12" t="s">
        <v>7</v>
      </c>
      <c r="C89" s="2"/>
      <c r="D89" s="13">
        <v>6610.5441354611412</v>
      </c>
      <c r="E89" s="83">
        <f t="shared" si="12"/>
        <v>2.5882000000000001</v>
      </c>
      <c r="F89" s="15">
        <f>+D89*'5. UTRs &amp; Sub Transmission'!$I$84</f>
        <v>17109.410331400526</v>
      </c>
      <c r="G89" s="2"/>
      <c r="H89" s="13">
        <v>6606.0853577045164</v>
      </c>
      <c r="I89" s="83">
        <f t="shared" si="13"/>
        <v>1.7677</v>
      </c>
      <c r="J89" s="15">
        <f>+H89*'5. UTRs &amp; Sub Transmission'!$I$86</f>
        <v>11677.577086814274</v>
      </c>
      <c r="K89" s="2"/>
      <c r="L89" s="13"/>
      <c r="M89" s="14">
        <f t="shared" si="14"/>
        <v>0</v>
      </c>
      <c r="N89" s="15"/>
      <c r="O89" s="2"/>
      <c r="P89" s="17">
        <f t="shared" si="15"/>
        <v>11677.577086814274</v>
      </c>
      <c r="Q89" s="2"/>
    </row>
    <row r="90" spans="2:17" ht="15.75" x14ac:dyDescent="0.25">
      <c r="B90" s="12" t="s">
        <v>8</v>
      </c>
      <c r="C90" s="2"/>
      <c r="D90" s="13">
        <v>5970.3176042601863</v>
      </c>
      <c r="E90" s="83">
        <f t="shared" si="12"/>
        <v>2.5882000000000001</v>
      </c>
      <c r="F90" s="15">
        <f>+D90*'5. UTRs &amp; Sub Transmission'!$I$84</f>
        <v>15452.376023346214</v>
      </c>
      <c r="G90" s="2"/>
      <c r="H90" s="13">
        <v>5966.2906559805342</v>
      </c>
      <c r="I90" s="83">
        <f t="shared" si="13"/>
        <v>1.7677</v>
      </c>
      <c r="J90" s="15">
        <f>+H90*'5. UTRs &amp; Sub Transmission'!$I$86</f>
        <v>10546.611992576791</v>
      </c>
      <c r="K90" s="2"/>
      <c r="L90" s="13"/>
      <c r="M90" s="14">
        <f t="shared" si="14"/>
        <v>0</v>
      </c>
      <c r="N90" s="15"/>
      <c r="O90" s="2"/>
      <c r="P90" s="17">
        <f t="shared" si="15"/>
        <v>10546.611992576791</v>
      </c>
      <c r="Q90" s="2"/>
    </row>
    <row r="91" spans="2:17" ht="15.75" x14ac:dyDescent="0.25">
      <c r="B91" s="12" t="s">
        <v>9</v>
      </c>
      <c r="C91" s="2"/>
      <c r="D91" s="13">
        <v>6552.0619042456692</v>
      </c>
      <c r="E91" s="83">
        <f t="shared" si="12"/>
        <v>2.5882000000000001</v>
      </c>
      <c r="F91" s="15">
        <f>+D91*'5. UTRs &amp; Sub Transmission'!$I$84</f>
        <v>16958.046620568643</v>
      </c>
      <c r="G91" s="2"/>
      <c r="H91" s="13">
        <v>6547.6425724508836</v>
      </c>
      <c r="I91" s="83">
        <f t="shared" si="13"/>
        <v>1.7677</v>
      </c>
      <c r="J91" s="15">
        <f>+H91*'5. UTRs &amp; Sub Transmission'!$I$86</f>
        <v>11574.267775321427</v>
      </c>
      <c r="K91" s="2"/>
      <c r="L91" s="13"/>
      <c r="M91" s="14">
        <f t="shared" si="14"/>
        <v>0</v>
      </c>
      <c r="N91" s="15"/>
      <c r="O91" s="2"/>
      <c r="P91" s="17">
        <f t="shared" si="15"/>
        <v>11574.267775321427</v>
      </c>
      <c r="Q91" s="2"/>
    </row>
    <row r="92" spans="2:17" ht="15.75" x14ac:dyDescent="0.25">
      <c r="B92" s="12" t="s">
        <v>10</v>
      </c>
      <c r="C92" s="2"/>
      <c r="D92" s="13">
        <v>6075.9960220706007</v>
      </c>
      <c r="E92" s="83">
        <f t="shared" si="12"/>
        <v>2.5882000000000001</v>
      </c>
      <c r="F92" s="15">
        <f>+D92*'5. UTRs &amp; Sub Transmission'!$I$84</f>
        <v>15725.892904323129</v>
      </c>
      <c r="G92" s="2"/>
      <c r="H92" s="13">
        <v>6071.8977942458714</v>
      </c>
      <c r="I92" s="83">
        <f t="shared" si="13"/>
        <v>1.7677</v>
      </c>
      <c r="J92" s="15">
        <f>+H92*'5. UTRs &amp; Sub Transmission'!$I$86</f>
        <v>10733.293730888427</v>
      </c>
      <c r="K92" s="2"/>
      <c r="L92" s="13"/>
      <c r="M92" s="14">
        <f t="shared" si="14"/>
        <v>0</v>
      </c>
      <c r="N92" s="15"/>
      <c r="O92" s="2"/>
      <c r="P92" s="17">
        <f t="shared" si="15"/>
        <v>10733.293730888427</v>
      </c>
      <c r="Q92" s="2"/>
    </row>
    <row r="93" spans="2:17" ht="15.75" x14ac:dyDescent="0.25">
      <c r="B93" s="12" t="s">
        <v>11</v>
      </c>
      <c r="C93" s="2"/>
      <c r="D93" s="13">
        <v>7029.1537904771503</v>
      </c>
      <c r="E93" s="83">
        <f t="shared" si="12"/>
        <v>2.5882000000000005</v>
      </c>
      <c r="F93" s="15">
        <f>+D93*'5. UTRs &amp; Sub Transmission'!$I$84</f>
        <v>18192.855840512962</v>
      </c>
      <c r="G93" s="2"/>
      <c r="H93" s="13">
        <v>7024.4126626778898</v>
      </c>
      <c r="I93" s="83">
        <f t="shared" si="13"/>
        <v>1.7677</v>
      </c>
      <c r="J93" s="15">
        <f>+H93*'5. UTRs &amp; Sub Transmission'!$I$86</f>
        <v>12417.054263815706</v>
      </c>
      <c r="K93" s="2"/>
      <c r="L93" s="13"/>
      <c r="M93" s="14">
        <f t="shared" si="14"/>
        <v>0</v>
      </c>
      <c r="N93" s="15"/>
      <c r="O93" s="2"/>
      <c r="P93" s="17">
        <f t="shared" si="15"/>
        <v>12417.054263815706</v>
      </c>
      <c r="Q93" s="2"/>
    </row>
    <row r="94" spans="2:17" ht="15.75" x14ac:dyDescent="0.25">
      <c r="B94" s="12" t="s">
        <v>12</v>
      </c>
      <c r="C94" s="2"/>
      <c r="D94" s="13">
        <v>6310.9509509888994</v>
      </c>
      <c r="E94" s="83">
        <f t="shared" si="12"/>
        <v>2.5882000000000001</v>
      </c>
      <c r="F94" s="15">
        <f>+D94*'5. UTRs &amp; Sub Transmission'!$I$84</f>
        <v>16334.00325134947</v>
      </c>
      <c r="G94" s="2"/>
      <c r="H94" s="13">
        <v>6306.6942472823966</v>
      </c>
      <c r="I94" s="83">
        <f t="shared" si="13"/>
        <v>1.7677000000000003</v>
      </c>
      <c r="J94" s="15">
        <f>+H94*'5. UTRs &amp; Sub Transmission'!$I$86</f>
        <v>11148.343420921094</v>
      </c>
      <c r="K94" s="2"/>
      <c r="L94" s="13"/>
      <c r="M94" s="14">
        <f t="shared" si="14"/>
        <v>0</v>
      </c>
      <c r="N94" s="15"/>
      <c r="O94" s="2"/>
      <c r="P94" s="17">
        <f t="shared" si="15"/>
        <v>11148.343420921094</v>
      </c>
      <c r="Q94" s="2"/>
    </row>
    <row r="95" spans="2:17" ht="15.75" x14ac:dyDescent="0.25">
      <c r="B95" s="12" t="s">
        <v>13</v>
      </c>
      <c r="C95" s="2"/>
      <c r="D95" s="13">
        <v>6420.7333850249606</v>
      </c>
      <c r="E95" s="83">
        <f t="shared" si="12"/>
        <v>2.5881999999999996</v>
      </c>
      <c r="F95" s="15">
        <f>+D95*'5. UTRs &amp; Sub Transmission'!$I$84</f>
        <v>16618.142147121602</v>
      </c>
      <c r="G95" s="2"/>
      <c r="H95" s="13">
        <v>6416.4026336357083</v>
      </c>
      <c r="I95" s="83">
        <f t="shared" si="13"/>
        <v>1.7677</v>
      </c>
      <c r="J95" s="15">
        <f>+H95*'5. UTRs &amp; Sub Transmission'!$I$86</f>
        <v>11342.274935477843</v>
      </c>
      <c r="K95" s="2"/>
      <c r="L95" s="13"/>
      <c r="M95" s="14">
        <f t="shared" si="14"/>
        <v>0</v>
      </c>
      <c r="N95" s="15"/>
      <c r="O95" s="2"/>
      <c r="P95" s="17">
        <f t="shared" si="15"/>
        <v>11342.274935477843</v>
      </c>
      <c r="Q95" s="2"/>
    </row>
    <row r="96" spans="2:17" ht="15.75" x14ac:dyDescent="0.25">
      <c r="B96" s="12" t="s">
        <v>14</v>
      </c>
      <c r="C96" s="2"/>
      <c r="D96" s="13">
        <v>6451.5135067173142</v>
      </c>
      <c r="E96" s="83">
        <f t="shared" si="12"/>
        <v>2.5882000000000001</v>
      </c>
      <c r="F96" s="15">
        <f>+D96*'5. UTRs &amp; Sub Transmission'!$I$84</f>
        <v>16697.807258085752</v>
      </c>
      <c r="G96" s="2"/>
      <c r="H96" s="13">
        <v>6447.1619942955149</v>
      </c>
      <c r="I96" s="83">
        <f t="shared" si="13"/>
        <v>1.7676999999999998</v>
      </c>
      <c r="J96" s="15">
        <f>+H96*'5. UTRs &amp; Sub Transmission'!$I$86</f>
        <v>11396.648257316181</v>
      </c>
      <c r="K96" s="2"/>
      <c r="L96" s="13"/>
      <c r="M96" s="14">
        <f t="shared" si="14"/>
        <v>0</v>
      </c>
      <c r="N96" s="15"/>
      <c r="O96" s="2"/>
      <c r="P96" s="17">
        <f t="shared" si="15"/>
        <v>11396.648257316181</v>
      </c>
      <c r="Q96" s="2"/>
    </row>
    <row r="97" spans="2:17" ht="15.75" x14ac:dyDescent="0.25">
      <c r="B97" s="12" t="s">
        <v>15</v>
      </c>
      <c r="C97" s="2"/>
      <c r="D97" s="13">
        <v>7111.2341149900931</v>
      </c>
      <c r="E97" s="83">
        <f t="shared" si="12"/>
        <v>2.5882000000000001</v>
      </c>
      <c r="F97" s="15">
        <f>+D97*'5. UTRs &amp; Sub Transmission'!$I$84</f>
        <v>18405.296136417361</v>
      </c>
      <c r="G97" s="2"/>
      <c r="H97" s="13">
        <v>7106.4376244373752</v>
      </c>
      <c r="I97" s="83">
        <f t="shared" si="13"/>
        <v>1.7677</v>
      </c>
      <c r="J97" s="15">
        <f>+H97*'5. UTRs &amp; Sub Transmission'!$I$86</f>
        <v>12562.049788717948</v>
      </c>
      <c r="K97" s="2"/>
      <c r="L97" s="13"/>
      <c r="M97" s="14">
        <f t="shared" si="14"/>
        <v>0</v>
      </c>
      <c r="N97" s="15"/>
      <c r="O97" s="2"/>
      <c r="P97" s="17">
        <f t="shared" si="15"/>
        <v>12562.049788717948</v>
      </c>
      <c r="Q97" s="2"/>
    </row>
    <row r="98" spans="2:17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19.5" thickBot="1" x14ac:dyDescent="0.35">
      <c r="B99" s="18" t="s">
        <v>16</v>
      </c>
      <c r="C99" s="2"/>
      <c r="D99" s="19">
        <f>SUM(D86:D97)</f>
        <v>79966.756156734627</v>
      </c>
      <c r="E99" s="20">
        <f>IF(D99&lt;&gt;0,F99/D99,0)</f>
        <v>2.5882000000000009</v>
      </c>
      <c r="F99" s="21">
        <f>SUM(F86:F97)</f>
        <v>206969.95828486062</v>
      </c>
      <c r="G99" s="2"/>
      <c r="H99" s="19">
        <f>SUM(H86:H97)</f>
        <v>79912.818994178175</v>
      </c>
      <c r="I99" s="20">
        <f>IF(H99&lt;&gt;0,J99/H99,0)</f>
        <v>1.7677</v>
      </c>
      <c r="J99" s="21">
        <f>SUM(J86:J97)</f>
        <v>141261.89013600876</v>
      </c>
      <c r="K99" s="2"/>
      <c r="L99" s="19">
        <f>SUM(L86:L97)</f>
        <v>0</v>
      </c>
      <c r="M99" s="20">
        <f>IF(L99&lt;&gt;0,N99/L99,0)</f>
        <v>0</v>
      </c>
      <c r="N99" s="21">
        <f>SUM(N86:N97)</f>
        <v>0</v>
      </c>
      <c r="O99" s="2"/>
      <c r="P99" s="21">
        <f>SUM(P86:P97)</f>
        <v>141261.89013600876</v>
      </c>
      <c r="Q99" s="2"/>
    </row>
    <row r="100" spans="2:17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ht="20.25" x14ac:dyDescent="0.3">
      <c r="B102" s="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ht="20.25" x14ac:dyDescent="0.3"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15.75" x14ac:dyDescent="0.25">
      <c r="B104" s="2"/>
      <c r="C104" s="2"/>
      <c r="D104" s="6"/>
      <c r="E104" s="6"/>
      <c r="F104" s="6"/>
      <c r="G104" s="7"/>
      <c r="H104" s="6"/>
      <c r="I104" s="6"/>
      <c r="J104" s="6"/>
      <c r="K104" s="7"/>
      <c r="L104" s="6"/>
      <c r="M104" s="6"/>
      <c r="N104" s="6"/>
      <c r="O104" s="7"/>
      <c r="P104" s="6"/>
      <c r="Q104" s="2"/>
    </row>
    <row r="105" spans="2:17" ht="33" x14ac:dyDescent="0.3">
      <c r="B105" s="22" t="s">
        <v>0</v>
      </c>
      <c r="C105" s="2"/>
      <c r="D105" s="11" t="s">
        <v>1</v>
      </c>
      <c r="E105" s="11" t="s">
        <v>2</v>
      </c>
      <c r="F105" s="11" t="s">
        <v>3</v>
      </c>
      <c r="G105" s="10"/>
      <c r="H105" s="11" t="s">
        <v>1</v>
      </c>
      <c r="I105" s="11" t="s">
        <v>2</v>
      </c>
      <c r="J105" s="11" t="s">
        <v>3</v>
      </c>
      <c r="K105" s="10"/>
      <c r="L105" s="11" t="s">
        <v>1</v>
      </c>
      <c r="M105" s="11" t="s">
        <v>2</v>
      </c>
      <c r="N105" s="11" t="s">
        <v>3</v>
      </c>
      <c r="O105" s="10"/>
      <c r="P105" s="11" t="s">
        <v>3</v>
      </c>
      <c r="Q105" s="2"/>
    </row>
    <row r="106" spans="2:17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15.75" x14ac:dyDescent="0.25">
      <c r="B107" s="12" t="s">
        <v>4</v>
      </c>
      <c r="C107" s="2"/>
      <c r="D107" s="116">
        <f t="shared" ref="D107:D118" si="16">D22+D42+D63+D86</f>
        <v>239983.06699755637</v>
      </c>
      <c r="E107" s="117">
        <f t="shared" ref="E107:E118" si="17">IF(D107&lt;&gt;0,F107/D107,0)</f>
        <v>3.5030203745435564</v>
      </c>
      <c r="F107" s="115">
        <f t="shared" ref="F107:F118" si="18">F22+F42+F63+F86</f>
        <v>840665.57323789131</v>
      </c>
      <c r="G107" s="118"/>
      <c r="H107" s="116">
        <f t="shared" ref="H107:H118" si="19">H22+H42+H63+H86</f>
        <v>239821.19966270943</v>
      </c>
      <c r="I107" s="117">
        <f t="shared" ref="I107:I118" si="20">IF(H107&lt;&gt;0,J107/H107,0)</f>
        <v>0.82281079479454322</v>
      </c>
      <c r="J107" s="115">
        <f t="shared" ref="J107:J118" si="21">J22+J42+J63+J86</f>
        <v>197327.4719030548</v>
      </c>
      <c r="K107" s="118"/>
      <c r="L107" s="116">
        <f t="shared" ref="L107:L118" si="22">L22+L42+L63+L86</f>
        <v>37820.026802640794</v>
      </c>
      <c r="M107" s="117">
        <f t="shared" ref="M107:M118" si="23">IF(L107&lt;&gt;0,N107/L107,0)</f>
        <v>1.8041221866463557</v>
      </c>
      <c r="N107" s="115">
        <f t="shared" ref="N107:N118" si="24">N22+N42+N63+N86</f>
        <v>68231.949454204092</v>
      </c>
      <c r="O107" s="118"/>
      <c r="P107" s="115">
        <f t="shared" ref="P107:P118" si="25">J107+N107</f>
        <v>265559.42135725892</v>
      </c>
      <c r="Q107" s="2"/>
    </row>
    <row r="108" spans="2:17" ht="15.75" x14ac:dyDescent="0.25">
      <c r="B108" s="12" t="s">
        <v>5</v>
      </c>
      <c r="C108" s="2"/>
      <c r="D108" s="116">
        <f t="shared" si="16"/>
        <v>233700.41323844332</v>
      </c>
      <c r="E108" s="117">
        <f t="shared" si="17"/>
        <v>3.5040057890233824</v>
      </c>
      <c r="F108" s="115">
        <f t="shared" si="18"/>
        <v>818887.60088466213</v>
      </c>
      <c r="G108" s="118"/>
      <c r="H108" s="116">
        <f t="shared" si="19"/>
        <v>234583.01383290719</v>
      </c>
      <c r="I108" s="117">
        <f t="shared" si="20"/>
        <v>0.82297929429123395</v>
      </c>
      <c r="J108" s="115">
        <f t="shared" si="21"/>
        <v>193056.96317691673</v>
      </c>
      <c r="K108" s="118"/>
      <c r="L108" s="116">
        <f t="shared" si="22"/>
        <v>37473.333986219564</v>
      </c>
      <c r="M108" s="117">
        <f t="shared" si="23"/>
        <v>1.8050150902106066</v>
      </c>
      <c r="N108" s="115">
        <f t="shared" si="24"/>
        <v>67639.933325628299</v>
      </c>
      <c r="O108" s="118"/>
      <c r="P108" s="115">
        <f t="shared" si="25"/>
        <v>260696.89650254505</v>
      </c>
      <c r="Q108" s="2"/>
    </row>
    <row r="109" spans="2:17" ht="15.75" x14ac:dyDescent="0.25">
      <c r="B109" s="12" t="s">
        <v>6</v>
      </c>
      <c r="C109" s="2"/>
      <c r="D109" s="116">
        <f t="shared" si="16"/>
        <v>233604.72810014235</v>
      </c>
      <c r="E109" s="117">
        <f t="shared" si="17"/>
        <v>3.5057423386674218</v>
      </c>
      <c r="F109" s="115">
        <f t="shared" si="18"/>
        <v>818957.9858135602</v>
      </c>
      <c r="G109" s="118"/>
      <c r="H109" s="116">
        <f t="shared" si="19"/>
        <v>233593.17760687458</v>
      </c>
      <c r="I109" s="117">
        <f t="shared" si="20"/>
        <v>0.82352396231201119</v>
      </c>
      <c r="J109" s="115">
        <f t="shared" si="21"/>
        <v>192369.57919186671</v>
      </c>
      <c r="K109" s="118"/>
      <c r="L109" s="116">
        <f t="shared" si="22"/>
        <v>36943.920895151168</v>
      </c>
      <c r="M109" s="117">
        <f t="shared" si="23"/>
        <v>1.8102652331810327</v>
      </c>
      <c r="N109" s="115">
        <f t="shared" si="24"/>
        <v>66878.295573882453</v>
      </c>
      <c r="O109" s="118"/>
      <c r="P109" s="115">
        <f t="shared" si="25"/>
        <v>259247.87476574915</v>
      </c>
      <c r="Q109" s="2"/>
    </row>
    <row r="110" spans="2:17" ht="15.75" x14ac:dyDescent="0.25">
      <c r="B110" s="12" t="s">
        <v>7</v>
      </c>
      <c r="C110" s="2"/>
      <c r="D110" s="116">
        <f t="shared" si="16"/>
        <v>198819.81503443717</v>
      </c>
      <c r="E110" s="117">
        <f t="shared" si="17"/>
        <v>3.5014549880578949</v>
      </c>
      <c r="F110" s="115">
        <f t="shared" si="18"/>
        <v>696158.63307707803</v>
      </c>
      <c r="G110" s="118"/>
      <c r="H110" s="116">
        <f t="shared" si="19"/>
        <v>215424.95617075529</v>
      </c>
      <c r="I110" s="117">
        <f t="shared" si="20"/>
        <v>0.82405515322141276</v>
      </c>
      <c r="J110" s="115">
        <f t="shared" si="21"/>
        <v>177522.04526500788</v>
      </c>
      <c r="K110" s="118"/>
      <c r="L110" s="116">
        <f t="shared" si="22"/>
        <v>33286.839184535726</v>
      </c>
      <c r="M110" s="117">
        <f t="shared" si="23"/>
        <v>1.8088351942292944</v>
      </c>
      <c r="N110" s="115">
        <f t="shared" si="24"/>
        <v>60210.406221638965</v>
      </c>
      <c r="O110" s="118"/>
      <c r="P110" s="115">
        <f t="shared" si="25"/>
        <v>237732.45148664684</v>
      </c>
      <c r="Q110" s="2"/>
    </row>
    <row r="111" spans="2:17" ht="15.75" x14ac:dyDescent="0.25">
      <c r="B111" s="12" t="s">
        <v>8</v>
      </c>
      <c r="C111" s="2"/>
      <c r="D111" s="116">
        <f t="shared" si="16"/>
        <v>200965.00483566409</v>
      </c>
      <c r="E111" s="117">
        <f t="shared" si="17"/>
        <v>3.5097956945763689</v>
      </c>
      <c r="F111" s="115">
        <f t="shared" si="18"/>
        <v>705346.10873273294</v>
      </c>
      <c r="G111" s="118"/>
      <c r="H111" s="116">
        <f t="shared" si="19"/>
        <v>209640.98649852566</v>
      </c>
      <c r="I111" s="117">
        <f t="shared" si="20"/>
        <v>0.82249889580420754</v>
      </c>
      <c r="J111" s="115">
        <f t="shared" si="21"/>
        <v>172429.47991034214</v>
      </c>
      <c r="K111" s="118"/>
      <c r="L111" s="116">
        <f t="shared" si="22"/>
        <v>29597.876920347026</v>
      </c>
      <c r="M111" s="117">
        <f t="shared" si="23"/>
        <v>1.810924617478805</v>
      </c>
      <c r="N111" s="115">
        <f t="shared" si="24"/>
        <v>53599.523940164188</v>
      </c>
      <c r="O111" s="118"/>
      <c r="P111" s="115">
        <f t="shared" si="25"/>
        <v>226029.00385050633</v>
      </c>
      <c r="Q111" s="2"/>
    </row>
    <row r="112" spans="2:17" ht="15.75" x14ac:dyDescent="0.25">
      <c r="B112" s="12" t="s">
        <v>9</v>
      </c>
      <c r="C112" s="2"/>
      <c r="D112" s="116">
        <f t="shared" si="16"/>
        <v>260459.13255177203</v>
      </c>
      <c r="E112" s="117">
        <f t="shared" si="17"/>
        <v>3.5129768700429929</v>
      </c>
      <c r="F112" s="115">
        <f t="shared" si="18"/>
        <v>914986.90824583708</v>
      </c>
      <c r="G112" s="118"/>
      <c r="H112" s="116">
        <f t="shared" si="19"/>
        <v>262186.43332965719</v>
      </c>
      <c r="I112" s="117">
        <f t="shared" si="20"/>
        <v>0.81872475118667831</v>
      </c>
      <c r="J112" s="115">
        <f t="shared" si="21"/>
        <v>214658.5223923462</v>
      </c>
      <c r="K112" s="118"/>
      <c r="L112" s="116">
        <f t="shared" si="22"/>
        <v>35796.67412428528</v>
      </c>
      <c r="M112" s="117">
        <f t="shared" si="23"/>
        <v>1.8053914946953544</v>
      </c>
      <c r="N112" s="115">
        <f t="shared" si="24"/>
        <v>64627.011002365922</v>
      </c>
      <c r="O112" s="118"/>
      <c r="P112" s="115">
        <f t="shared" si="25"/>
        <v>279285.53339471214</v>
      </c>
      <c r="Q112" s="2"/>
    </row>
    <row r="113" spans="2:17" ht="15.75" x14ac:dyDescent="0.25">
      <c r="B113" s="12" t="s">
        <v>10</v>
      </c>
      <c r="C113" s="2"/>
      <c r="D113" s="116">
        <f t="shared" si="16"/>
        <v>215421.9662927372</v>
      </c>
      <c r="E113" s="117">
        <f t="shared" si="17"/>
        <v>3.5061996205981933</v>
      </c>
      <c r="F113" s="115">
        <f t="shared" si="18"/>
        <v>755312.41648411192</v>
      </c>
      <c r="G113" s="118"/>
      <c r="H113" s="116">
        <f t="shared" si="19"/>
        <v>223433.02242797313</v>
      </c>
      <c r="I113" s="117">
        <f t="shared" si="20"/>
        <v>0.82038765801307023</v>
      </c>
      <c r="J113" s="115">
        <f t="shared" si="21"/>
        <v>183301.69399246667</v>
      </c>
      <c r="K113" s="118"/>
      <c r="L113" s="116">
        <f t="shared" si="22"/>
        <v>32110.589383288498</v>
      </c>
      <c r="M113" s="117">
        <f t="shared" si="23"/>
        <v>1.8008595340083455</v>
      </c>
      <c r="N113" s="115">
        <f t="shared" si="24"/>
        <v>57826.66103352225</v>
      </c>
      <c r="O113" s="118"/>
      <c r="P113" s="115">
        <f t="shared" si="25"/>
        <v>241128.35502598892</v>
      </c>
      <c r="Q113" s="2"/>
    </row>
    <row r="114" spans="2:17" ht="15.75" x14ac:dyDescent="0.25">
      <c r="B114" s="12" t="s">
        <v>11</v>
      </c>
      <c r="C114" s="2"/>
      <c r="D114" s="116">
        <f t="shared" si="16"/>
        <v>259747.2396372307</v>
      </c>
      <c r="E114" s="117">
        <f t="shared" si="17"/>
        <v>3.5121338244248443</v>
      </c>
      <c r="F114" s="115">
        <f t="shared" si="18"/>
        <v>912267.06613090355</v>
      </c>
      <c r="G114" s="118"/>
      <c r="H114" s="116">
        <f t="shared" si="19"/>
        <v>267904.75227311853</v>
      </c>
      <c r="I114" s="117">
        <f t="shared" si="20"/>
        <v>0.82022152104770574</v>
      </c>
      <c r="J114" s="115">
        <f t="shared" si="21"/>
        <v>219741.24340536608</v>
      </c>
      <c r="K114" s="118"/>
      <c r="L114" s="116">
        <f t="shared" si="22"/>
        <v>34835.432617191618</v>
      </c>
      <c r="M114" s="117">
        <f t="shared" si="23"/>
        <v>1.8029894054364992</v>
      </c>
      <c r="N114" s="115">
        <f t="shared" si="24"/>
        <v>62807.91594259355</v>
      </c>
      <c r="O114" s="118"/>
      <c r="P114" s="115">
        <f t="shared" si="25"/>
        <v>282549.15934795962</v>
      </c>
      <c r="Q114" s="2"/>
    </row>
    <row r="115" spans="2:17" ht="15.75" x14ac:dyDescent="0.25">
      <c r="B115" s="12" t="s">
        <v>12</v>
      </c>
      <c r="C115" s="2"/>
      <c r="D115" s="116">
        <f t="shared" si="16"/>
        <v>216044.09411238303</v>
      </c>
      <c r="E115" s="117">
        <f t="shared" si="17"/>
        <v>3.5129661673737842</v>
      </c>
      <c r="F115" s="115">
        <f t="shared" si="18"/>
        <v>758955.59327771934</v>
      </c>
      <c r="G115" s="118"/>
      <c r="H115" s="116">
        <f t="shared" si="19"/>
        <v>228587.73760606488</v>
      </c>
      <c r="I115" s="117">
        <f t="shared" si="20"/>
        <v>0.82211713789293628</v>
      </c>
      <c r="J115" s="115">
        <f t="shared" si="21"/>
        <v>187925.89659811958</v>
      </c>
      <c r="K115" s="118"/>
      <c r="L115" s="116">
        <f t="shared" si="22"/>
        <v>31786.007155319294</v>
      </c>
      <c r="M115" s="117">
        <f t="shared" si="23"/>
        <v>1.8106785691217928</v>
      </c>
      <c r="N115" s="115">
        <f t="shared" si="24"/>
        <v>57554.241954088604</v>
      </c>
      <c r="O115" s="118"/>
      <c r="P115" s="115">
        <f t="shared" si="25"/>
        <v>245480.1385522082</v>
      </c>
      <c r="Q115" s="2"/>
    </row>
    <row r="116" spans="2:17" ht="15.75" x14ac:dyDescent="0.25">
      <c r="B116" s="12" t="s">
        <v>13</v>
      </c>
      <c r="C116" s="2"/>
      <c r="D116" s="116">
        <f t="shared" si="16"/>
        <v>208795.37545383378</v>
      </c>
      <c r="E116" s="117">
        <f t="shared" si="17"/>
        <v>3.5081519090437085</v>
      </c>
      <c r="F116" s="115">
        <f t="shared" si="18"/>
        <v>732485.89499786485</v>
      </c>
      <c r="G116" s="118"/>
      <c r="H116" s="116">
        <f t="shared" si="19"/>
        <v>216491.00383938267</v>
      </c>
      <c r="I116" s="117">
        <f t="shared" si="20"/>
        <v>0.82349127741000261</v>
      </c>
      <c r="J116" s="115">
        <f t="shared" si="21"/>
        <v>178278.45329946702</v>
      </c>
      <c r="K116" s="118"/>
      <c r="L116" s="116">
        <f t="shared" si="22"/>
        <v>33015.772802454638</v>
      </c>
      <c r="M116" s="117">
        <f t="shared" si="23"/>
        <v>1.8095708351639959</v>
      </c>
      <c r="N116" s="115">
        <f t="shared" si="24"/>
        <v>59744.379563722578</v>
      </c>
      <c r="O116" s="118"/>
      <c r="P116" s="115">
        <f t="shared" si="25"/>
        <v>238022.8328631896</v>
      </c>
      <c r="Q116" s="2"/>
    </row>
    <row r="117" spans="2:17" ht="15.75" x14ac:dyDescent="0.25">
      <c r="B117" s="12" t="s">
        <v>14</v>
      </c>
      <c r="C117" s="2"/>
      <c r="D117" s="116">
        <f t="shared" si="16"/>
        <v>223325.78854130537</v>
      </c>
      <c r="E117" s="117">
        <f t="shared" si="17"/>
        <v>3.5081277563381628</v>
      </c>
      <c r="F117" s="115">
        <f t="shared" si="18"/>
        <v>783455.39748786064</v>
      </c>
      <c r="G117" s="118"/>
      <c r="H117" s="116">
        <f t="shared" si="19"/>
        <v>229511.14386619252</v>
      </c>
      <c r="I117" s="117">
        <f t="shared" si="20"/>
        <v>0.82151748776620914</v>
      </c>
      <c r="J117" s="115">
        <f t="shared" si="21"/>
        <v>188547.41832330349</v>
      </c>
      <c r="K117" s="118"/>
      <c r="L117" s="116">
        <f t="shared" si="22"/>
        <v>36027.127147749285</v>
      </c>
      <c r="M117" s="117">
        <f t="shared" si="23"/>
        <v>1.8070341467326283</v>
      </c>
      <c r="N117" s="115">
        <f t="shared" si="24"/>
        <v>65102.248964661034</v>
      </c>
      <c r="O117" s="118"/>
      <c r="P117" s="115">
        <f t="shared" si="25"/>
        <v>253649.66728796452</v>
      </c>
      <c r="Q117" s="2"/>
    </row>
    <row r="118" spans="2:17" ht="15.75" x14ac:dyDescent="0.25">
      <c r="B118" s="12" t="s">
        <v>15</v>
      </c>
      <c r="C118" s="2"/>
      <c r="D118" s="116">
        <f t="shared" si="16"/>
        <v>238785.91520449455</v>
      </c>
      <c r="E118" s="117">
        <f t="shared" si="17"/>
        <v>3.5034080428252197</v>
      </c>
      <c r="F118" s="115">
        <f t="shared" si="18"/>
        <v>836564.4958408071</v>
      </c>
      <c r="G118" s="118"/>
      <c r="H118" s="116">
        <f t="shared" si="19"/>
        <v>241212.74288583887</v>
      </c>
      <c r="I118" s="117">
        <f t="shared" si="20"/>
        <v>0.82223476338668178</v>
      </c>
      <c r="J118" s="115">
        <f t="shared" si="21"/>
        <v>198333.50257259022</v>
      </c>
      <c r="K118" s="118"/>
      <c r="L118" s="116">
        <f t="shared" si="22"/>
        <v>38197.633139276448</v>
      </c>
      <c r="M118" s="117">
        <f t="shared" si="23"/>
        <v>1.8035315641141303</v>
      </c>
      <c r="N118" s="115">
        <f t="shared" si="24"/>
        <v>68890.637041136986</v>
      </c>
      <c r="O118" s="118"/>
      <c r="P118" s="115">
        <f t="shared" si="25"/>
        <v>267224.13961372722</v>
      </c>
      <c r="Q118" s="2"/>
    </row>
    <row r="119" spans="2:17" x14ac:dyDescent="0.2">
      <c r="B119" s="2"/>
      <c r="C119" s="2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5"/>
      <c r="Q119" s="2"/>
    </row>
    <row r="120" spans="2:17" ht="19.5" thickBot="1" x14ac:dyDescent="0.35">
      <c r="B120" s="18" t="s">
        <v>16</v>
      </c>
      <c r="C120" s="2"/>
      <c r="D120" s="108">
        <f>SUM(D107:D118)</f>
        <v>2729652.54</v>
      </c>
      <c r="E120" s="119">
        <f>IF(D120&lt;&gt;0,F120/D120,0)</f>
        <v>3.5074221110248072</v>
      </c>
      <c r="F120" s="120">
        <f>SUM(F107:F118)</f>
        <v>9574043.6742110271</v>
      </c>
      <c r="G120" s="118"/>
      <c r="H120" s="108">
        <f>SUM(H107:H118)</f>
        <v>2802390.1700000004</v>
      </c>
      <c r="I120" s="119">
        <f>IF(H120&lt;&gt;0,J120/H120,0)</f>
        <v>0.82197414717267825</v>
      </c>
      <c r="J120" s="120">
        <f>SUM(J107:J118)</f>
        <v>2303492.2700308473</v>
      </c>
      <c r="K120" s="118"/>
      <c r="L120" s="108">
        <f>SUM(L107:L118)</f>
        <v>416891.23415845935</v>
      </c>
      <c r="M120" s="119">
        <f>IF(L120&lt;&gt;0,N120/L120,0)</f>
        <v>1.8064980558726558</v>
      </c>
      <c r="N120" s="120">
        <f>SUM(N107:N118)</f>
        <v>753113.20401760889</v>
      </c>
      <c r="O120" s="118"/>
      <c r="P120" s="120">
        <f>SUM(P107:P118)</f>
        <v>3056605.4740484566</v>
      </c>
      <c r="Q120" s="2"/>
    </row>
    <row r="121" spans="2:17" x14ac:dyDescent="0.2"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</row>
    <row r="122" spans="2:17" x14ac:dyDescent="0.2"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</row>
    <row r="123" spans="2:17" x14ac:dyDescent="0.2">
      <c r="B123" s="63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</row>
    <row r="124" spans="2:17" x14ac:dyDescent="0.2"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</row>
  </sheetData>
  <mergeCells count="2">
    <mergeCell ref="B58:C60"/>
    <mergeCell ref="B80:C82"/>
  </mergeCells>
  <phoneticPr fontId="11" type="noConversion"/>
  <pageMargins left="0.2" right="0.2" top="0.25" bottom="0.25" header="0.3" footer="0.3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1:R56"/>
  <sheetViews>
    <sheetView showGridLines="0" tabSelected="1" topLeftCell="C24" workbookViewId="0">
      <selection activeCell="H50" sqref="H50"/>
    </sheetView>
  </sheetViews>
  <sheetFormatPr defaultRowHeight="12.75" x14ac:dyDescent="0.2"/>
  <cols>
    <col min="1" max="1" width="13.7109375" hidden="1" customWidth="1"/>
    <col min="2" max="2" width="32.28515625" customWidth="1"/>
    <col min="3" max="3" width="16" customWidth="1"/>
    <col min="5" max="5" width="3.42578125" customWidth="1"/>
    <col min="6" max="6" width="16.140625" customWidth="1"/>
    <col min="7" max="7" width="2.5703125" customWidth="1"/>
    <col min="8" max="8" width="16.140625" customWidth="1"/>
    <col min="9" max="9" width="2.5703125" customWidth="1"/>
    <col min="10" max="10" width="16.140625" customWidth="1"/>
    <col min="11" max="11" width="2.5703125" customWidth="1"/>
    <col min="12" max="12" width="14.5703125" customWidth="1"/>
    <col min="13" max="13" width="2.5703125" customWidth="1"/>
    <col min="14" max="14" width="11.5703125" customWidth="1"/>
    <col min="15" max="15" width="2.5703125" customWidth="1"/>
    <col min="16" max="16" width="14.28515625" customWidth="1"/>
    <col min="17" max="17" width="2.5703125" customWidth="1"/>
    <col min="18" max="18" width="11.42578125" customWidth="1"/>
  </cols>
  <sheetData>
    <row r="21" spans="2:18" ht="16.5" x14ac:dyDescent="0.3">
      <c r="B21" s="24"/>
      <c r="D21" s="25"/>
      <c r="E21" s="26"/>
      <c r="F21" s="27"/>
      <c r="G21" s="27"/>
      <c r="H21" s="26"/>
      <c r="I21" s="26"/>
      <c r="J21" s="26"/>
      <c r="K21" s="25"/>
    </row>
    <row r="22" spans="2:18" ht="16.5" x14ac:dyDescent="0.3">
      <c r="B22" s="24"/>
      <c r="D22" s="25"/>
      <c r="E22" s="26"/>
      <c r="F22" s="27"/>
      <c r="G22" s="27"/>
      <c r="H22" s="26"/>
      <c r="I22" s="26"/>
      <c r="J22" s="26"/>
      <c r="K22" s="25"/>
    </row>
    <row r="25" spans="2:18" ht="25.5" customHeight="1" thickBot="1" x14ac:dyDescent="0.25">
      <c r="B25" s="28" t="str">
        <f>IF('[1]3. Rate Classes'!Q24=1,'[1]3. Rate Classes'!C24, 0)</f>
        <v>Residential</v>
      </c>
      <c r="C25" s="29"/>
      <c r="D25" s="30" t="str">
        <f>IF(ISERROR(VLOOKUP($B25, '[1]3. Rate Classes'!$C$24:$H$45,6,0)), "", VLOOKUP($B25, '[1]3. Rate Classes'!$C$24:$H$45,6,0))</f>
        <v>kWh</v>
      </c>
      <c r="F25" s="31">
        <f>+'3. Rate Classes'!K20</f>
        <v>7.4999999999999997E-3</v>
      </c>
      <c r="G25" s="32"/>
      <c r="H25" s="32">
        <f>+'4. RRR Data'!L27</f>
        <v>409759515.03497368</v>
      </c>
      <c r="I25" s="33"/>
      <c r="J25" s="32">
        <f>+'4. RRR Data'!M27</f>
        <v>0</v>
      </c>
      <c r="K25" s="34"/>
      <c r="L25" s="35">
        <f>IF(F25="", "", IF(D25="kWh", F25*H25, F25*J25))</f>
        <v>3073196.3627623026</v>
      </c>
      <c r="M25" s="36"/>
      <c r="N25" s="37">
        <f>IF(ISERROR(L25/$L$49), "", L25/$L$49)</f>
        <v>0.32299077573215679</v>
      </c>
      <c r="O25" s="38"/>
      <c r="P25" s="39">
        <f>+'7 Current Wholesale'!$F$121*'9 Adj NW to Current WS'!N25</f>
        <v>3084749.0091253682</v>
      </c>
      <c r="R25" s="40">
        <f>IF(D25="","",IF(D25="kWh",IF(H25&lt;&gt;0,P25/H25,),IF(J25&lt;&gt;0,P25/J25,0)))</f>
        <v>7.5281937232429602E-3</v>
      </c>
    </row>
    <row r="26" spans="2:18" ht="25.5" customHeight="1" thickBot="1" x14ac:dyDescent="0.25">
      <c r="B26" s="28" t="str">
        <f>IF('[1]3. Rate Classes'!Q25=1,'[1]3. Rate Classes'!C25, 0)</f>
        <v>General Service Less Than 50 kW</v>
      </c>
      <c r="C26" s="29"/>
      <c r="D26" s="30" t="str">
        <f>IF(ISERROR(VLOOKUP($B26, '[1]3. Rate Classes'!$C$24:$H$45,6,0)), "", VLOOKUP($B26, '[1]3. Rate Classes'!$C$24:$H$45,6,0))</f>
        <v>kWh</v>
      </c>
      <c r="F26" s="31">
        <f>+'3. Rate Classes'!K21</f>
        <v>6.7999999999999996E-3</v>
      </c>
      <c r="G26" s="32"/>
      <c r="H26" s="32">
        <f>+'4. RRR Data'!L28</f>
        <v>186947197.76167998</v>
      </c>
      <c r="I26" s="33"/>
      <c r="J26" s="32">
        <f>+'4. RRR Data'!M28</f>
        <v>0</v>
      </c>
      <c r="K26" s="41"/>
      <c r="L26" s="35">
        <f t="shared" ref="L26:L46" si="0">IF(F26="", "", IF(D26="kWh", F26*H26, F26*J26))</f>
        <v>1271240.9447794238</v>
      </c>
      <c r="M26" s="36"/>
      <c r="N26" s="37">
        <f t="shared" ref="N26:N46" si="1">IF(ISERROR(L26/$L$49), "", L26/$L$49)</f>
        <v>0.13360652897809769</v>
      </c>
      <c r="P26" s="39">
        <f>+'7 Current Wholesale'!$F$121*'9 Adj NW to Current WS'!N26</f>
        <v>1276019.7468290546</v>
      </c>
      <c r="R26" s="40">
        <f t="shared" ref="R26:R46" si="2">IF(D26="","",IF(D26="kWh",IF(H26&lt;&gt;0,P26/H26,),IF(J26&lt;&gt;0,P26/J26,0)))</f>
        <v>6.8255623090736168E-3</v>
      </c>
    </row>
    <row r="27" spans="2:18" ht="25.5" customHeight="1" thickBot="1" x14ac:dyDescent="0.25">
      <c r="B27" s="28" t="str">
        <f>IF('[1]3. Rate Classes'!Q26=1,'[1]3. Rate Classes'!C26, 0)</f>
        <v>General Service 50 to 999 kW</v>
      </c>
      <c r="C27" s="29"/>
      <c r="D27" s="30" t="str">
        <f>IF(ISERROR(VLOOKUP($B27, '[1]3. Rate Classes'!$C$24:$H$45,6,0)), "", VLOOKUP($B27, '[1]3. Rate Classes'!$C$24:$H$45,6,0))</f>
        <v>kW</v>
      </c>
      <c r="F27" s="31">
        <f>+'3. Rate Classes'!K22</f>
        <v>2.7869000000000002</v>
      </c>
      <c r="G27" s="32"/>
      <c r="H27" s="32">
        <f>+'4. RRR Data'!L29</f>
        <v>141818043.92225248</v>
      </c>
      <c r="I27" s="33"/>
      <c r="J27" s="32">
        <f>+'4. RRR Data'!M29</f>
        <v>405418.50862246769</v>
      </c>
      <c r="K27" s="41"/>
      <c r="L27" s="35">
        <f t="shared" si="0"/>
        <v>1129860.8416799554</v>
      </c>
      <c r="M27" s="36"/>
      <c r="N27" s="37">
        <f t="shared" si="1"/>
        <v>0.11874757960327</v>
      </c>
      <c r="P27" s="39">
        <f>+'7 Current Wholesale'!$F$121*'9 Adj NW to Current WS'!N27</f>
        <v>1134108.1728630729</v>
      </c>
      <c r="R27" s="40">
        <f t="shared" si="2"/>
        <v>2.7973764116407742</v>
      </c>
    </row>
    <row r="28" spans="2:18" ht="25.5" customHeight="1" thickBot="1" x14ac:dyDescent="0.25">
      <c r="B28" s="28" t="str">
        <f>IF('[1]3. Rate Classes'!Q27=1,'[1]3. Rate Classes'!C27, 0)</f>
        <v>General Service 50 to 999 kW - Interval Metered</v>
      </c>
      <c r="C28" s="29"/>
      <c r="D28" s="30" t="str">
        <f>IF(ISERROR(VLOOKUP($B28, '[1]3. Rate Classes'!$C$24:$H$45,6,0)), "", VLOOKUP($B28, '[1]3. Rate Classes'!$C$24:$H$45,6,0))</f>
        <v>kW</v>
      </c>
      <c r="F28" s="31">
        <f>+'3. Rate Classes'!K23</f>
        <v>2.9601000000000002</v>
      </c>
      <c r="G28" s="32"/>
      <c r="H28" s="32">
        <f>+'4. RRR Data'!L30</f>
        <v>314724309.29104507</v>
      </c>
      <c r="I28" s="33"/>
      <c r="J28" s="32">
        <f>+'4. RRR Data'!M30</f>
        <v>719365.55701908888</v>
      </c>
      <c r="K28" s="41"/>
      <c r="L28" s="35">
        <f t="shared" si="0"/>
        <v>2129393.985332205</v>
      </c>
      <c r="M28" s="36"/>
      <c r="N28" s="37">
        <f t="shared" si="1"/>
        <v>0.22379780982938574</v>
      </c>
      <c r="P28" s="39">
        <f>+'7 Current Wholesale'!$F$121*'9 Adj NW to Current WS'!N28</f>
        <v>2137398.7246252289</v>
      </c>
      <c r="R28" s="40">
        <f t="shared" si="2"/>
        <v>2.9712274986895313</v>
      </c>
    </row>
    <row r="29" spans="2:18" ht="25.5" customHeight="1" thickBot="1" x14ac:dyDescent="0.25">
      <c r="B29" s="28" t="str">
        <f>IF('[1]3. Rate Classes'!Q28=1,'[1]3. Rate Classes'!C28, 0)</f>
        <v>General Service 1,000 to 4,999 kW - Interval Meters</v>
      </c>
      <c r="C29" s="29"/>
      <c r="D29" s="30" t="str">
        <f>IF(ISERROR(VLOOKUP($B29, '[1]3. Rate Classes'!$C$24:$H$45,6,0)), "", VLOOKUP($B29, '[1]3. Rate Classes'!$C$24:$H$45,6,0))</f>
        <v>kW</v>
      </c>
      <c r="F29" s="31">
        <f>+'3. Rate Classes'!K24</f>
        <v>2.9563000000000001</v>
      </c>
      <c r="G29" s="32"/>
      <c r="H29" s="32">
        <f>+'4. RRR Data'!L31</f>
        <v>249190335.80982751</v>
      </c>
      <c r="I29" s="33"/>
      <c r="J29" s="32">
        <f>+'4. RRR Data'!M31</f>
        <v>456422.45368093351</v>
      </c>
      <c r="K29" s="41"/>
      <c r="L29" s="35">
        <f t="shared" si="0"/>
        <v>1349321.6998169438</v>
      </c>
      <c r="M29" s="36"/>
      <c r="N29" s="37">
        <f t="shared" si="1"/>
        <v>0.14181276140271665</v>
      </c>
      <c r="P29" s="39">
        <f>+'7 Current Wholesale'!$F$121*'9 Adj NW to Current WS'!N29</f>
        <v>1354394.0201596583</v>
      </c>
      <c r="R29" s="40">
        <f t="shared" si="2"/>
        <v>2.9674132138697549</v>
      </c>
    </row>
    <row r="30" spans="2:18" ht="25.5" customHeight="1" thickBot="1" x14ac:dyDescent="0.25">
      <c r="B30" s="28" t="str">
        <f>IF('[1]3. Rate Classes'!Q29=1,'[1]3. Rate Classes'!C29, 0)</f>
        <v>Large Use</v>
      </c>
      <c r="C30" s="29"/>
      <c r="D30" s="30" t="str">
        <f>IF(ISERROR(VLOOKUP($B30, '[1]3. Rate Classes'!$C$24:$H$45,6,0)), "", VLOOKUP($B30, '[1]3. Rate Classes'!$C$24:$H$45,6,0))</f>
        <v>kW</v>
      </c>
      <c r="F30" s="31">
        <f>+'3. Rate Classes'!K25</f>
        <v>3.2774000000000001</v>
      </c>
      <c r="G30" s="32"/>
      <c r="H30" s="32">
        <f>+'4. RRR Data'!L32</f>
        <v>79638262.482273534</v>
      </c>
      <c r="I30" s="33"/>
      <c r="J30" s="32">
        <f>+'4. RRR Data'!M32</f>
        <v>153851.807669359</v>
      </c>
      <c r="K30" s="41"/>
      <c r="L30" s="35">
        <f t="shared" si="0"/>
        <v>504233.91445555718</v>
      </c>
      <c r="M30" s="36"/>
      <c r="N30" s="37">
        <f t="shared" si="1"/>
        <v>5.2994629680634918E-2</v>
      </c>
      <c r="P30" s="39">
        <f>+'7 Current Wholesale'!$F$121*'9 Adj NW to Current WS'!N30</f>
        <v>506129.41198007372</v>
      </c>
      <c r="R30" s="40">
        <f t="shared" si="2"/>
        <v>3.2897202811408635</v>
      </c>
    </row>
    <row r="31" spans="2:18" ht="25.5" customHeight="1" thickBot="1" x14ac:dyDescent="0.25">
      <c r="B31" s="28" t="str">
        <f>IF('[1]3. Rate Classes'!Q30=1,'[1]3. Rate Classes'!C30, 0)</f>
        <v>Unmetered Scattered Load</v>
      </c>
      <c r="C31" s="29"/>
      <c r="D31" s="30" t="str">
        <f>IF(ISERROR(VLOOKUP($B31, '[1]3. Rate Classes'!$C$24:$H$45,6,0)), "", VLOOKUP($B31, '[1]3. Rate Classes'!$C$24:$H$45,6,0))</f>
        <v>kWh</v>
      </c>
      <c r="F31" s="31">
        <f>+'3. Rate Classes'!K26</f>
        <v>6.7999999999999996E-3</v>
      </c>
      <c r="G31" s="32"/>
      <c r="H31" s="32">
        <f>+'4. RRR Data'!L33</f>
        <v>1715272.0220320367</v>
      </c>
      <c r="I31" s="33"/>
      <c r="J31" s="32">
        <f>+'4. RRR Data'!M33</f>
        <v>0</v>
      </c>
      <c r="K31" s="41"/>
      <c r="L31" s="35">
        <f t="shared" si="0"/>
        <v>11663.849749817849</v>
      </c>
      <c r="M31" s="36"/>
      <c r="N31" s="37">
        <f t="shared" si="1"/>
        <v>1.2258624031855833E-3</v>
      </c>
      <c r="P31" s="39">
        <f>+'7 Current Wholesale'!$F$121*'9 Adj NW to Current WS'!N31</f>
        <v>11707.69606339036</v>
      </c>
      <c r="R31" s="40">
        <f t="shared" si="2"/>
        <v>6.8255623090736168E-3</v>
      </c>
    </row>
    <row r="32" spans="2:18" ht="25.5" customHeight="1" thickBot="1" x14ac:dyDescent="0.25">
      <c r="B32" s="28" t="str">
        <f>IF('[1]3. Rate Classes'!Q31=1,'[1]3. Rate Classes'!C31, 0)</f>
        <v>Street Lighting</v>
      </c>
      <c r="C32" s="29"/>
      <c r="D32" s="30" t="str">
        <f>IF(ISERROR(VLOOKUP($B32, '[1]3. Rate Classes'!$C$24:$H$45,6,0)), "", VLOOKUP($B32, '[1]3. Rate Classes'!$C$24:$H$45,6,0))</f>
        <v>kW</v>
      </c>
      <c r="F32" s="31">
        <f>+'3. Rate Classes'!K27</f>
        <v>2.1021000000000001</v>
      </c>
      <c r="G32" s="32"/>
      <c r="H32" s="32">
        <f>+'4. RRR Data'!L34</f>
        <v>7792005.6676361058</v>
      </c>
      <c r="I32" s="33"/>
      <c r="J32" s="32">
        <f>+'4. RRR Data'!M34</f>
        <v>21835.28338443664</v>
      </c>
      <c r="K32" s="41"/>
      <c r="L32" s="35">
        <f t="shared" si="0"/>
        <v>45899.949202424265</v>
      </c>
      <c r="M32" s="36"/>
      <c r="N32" s="37">
        <f t="shared" si="1"/>
        <v>4.8240523705527592E-3</v>
      </c>
      <c r="P32" s="39">
        <f>+'7 Current Wholesale'!$F$121*'9 Adj NW to Current WS'!N32</f>
        <v>46072.494597714802</v>
      </c>
      <c r="R32" s="40">
        <f t="shared" si="2"/>
        <v>2.1100021367505368</v>
      </c>
    </row>
    <row r="33" spans="2:18" ht="25.5" customHeight="1" thickBot="1" x14ac:dyDescent="0.25">
      <c r="B33" s="28" t="str">
        <f>IF('[1]3. Rate Classes'!Q32=1,'[1]3. Rate Classes'!C32, 0)</f>
        <v>Embedded Distributor</v>
      </c>
      <c r="C33" s="29"/>
      <c r="D33" s="30" t="str">
        <f>IF(ISERROR(VLOOKUP($B33, '[1]3. Rate Classes'!$C$24:$H$45,6,0)), "", VLOOKUP($B33, '[1]3. Rate Classes'!$C$24:$H$45,6,0))</f>
        <v>kW</v>
      </c>
      <c r="F33" s="31">
        <f>+'3. Rate Classes'!K28</f>
        <v>0</v>
      </c>
      <c r="G33" s="32"/>
      <c r="H33" s="32">
        <f>+'4. RRR Data'!L35</f>
        <v>28618000</v>
      </c>
      <c r="I33" s="33"/>
      <c r="J33" s="32">
        <f>+'4. RRR Data'!M35</f>
        <v>71600</v>
      </c>
      <c r="K33" s="41"/>
      <c r="L33" s="35">
        <f t="shared" si="0"/>
        <v>0</v>
      </c>
      <c r="M33" s="36"/>
      <c r="N33" s="37">
        <f t="shared" si="1"/>
        <v>0</v>
      </c>
      <c r="P33" s="39">
        <f>+'7 Current Wholesale'!$F$121*'9 Adj NW to Current WS'!N33</f>
        <v>0</v>
      </c>
      <c r="R33" s="40">
        <f t="shared" si="2"/>
        <v>0</v>
      </c>
    </row>
    <row r="34" spans="2:18" ht="25.5" hidden="1" customHeight="1" x14ac:dyDescent="0.2">
      <c r="B34" s="28">
        <f>IF('[1]3. Rate Classes'!Q33=1,'[1]3. Rate Classes'!C33, 0)</f>
        <v>0</v>
      </c>
      <c r="C34" s="29"/>
      <c r="D34" s="30" t="str">
        <f>IF(ISERROR(VLOOKUP($B34, '[1]3. Rate Classes'!$C$24:$H$45,6,0)), "", VLOOKUP($B34, '[1]3. Rate Classes'!$C$24:$H$45,6,0))</f>
        <v/>
      </c>
      <c r="F34" s="31" t="str">
        <f>IF(ISERROR(VLOOKUP($B34,'[1]3. Rate Classes'!$C$24:$N$45, 8,0)), "", VLOOKUP($B34,'[1]3. Rate Classes'!$C$24:$N$45, 8,0))</f>
        <v/>
      </c>
      <c r="G34" s="32"/>
      <c r="H34" s="32">
        <f>VLOOKUP('[1]9. Adj Network to Current WS'!$B34, '[1]4. RRR Data'!$B$27:$M$49,11,0)</f>
        <v>0</v>
      </c>
      <c r="I34" s="33"/>
      <c r="J34" s="32">
        <f>VLOOKUP('[1]9. Adj Network to Current WS'!$B34, '[1]4. RRR Data'!$B$27:$M$49,12,0)</f>
        <v>0</v>
      </c>
      <c r="K34" s="41"/>
      <c r="L34" s="35" t="str">
        <f t="shared" si="0"/>
        <v/>
      </c>
      <c r="M34" s="36"/>
      <c r="N34" s="37" t="str">
        <f t="shared" si="1"/>
        <v/>
      </c>
      <c r="P34" s="39" t="str">
        <f>IF(ISERROR('[1]7. Current Wholesale'!$F$75*N34), "", '[1]7. Current Wholesale'!$F$75*N34)</f>
        <v/>
      </c>
      <c r="R34" s="40" t="str">
        <f t="shared" si="2"/>
        <v/>
      </c>
    </row>
    <row r="35" spans="2:18" ht="25.5" hidden="1" customHeight="1" x14ac:dyDescent="0.2">
      <c r="B35" s="28">
        <f>IF('[1]3. Rate Classes'!Q34=1,'[1]3. Rate Classes'!C34, 0)</f>
        <v>0</v>
      </c>
      <c r="C35" s="29"/>
      <c r="D35" s="30" t="str">
        <f>IF(ISERROR(VLOOKUP($B35, '[1]3. Rate Classes'!$C$24:$H$45,6,0)), "", VLOOKUP($B35, '[1]3. Rate Classes'!$C$24:$H$45,6,0))</f>
        <v/>
      </c>
      <c r="F35" s="31" t="str">
        <f>IF(ISERROR(VLOOKUP($B35,'[1]3. Rate Classes'!$C$24:$N$45, 8,0)), "", VLOOKUP($B35,'[1]3. Rate Classes'!$C$24:$N$45, 8,0))</f>
        <v/>
      </c>
      <c r="G35" s="32"/>
      <c r="H35" s="32">
        <f>VLOOKUP('[1]9. Adj Network to Current WS'!$B35, '[1]4. RRR Data'!$B$27:$M$49,11,0)</f>
        <v>0</v>
      </c>
      <c r="I35" s="33"/>
      <c r="J35" s="32">
        <f>VLOOKUP('[1]9. Adj Network to Current WS'!$B35, '[1]4. RRR Data'!$B$27:$M$49,12,0)</f>
        <v>0</v>
      </c>
      <c r="K35" s="41"/>
      <c r="L35" s="35" t="str">
        <f t="shared" si="0"/>
        <v/>
      </c>
      <c r="M35" s="36"/>
      <c r="N35" s="37" t="str">
        <f t="shared" si="1"/>
        <v/>
      </c>
      <c r="P35" s="39" t="str">
        <f>IF(ISERROR('[1]7. Current Wholesale'!$F$75*N35), "", '[1]7. Current Wholesale'!$F$75*N35)</f>
        <v/>
      </c>
      <c r="R35" s="40" t="str">
        <f t="shared" si="2"/>
        <v/>
      </c>
    </row>
    <row r="36" spans="2:18" ht="25.5" hidden="1" customHeight="1" x14ac:dyDescent="0.2">
      <c r="B36" s="28">
        <f>IF('[1]3. Rate Classes'!Q35=1,'[1]3. Rate Classes'!C35, 0)</f>
        <v>0</v>
      </c>
      <c r="C36" s="29"/>
      <c r="D36" s="30" t="str">
        <f>IF(ISERROR(VLOOKUP($B36, '[1]3. Rate Classes'!$C$24:$H$45,6,0)), "", VLOOKUP($B36, '[1]3. Rate Classes'!$C$24:$H$45,6,0))</f>
        <v/>
      </c>
      <c r="F36" s="31" t="str">
        <f>IF(ISERROR(VLOOKUP($B36,'[1]3. Rate Classes'!$C$24:$N$45, 8,0)), "", VLOOKUP($B36,'[1]3. Rate Classes'!$C$24:$N$45, 8,0))</f>
        <v/>
      </c>
      <c r="G36" s="32"/>
      <c r="H36" s="32">
        <f>VLOOKUP('[1]9. Adj Network to Current WS'!$B36, '[1]4. RRR Data'!$B$27:$M$49,11,0)</f>
        <v>0</v>
      </c>
      <c r="I36" s="33"/>
      <c r="J36" s="32">
        <f>VLOOKUP('[1]9. Adj Network to Current WS'!$B36, '[1]4. RRR Data'!$B$27:$M$49,12,0)</f>
        <v>0</v>
      </c>
      <c r="K36" s="41"/>
      <c r="L36" s="35" t="str">
        <f t="shared" si="0"/>
        <v/>
      </c>
      <c r="M36" s="36"/>
      <c r="N36" s="37" t="str">
        <f t="shared" si="1"/>
        <v/>
      </c>
      <c r="P36" s="39" t="str">
        <f>IF(ISERROR('[1]7. Current Wholesale'!$F$75*N36), "", '[1]7. Current Wholesale'!$F$75*N36)</f>
        <v/>
      </c>
      <c r="R36" s="40" t="str">
        <f t="shared" si="2"/>
        <v/>
      </c>
    </row>
    <row r="37" spans="2:18" ht="25.5" hidden="1" customHeight="1" x14ac:dyDescent="0.2">
      <c r="B37" s="28">
        <f>IF('[1]3. Rate Classes'!Q36=1,'[1]3. Rate Classes'!C36, 0)</f>
        <v>0</v>
      </c>
      <c r="C37" s="29"/>
      <c r="D37" s="30" t="str">
        <f>IF(ISERROR(VLOOKUP($B37, '[1]3. Rate Classes'!$C$24:$H$45,6,0)), "", VLOOKUP($B37, '[1]3. Rate Classes'!$C$24:$H$45,6,0))</f>
        <v/>
      </c>
      <c r="F37" s="31" t="str">
        <f>IF(ISERROR(VLOOKUP($B37,'[1]3. Rate Classes'!$C$24:$N$45, 8,0)), "", VLOOKUP($B37,'[1]3. Rate Classes'!$C$24:$N$45, 8,0))</f>
        <v/>
      </c>
      <c r="G37" s="32"/>
      <c r="H37" s="32">
        <f>VLOOKUP('[1]9. Adj Network to Current WS'!$B37, '[1]4. RRR Data'!$B$27:$M$49,11,0)</f>
        <v>0</v>
      </c>
      <c r="I37" s="33"/>
      <c r="J37" s="32">
        <f>VLOOKUP('[1]9. Adj Network to Current WS'!$B37, '[1]4. RRR Data'!$B$27:$M$49,12,0)</f>
        <v>0</v>
      </c>
      <c r="K37" s="41"/>
      <c r="L37" s="35" t="str">
        <f t="shared" si="0"/>
        <v/>
      </c>
      <c r="M37" s="36"/>
      <c r="N37" s="37" t="str">
        <f t="shared" si="1"/>
        <v/>
      </c>
      <c r="P37" s="39" t="str">
        <f>IF(ISERROR('[1]7. Current Wholesale'!$F$75*N37), "", '[1]7. Current Wholesale'!$F$75*N37)</f>
        <v/>
      </c>
      <c r="R37" s="40" t="str">
        <f t="shared" si="2"/>
        <v/>
      </c>
    </row>
    <row r="38" spans="2:18" ht="25.5" hidden="1" customHeight="1" x14ac:dyDescent="0.2">
      <c r="B38" s="28">
        <f>IF('[1]3. Rate Classes'!Q37=1,'[1]3. Rate Classes'!C37, 0)</f>
        <v>0</v>
      </c>
      <c r="C38" s="29"/>
      <c r="D38" s="30" t="str">
        <f>IF(ISERROR(VLOOKUP($B38, '[1]3. Rate Classes'!$C$24:$H$45,6,0)), "", VLOOKUP($B38, '[1]3. Rate Classes'!$C$24:$H$45,6,0))</f>
        <v/>
      </c>
      <c r="F38" s="31" t="str">
        <f>IF(ISERROR(VLOOKUP($B38,'[1]3. Rate Classes'!$C$24:$N$45, 8,0)), "", VLOOKUP($B38,'[1]3. Rate Classes'!$C$24:$N$45, 8,0))</f>
        <v/>
      </c>
      <c r="G38" s="32"/>
      <c r="H38" s="32">
        <f>VLOOKUP('[1]9. Adj Network to Current WS'!$B38, '[1]4. RRR Data'!$B$27:$M$49,11,0)</f>
        <v>0</v>
      </c>
      <c r="I38" s="33"/>
      <c r="J38" s="32">
        <f>VLOOKUP('[1]9. Adj Network to Current WS'!$B38, '[1]4. RRR Data'!$B$27:$M$49,12,0)</f>
        <v>0</v>
      </c>
      <c r="K38" s="41"/>
      <c r="L38" s="35" t="str">
        <f t="shared" si="0"/>
        <v/>
      </c>
      <c r="M38" s="36"/>
      <c r="N38" s="37" t="str">
        <f t="shared" si="1"/>
        <v/>
      </c>
      <c r="P38" s="39" t="str">
        <f>IF(ISERROR('[1]7. Current Wholesale'!$F$75*N38), "", '[1]7. Current Wholesale'!$F$75*N38)</f>
        <v/>
      </c>
      <c r="R38" s="40" t="str">
        <f t="shared" si="2"/>
        <v/>
      </c>
    </row>
    <row r="39" spans="2:18" ht="25.5" hidden="1" customHeight="1" x14ac:dyDescent="0.2">
      <c r="B39" s="28">
        <f>IF('[1]3. Rate Classes'!Q38=1,'[1]3. Rate Classes'!C38, 0)</f>
        <v>0</v>
      </c>
      <c r="C39" s="29"/>
      <c r="D39" s="30" t="str">
        <f>IF(ISERROR(VLOOKUP($B39, '[1]3. Rate Classes'!$C$24:$H$45,6,0)), "", VLOOKUP($B39, '[1]3. Rate Classes'!$C$24:$H$45,6,0))</f>
        <v/>
      </c>
      <c r="F39" s="31" t="str">
        <f>IF(ISERROR(VLOOKUP($B39,'[1]3. Rate Classes'!$C$24:$N$45, 8,0)), "", VLOOKUP($B39,'[1]3. Rate Classes'!$C$24:$N$45, 8,0))</f>
        <v/>
      </c>
      <c r="G39" s="32"/>
      <c r="H39" s="32">
        <f>VLOOKUP('[1]9. Adj Network to Current WS'!$B39, '[1]4. RRR Data'!$B$27:$M$49,11,0)</f>
        <v>0</v>
      </c>
      <c r="I39" s="33"/>
      <c r="J39" s="32">
        <f>VLOOKUP('[1]9. Adj Network to Current WS'!$B39, '[1]4. RRR Data'!$B$27:$M$49,12,0)</f>
        <v>0</v>
      </c>
      <c r="K39" s="41"/>
      <c r="L39" s="35" t="str">
        <f>IF(F39="", "", IF(D39="kWh", F39*H39, F39*J39))</f>
        <v/>
      </c>
      <c r="M39" s="36"/>
      <c r="N39" s="37" t="str">
        <f t="shared" si="1"/>
        <v/>
      </c>
      <c r="P39" s="39" t="str">
        <f>IF(ISERROR('[1]7. Current Wholesale'!$F$75*N39), "", '[1]7. Current Wholesale'!$F$75*N39)</f>
        <v/>
      </c>
      <c r="R39" s="40" t="str">
        <f t="shared" si="2"/>
        <v/>
      </c>
    </row>
    <row r="40" spans="2:18" ht="25.5" hidden="1" customHeight="1" x14ac:dyDescent="0.2">
      <c r="B40" s="28">
        <f>IF('[1]3. Rate Classes'!Q39=1,'[1]3. Rate Classes'!C39, 0)</f>
        <v>0</v>
      </c>
      <c r="C40" s="29"/>
      <c r="D40" s="30" t="str">
        <f>IF(ISERROR(VLOOKUP($B40, '[1]3. Rate Classes'!$C$24:$H$45,6,0)), "", VLOOKUP($B40, '[1]3. Rate Classes'!$C$24:$H$45,6,0))</f>
        <v/>
      </c>
      <c r="F40" s="31" t="str">
        <f>IF(ISERROR(VLOOKUP($B40,'[1]3. Rate Classes'!$C$24:$N$45, 8,0)), "", VLOOKUP($B40,'[1]3. Rate Classes'!$C$24:$N$45, 8,0))</f>
        <v/>
      </c>
      <c r="G40" s="32"/>
      <c r="H40" s="32">
        <f>VLOOKUP('[1]9. Adj Network to Current WS'!$B40, '[1]4. RRR Data'!$B$27:$M$49,11,0)</f>
        <v>0</v>
      </c>
      <c r="I40" s="33"/>
      <c r="J40" s="32">
        <f>VLOOKUP('[1]9. Adj Network to Current WS'!$B40, '[1]4. RRR Data'!$B$27:$M$49,12,0)</f>
        <v>0</v>
      </c>
      <c r="K40" s="41"/>
      <c r="L40" s="35" t="str">
        <f t="shared" si="0"/>
        <v/>
      </c>
      <c r="M40" s="36"/>
      <c r="N40" s="37" t="str">
        <f t="shared" si="1"/>
        <v/>
      </c>
      <c r="P40" s="39" t="str">
        <f>IF(ISERROR('[1]7. Current Wholesale'!$F$75*N40), "", '[1]7. Current Wholesale'!$F$75*N40)</f>
        <v/>
      </c>
      <c r="R40" s="40" t="str">
        <f t="shared" si="2"/>
        <v/>
      </c>
    </row>
    <row r="41" spans="2:18" ht="25.5" hidden="1" customHeight="1" x14ac:dyDescent="0.2">
      <c r="B41" s="28">
        <f>IF('[1]3. Rate Classes'!Q40=1,'[1]3. Rate Classes'!C40, 0)</f>
        <v>0</v>
      </c>
      <c r="C41" s="29"/>
      <c r="D41" s="30" t="str">
        <f>IF(ISERROR(VLOOKUP($B41, '[1]3. Rate Classes'!$C$24:$H$45,6,0)), "", VLOOKUP($B41, '[1]3. Rate Classes'!$C$24:$H$45,6,0))</f>
        <v/>
      </c>
      <c r="F41" s="31" t="str">
        <f>IF(ISERROR(VLOOKUP($B41,'[1]3. Rate Classes'!$C$24:$N$45, 8,0)), "", VLOOKUP($B41,'[1]3. Rate Classes'!$C$24:$N$45, 8,0))</f>
        <v/>
      </c>
      <c r="G41" s="32"/>
      <c r="H41" s="32">
        <f>VLOOKUP('[1]9. Adj Network to Current WS'!$B41, '[1]4. RRR Data'!$B$27:$M$49,11,0)</f>
        <v>0</v>
      </c>
      <c r="I41" s="33"/>
      <c r="J41" s="32">
        <f>VLOOKUP('[1]9. Adj Network to Current WS'!$B41, '[1]4. RRR Data'!$B$27:$M$49,12,0)</f>
        <v>0</v>
      </c>
      <c r="K41" s="41"/>
      <c r="L41" s="35" t="str">
        <f t="shared" si="0"/>
        <v/>
      </c>
      <c r="M41" s="36"/>
      <c r="N41" s="37" t="str">
        <f t="shared" si="1"/>
        <v/>
      </c>
      <c r="P41" s="39" t="str">
        <f>IF(ISERROR('[1]7. Current Wholesale'!$F$75*N41), "", '[1]7. Current Wholesale'!$F$75*N41)</f>
        <v/>
      </c>
      <c r="R41" s="40" t="str">
        <f t="shared" si="2"/>
        <v/>
      </c>
    </row>
    <row r="42" spans="2:18" ht="25.5" hidden="1" customHeight="1" x14ac:dyDescent="0.2">
      <c r="B42" s="28">
        <f>IF('[1]3. Rate Classes'!Q41=1,'[1]3. Rate Classes'!C41, 0)</f>
        <v>0</v>
      </c>
      <c r="C42" s="29"/>
      <c r="D42" s="30" t="str">
        <f>IF(ISERROR(VLOOKUP($B42, '[1]3. Rate Classes'!$C$24:$H$45,6,0)), "", VLOOKUP($B42, '[1]3. Rate Classes'!$C$24:$H$45,6,0))</f>
        <v/>
      </c>
      <c r="F42" s="31" t="str">
        <f>IF(ISERROR(VLOOKUP($B42,'[1]3. Rate Classes'!$C$24:$N$45, 8,0)), "", VLOOKUP($B42,'[1]3. Rate Classes'!$C$24:$N$45, 8,0))</f>
        <v/>
      </c>
      <c r="G42" s="32"/>
      <c r="H42" s="32">
        <f>VLOOKUP('[1]9. Adj Network to Current WS'!$B42, '[1]4. RRR Data'!$B$27:$M$49,11,0)</f>
        <v>0</v>
      </c>
      <c r="I42" s="33"/>
      <c r="J42" s="32">
        <f>VLOOKUP('[1]9. Adj Network to Current WS'!$B42, '[1]4. RRR Data'!$B$27:$M$49,12,0)</f>
        <v>0</v>
      </c>
      <c r="K42" s="41"/>
      <c r="L42" s="35" t="str">
        <f t="shared" si="0"/>
        <v/>
      </c>
      <c r="M42" s="36"/>
      <c r="N42" s="37" t="str">
        <f t="shared" si="1"/>
        <v/>
      </c>
      <c r="P42" s="39" t="str">
        <f>IF(ISERROR('[1]7. Current Wholesale'!$F$75*N42), "", '[1]7. Current Wholesale'!$F$75*N42)</f>
        <v/>
      </c>
      <c r="R42" s="40" t="str">
        <f t="shared" si="2"/>
        <v/>
      </c>
    </row>
    <row r="43" spans="2:18" ht="25.5" hidden="1" customHeight="1" x14ac:dyDescent="0.2">
      <c r="B43" s="28">
        <f>IF('[1]3. Rate Classes'!Q42=1,'[1]3. Rate Classes'!C42, 0)</f>
        <v>0</v>
      </c>
      <c r="C43" s="29"/>
      <c r="D43" s="30" t="str">
        <f>IF(ISERROR(VLOOKUP($B43, '[1]3. Rate Classes'!$C$24:$H$45,6,0)), "", VLOOKUP($B43, '[1]3. Rate Classes'!$C$24:$H$45,6,0))</f>
        <v/>
      </c>
      <c r="F43" s="31" t="str">
        <f>IF(ISERROR(VLOOKUP($B43,'[1]3. Rate Classes'!$C$24:$N$45, 8,0)), "", VLOOKUP($B43,'[1]3. Rate Classes'!$C$24:$N$45, 8,0))</f>
        <v/>
      </c>
      <c r="G43" s="32"/>
      <c r="H43" s="32">
        <f>VLOOKUP('[1]9. Adj Network to Current WS'!$B43, '[1]4. RRR Data'!$B$27:$M$49,11,0)</f>
        <v>0</v>
      </c>
      <c r="I43" s="33"/>
      <c r="J43" s="32">
        <f>VLOOKUP('[1]9. Adj Network to Current WS'!$B43, '[1]4. RRR Data'!$B$27:$M$49,12,0)</f>
        <v>0</v>
      </c>
      <c r="K43" s="41"/>
      <c r="L43" s="35" t="str">
        <f t="shared" si="0"/>
        <v/>
      </c>
      <c r="M43" s="36"/>
      <c r="N43" s="37" t="str">
        <f t="shared" si="1"/>
        <v/>
      </c>
      <c r="P43" s="39" t="str">
        <f>IF(ISERROR('[1]7. Current Wholesale'!$F$75*N43), "", '[1]7. Current Wholesale'!$F$75*N43)</f>
        <v/>
      </c>
      <c r="R43" s="40" t="str">
        <f t="shared" si="2"/>
        <v/>
      </c>
    </row>
    <row r="44" spans="2:18" ht="25.5" hidden="1" customHeight="1" x14ac:dyDescent="0.2">
      <c r="B44" s="28">
        <f>IF('[1]3. Rate Classes'!Q43=1,'[1]3. Rate Classes'!C43, 0)</f>
        <v>0</v>
      </c>
      <c r="C44" s="29"/>
      <c r="D44" s="30" t="str">
        <f>IF(ISERROR(VLOOKUP($B44, '[1]3. Rate Classes'!$C$24:$H$45,6,0)), "", VLOOKUP($B44, '[1]3. Rate Classes'!$C$24:$H$45,6,0))</f>
        <v/>
      </c>
      <c r="F44" s="31" t="str">
        <f>IF(ISERROR(VLOOKUP($B44,'[1]3. Rate Classes'!$C$24:$N$45, 8,0)), "", VLOOKUP($B44,'[1]3. Rate Classes'!$C$24:$N$45, 8,0))</f>
        <v/>
      </c>
      <c r="G44" s="32"/>
      <c r="H44" s="32">
        <f>VLOOKUP('[1]9. Adj Network to Current WS'!$B44, '[1]4. RRR Data'!$B$27:$M$49,11,0)</f>
        <v>0</v>
      </c>
      <c r="I44" s="33"/>
      <c r="J44" s="32">
        <f>VLOOKUP('[1]9. Adj Network to Current WS'!$B44, '[1]4. RRR Data'!$B$27:$M$49,12,0)</f>
        <v>0</v>
      </c>
      <c r="K44" s="41"/>
      <c r="L44" s="35" t="str">
        <f t="shared" si="0"/>
        <v/>
      </c>
      <c r="M44" s="36"/>
      <c r="N44" s="37" t="str">
        <f t="shared" si="1"/>
        <v/>
      </c>
      <c r="P44" s="39" t="str">
        <f>IF(ISERROR('[1]7. Current Wholesale'!$F$75*N44), "", '[1]7. Current Wholesale'!$F$75*N44)</f>
        <v/>
      </c>
      <c r="R44" s="40" t="str">
        <f t="shared" si="2"/>
        <v/>
      </c>
    </row>
    <row r="45" spans="2:18" ht="25.5" hidden="1" customHeight="1" x14ac:dyDescent="0.2">
      <c r="B45" s="28">
        <f>IF('[1]3. Rate Classes'!Q44=1,'[1]3. Rate Classes'!C44, 0)</f>
        <v>0</v>
      </c>
      <c r="C45" s="29"/>
      <c r="D45" s="30" t="str">
        <f>IF(ISERROR(VLOOKUP($B45, '[1]3. Rate Classes'!$C$24:$H$45,6,0)), "", VLOOKUP($B45, '[1]3. Rate Classes'!$C$24:$H$45,6,0))</f>
        <v/>
      </c>
      <c r="F45" s="31" t="str">
        <f>IF(ISERROR(VLOOKUP($B45,'[1]3. Rate Classes'!$C$24:$N$45, 8,0)), "", VLOOKUP($B45,'[1]3. Rate Classes'!$C$24:$N$45, 8,0))</f>
        <v/>
      </c>
      <c r="G45" s="32"/>
      <c r="H45" s="32">
        <f>VLOOKUP('[1]9. Adj Network to Current WS'!$B45, '[1]4. RRR Data'!$B$27:$M$49,11,0)</f>
        <v>0</v>
      </c>
      <c r="I45" s="33"/>
      <c r="J45" s="32">
        <f>VLOOKUP('[1]9. Adj Network to Current WS'!$B45, '[1]4. RRR Data'!$B$27:$M$49,12,0)</f>
        <v>0</v>
      </c>
      <c r="K45" s="41"/>
      <c r="L45" s="35" t="str">
        <f t="shared" si="0"/>
        <v/>
      </c>
      <c r="M45" s="36"/>
      <c r="N45" s="37" t="str">
        <f t="shared" si="1"/>
        <v/>
      </c>
      <c r="P45" s="39" t="str">
        <f>IF(ISERROR('[1]7. Current Wholesale'!$F$75*N45), "", '[1]7. Current Wholesale'!$F$75*N45)</f>
        <v/>
      </c>
      <c r="R45" s="40" t="str">
        <f t="shared" si="2"/>
        <v/>
      </c>
    </row>
    <row r="46" spans="2:18" ht="25.5" hidden="1" customHeight="1" x14ac:dyDescent="0.2">
      <c r="B46" s="28">
        <f>IF('[1]3. Rate Classes'!Q45=1,'[1]3. Rate Classes'!C45, 0)</f>
        <v>0</v>
      </c>
      <c r="C46" s="29"/>
      <c r="D46" s="30" t="str">
        <f>IF(ISERROR(VLOOKUP($B46, '[1]3. Rate Classes'!$C$24:$H$45,6,0)), "", VLOOKUP($B46, '[1]3. Rate Classes'!$C$24:$H$45,6,0))</f>
        <v/>
      </c>
      <c r="F46" s="31" t="str">
        <f>IF(ISERROR(VLOOKUP($B46,'[1]3. Rate Classes'!$C$24:$N$45, 8,0)), "", VLOOKUP($B46,'[1]3. Rate Classes'!$C$24:$N$45, 8,0))</f>
        <v/>
      </c>
      <c r="G46" s="32"/>
      <c r="H46" s="32">
        <f>VLOOKUP('[1]9. Adj Network to Current WS'!$B46, '[1]4. RRR Data'!$B$27:$M$49,11,0)</f>
        <v>0</v>
      </c>
      <c r="I46" s="42"/>
      <c r="J46" s="32">
        <f>VLOOKUP('[1]9. Adj Network to Current WS'!$B46, '[1]4. RRR Data'!$B$27:$M$49,12,0)</f>
        <v>0</v>
      </c>
      <c r="K46" s="41"/>
      <c r="L46" s="35" t="str">
        <f t="shared" si="0"/>
        <v/>
      </c>
      <c r="M46" s="36"/>
      <c r="N46" s="37" t="str">
        <f t="shared" si="1"/>
        <v/>
      </c>
      <c r="P46" s="39" t="str">
        <f>IF(ISERROR('[1]7. Current Wholesale'!$F$75*N46), "", '[1]7. Current Wholesale'!$F$75*N46)</f>
        <v/>
      </c>
      <c r="R46" s="40" t="str">
        <f t="shared" si="2"/>
        <v/>
      </c>
    </row>
    <row r="47" spans="2:18" ht="13.5" hidden="1" thickBot="1" x14ac:dyDescent="0.25">
      <c r="F47" s="31"/>
      <c r="G47" s="43"/>
      <c r="H47" s="43"/>
      <c r="I47" s="43"/>
      <c r="J47" s="43"/>
      <c r="R47" s="40"/>
    </row>
    <row r="48" spans="2:18" ht="13.5" thickBot="1" x14ac:dyDescent="0.25">
      <c r="F48" s="31"/>
      <c r="G48" s="43"/>
      <c r="H48" s="43"/>
      <c r="I48" s="43"/>
      <c r="J48" s="43"/>
    </row>
    <row r="49" spans="6:16" ht="13.5" thickBot="1" x14ac:dyDescent="0.25">
      <c r="F49" s="31"/>
      <c r="G49" s="43"/>
      <c r="H49" s="43"/>
      <c r="I49" s="43"/>
      <c r="J49" s="43"/>
      <c r="L49" s="44">
        <f>SUM(L25:L46)</f>
        <v>9514811.5477786288</v>
      </c>
      <c r="P49" s="113">
        <f>SUM(P25:P48)</f>
        <v>9550579.2762435619</v>
      </c>
    </row>
    <row r="50" spans="6:16" ht="13.5" thickBot="1" x14ac:dyDescent="0.25">
      <c r="F50" s="31"/>
      <c r="G50" s="43"/>
      <c r="H50" s="43"/>
      <c r="I50" s="43"/>
      <c r="J50" s="43"/>
    </row>
    <row r="51" spans="6:16" ht="13.5" thickBot="1" x14ac:dyDescent="0.25">
      <c r="F51" s="31"/>
      <c r="G51" s="43"/>
      <c r="H51" s="43"/>
      <c r="I51" s="43"/>
      <c r="J51" s="43"/>
      <c r="P51" s="112">
        <f>+P49-'7 Current Wholesale'!F121</f>
        <v>0</v>
      </c>
    </row>
    <row r="52" spans="6:16" ht="13.5" thickBot="1" x14ac:dyDescent="0.25">
      <c r="F52" s="32"/>
      <c r="G52" s="43"/>
      <c r="H52" s="43"/>
      <c r="I52" s="43"/>
      <c r="J52" s="43"/>
    </row>
    <row r="53" spans="6:16" ht="13.5" thickBot="1" x14ac:dyDescent="0.25">
      <c r="F53" s="32"/>
      <c r="G53" s="43"/>
      <c r="H53" s="43"/>
      <c r="I53" s="43"/>
      <c r="J53" s="43"/>
    </row>
    <row r="54" spans="6:16" ht="13.5" thickBot="1" x14ac:dyDescent="0.25">
      <c r="F54" s="32"/>
      <c r="G54" s="43"/>
      <c r="H54" s="43"/>
      <c r="I54" s="43"/>
      <c r="J54" s="43"/>
    </row>
    <row r="55" spans="6:16" ht="13.5" thickBot="1" x14ac:dyDescent="0.25">
      <c r="F55" s="32"/>
      <c r="G55" s="43"/>
      <c r="H55" s="43"/>
      <c r="I55" s="43"/>
      <c r="J55" s="43"/>
    </row>
    <row r="56" spans="6:16" ht="13.5" thickBot="1" x14ac:dyDescent="0.25">
      <c r="F56" s="45"/>
    </row>
  </sheetData>
  <phoneticPr fontId="11" type="noConversion"/>
  <pageMargins left="0.75" right="0.75" top="1" bottom="1" header="0.5" footer="0.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Info</vt:lpstr>
      <vt:lpstr>2. Table of Contents</vt:lpstr>
      <vt:lpstr>3. Rate Classes</vt:lpstr>
      <vt:lpstr>4. RRR Data</vt:lpstr>
      <vt:lpstr>5. UTRs &amp; Sub Transmission</vt:lpstr>
      <vt:lpstr>6. Historical  Wholesale</vt:lpstr>
      <vt:lpstr>7 Current Wholesale</vt:lpstr>
      <vt:lpstr>8 Forecast Wholesale</vt:lpstr>
      <vt:lpstr>9 Adj NW to Current WS</vt:lpstr>
      <vt:lpstr>10 Adj Conn to Current WS</vt:lpstr>
      <vt:lpstr>11 Adj NW to Forecast WS</vt:lpstr>
      <vt:lpstr>12 Adj Conn to Forecast WS</vt:lpstr>
      <vt:lpstr>13. Final 2012 RTS Rates</vt:lpstr>
    </vt:vector>
  </TitlesOfParts>
  <Company>WNH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amos</cp:lastModifiedBy>
  <cp:lastPrinted>2012-09-09T17:55:25Z</cp:lastPrinted>
  <dcterms:created xsi:type="dcterms:W3CDTF">2011-10-05T13:10:40Z</dcterms:created>
  <dcterms:modified xsi:type="dcterms:W3CDTF">2012-09-09T17:55:35Z</dcterms:modified>
</cp:coreProperties>
</file>