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3315" yWindow="2640" windowWidth="11100" windowHeight="9255" tabRatio="983" firstSheet="5" activeTab="9"/>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Info'!$A:$J</definedName>
    <definedName name="_xlnm.Print_Area" localSheetId="12">'13. Final 2013 RTS Rates'!$B:$N</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E53" i="9" l="1"/>
  <c r="N50" i="9"/>
  <c r="F50" i="9"/>
  <c r="J50" i="9"/>
  <c r="N44" i="9" l="1"/>
  <c r="N45" i="9"/>
  <c r="N46" i="9"/>
  <c r="N47" i="9"/>
  <c r="N48" i="9"/>
  <c r="N49" i="9"/>
  <c r="N43" i="9"/>
  <c r="J44" i="9"/>
  <c r="J45" i="9"/>
  <c r="J46" i="9"/>
  <c r="J47" i="9"/>
  <c r="J48" i="9"/>
  <c r="J49" i="9"/>
  <c r="J43" i="9"/>
  <c r="F44" i="9"/>
  <c r="F45" i="9"/>
  <c r="F46" i="9"/>
  <c r="F47" i="9"/>
  <c r="F48" i="9"/>
  <c r="F49" i="9"/>
  <c r="F43" i="9"/>
  <c r="M28" i="4" l="1"/>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30" i="4" s="1"/>
  <c r="D30" i="4" s="1"/>
  <c r="J30" i="4" s="1"/>
  <c r="L30" i="4"/>
  <c r="Q28" i="3"/>
  <c r="B31" i="4" s="1"/>
  <c r="D31" i="4" s="1"/>
  <c r="L31" i="4"/>
  <c r="L32" i="4"/>
  <c r="L33" i="4"/>
  <c r="L34" i="4"/>
  <c r="L35" i="4"/>
  <c r="L36" i="4"/>
  <c r="L37" i="4"/>
  <c r="L38" i="4"/>
  <c r="L39" i="4"/>
  <c r="L40" i="4"/>
  <c r="L41" i="4"/>
  <c r="L42" i="4"/>
  <c r="L43" i="4"/>
  <c r="L44" i="4"/>
  <c r="L45" i="4"/>
  <c r="L46" i="4"/>
  <c r="L47" i="4"/>
  <c r="L48" i="4"/>
  <c r="Q29" i="3"/>
  <c r="B30" i="14" s="1"/>
  <c r="Q30" i="3"/>
  <c r="B31" i="14" s="1"/>
  <c r="Q31" i="3"/>
  <c r="B32" i="14" s="1"/>
  <c r="Q32" i="3"/>
  <c r="B33" i="14" s="1"/>
  <c r="F33" i="14" s="1"/>
  <c r="L33" i="14" s="1"/>
  <c r="A5" i="5"/>
  <c r="A7" i="5"/>
  <c r="F31" i="14"/>
  <c r="D31" i="14"/>
  <c r="D33" i="14"/>
  <c r="R33" i="14" s="1"/>
  <c r="D24" i="8"/>
  <c r="E24" i="8"/>
  <c r="D43" i="8"/>
  <c r="E43" i="8"/>
  <c r="E44" i="8" s="1"/>
  <c r="D25" i="8"/>
  <c r="D44" i="8"/>
  <c r="D26" i="8"/>
  <c r="D37" i="8" s="1"/>
  <c r="E37" i="8" s="1"/>
  <c r="D45" i="8"/>
  <c r="D27" i="8"/>
  <c r="D46" i="8"/>
  <c r="D28" i="8"/>
  <c r="D47" i="8"/>
  <c r="D29" i="8"/>
  <c r="D48" i="8"/>
  <c r="D67" i="8" s="1"/>
  <c r="D30" i="8"/>
  <c r="D49" i="8"/>
  <c r="D31" i="8"/>
  <c r="D50" i="8"/>
  <c r="D32" i="8"/>
  <c r="D51" i="8"/>
  <c r="D70" i="8" s="1"/>
  <c r="D33" i="8"/>
  <c r="D52" i="8"/>
  <c r="D34" i="8"/>
  <c r="D53" i="8"/>
  <c r="D35" i="8"/>
  <c r="D54" i="8"/>
  <c r="D73" i="8" s="1"/>
  <c r="B29" i="16"/>
  <c r="D29" i="16" s="1"/>
  <c r="B31" i="16"/>
  <c r="D31" i="16" s="1"/>
  <c r="B32" i="16"/>
  <c r="D32" i="16"/>
  <c r="R32" i="16" s="1"/>
  <c r="B33" i="16"/>
  <c r="D33" i="16"/>
  <c r="R33" i="16" s="1"/>
  <c r="D24" i="12"/>
  <c r="E24" i="12"/>
  <c r="F24" i="12" s="1"/>
  <c r="D43" i="12"/>
  <c r="E43" i="12"/>
  <c r="D25" i="12"/>
  <c r="D44" i="12"/>
  <c r="D26" i="12"/>
  <c r="D45" i="12"/>
  <c r="D64" i="12" s="1"/>
  <c r="D27" i="12"/>
  <c r="D46" i="12"/>
  <c r="D28" i="12"/>
  <c r="D47" i="12"/>
  <c r="D66" i="12" s="1"/>
  <c r="D29" i="12"/>
  <c r="D48" i="12"/>
  <c r="D67" i="12" s="1"/>
  <c r="D30" i="12"/>
  <c r="D49" i="12"/>
  <c r="D68" i="12" s="1"/>
  <c r="D31" i="12"/>
  <c r="D50" i="12"/>
  <c r="D32" i="12"/>
  <c r="D51" i="12"/>
  <c r="D70" i="12" s="1"/>
  <c r="D33" i="12"/>
  <c r="D52" i="12"/>
  <c r="D71" i="12" s="1"/>
  <c r="D34" i="12"/>
  <c r="D53" i="12"/>
  <c r="D72" i="12" s="1"/>
  <c r="D35" i="12"/>
  <c r="D54" i="12"/>
  <c r="D73" i="12" s="1"/>
  <c r="B29" i="15"/>
  <c r="F29" i="15" s="1"/>
  <c r="B31" i="15"/>
  <c r="F31" i="15" s="1"/>
  <c r="B32" i="15"/>
  <c r="F32" i="15" s="1"/>
  <c r="L32" i="15" s="1"/>
  <c r="B33" i="15"/>
  <c r="F33" i="15" s="1"/>
  <c r="L33" i="15" s="1"/>
  <c r="H24" i="8"/>
  <c r="I24" i="8"/>
  <c r="H43" i="8"/>
  <c r="H62" i="8" s="1"/>
  <c r="I43" i="8"/>
  <c r="J43" i="8" s="1"/>
  <c r="L24" i="8"/>
  <c r="M24" i="8"/>
  <c r="N24" i="8" s="1"/>
  <c r="L43" i="8"/>
  <c r="L62" i="8" s="1"/>
  <c r="M43" i="8"/>
  <c r="H25" i="8"/>
  <c r="H44" i="8"/>
  <c r="L25" i="8"/>
  <c r="L63" i="8" s="1"/>
  <c r="L44" i="8"/>
  <c r="H26" i="8"/>
  <c r="H45" i="8"/>
  <c r="L26" i="8"/>
  <c r="L45" i="8"/>
  <c r="H27" i="8"/>
  <c r="H46" i="8"/>
  <c r="L27" i="8"/>
  <c r="L46" i="8"/>
  <c r="L65" i="8" s="1"/>
  <c r="H28" i="8"/>
  <c r="H47" i="8"/>
  <c r="L28" i="8"/>
  <c r="L47" i="8"/>
  <c r="L66" i="8" s="1"/>
  <c r="H29" i="8"/>
  <c r="H48" i="8"/>
  <c r="H67" i="8" s="1"/>
  <c r="L29" i="8"/>
  <c r="L67" i="8" s="1"/>
  <c r="L48" i="8"/>
  <c r="H30" i="8"/>
  <c r="H49" i="8"/>
  <c r="H68" i="8" s="1"/>
  <c r="L30" i="8"/>
  <c r="L49" i="8"/>
  <c r="L68" i="8" s="1"/>
  <c r="H31" i="8"/>
  <c r="H50" i="8"/>
  <c r="H69" i="8" s="1"/>
  <c r="L31" i="8"/>
  <c r="L50" i="8"/>
  <c r="L69" i="8" s="1"/>
  <c r="H32" i="8"/>
  <c r="H51" i="8"/>
  <c r="L32" i="8"/>
  <c r="L51" i="8"/>
  <c r="L70" i="8" s="1"/>
  <c r="H33" i="8"/>
  <c r="H52" i="8"/>
  <c r="H71" i="8" s="1"/>
  <c r="L33" i="8"/>
  <c r="L52" i="8"/>
  <c r="H34" i="8"/>
  <c r="H53" i="8"/>
  <c r="H72" i="8" s="1"/>
  <c r="L34" i="8"/>
  <c r="L53" i="8"/>
  <c r="H35" i="8"/>
  <c r="H54" i="8"/>
  <c r="L35" i="8"/>
  <c r="L54" i="8"/>
  <c r="L73" i="8" s="1"/>
  <c r="B27" i="17"/>
  <c r="D27" i="17" s="1"/>
  <c r="B31" i="17"/>
  <c r="D31" i="17"/>
  <c r="B32" i="17"/>
  <c r="D32" i="17"/>
  <c r="R32" i="17" s="1"/>
  <c r="B33" i="17"/>
  <c r="D33" i="17"/>
  <c r="R33" i="17" s="1"/>
  <c r="H24" i="12"/>
  <c r="I24" i="12"/>
  <c r="J24" i="12" s="1"/>
  <c r="H43" i="12"/>
  <c r="I43" i="12"/>
  <c r="J43" i="12" s="1"/>
  <c r="L24" i="12"/>
  <c r="M24" i="12"/>
  <c r="N24" i="12" s="1"/>
  <c r="L43" i="12"/>
  <c r="L62" i="12" s="1"/>
  <c r="M43" i="12"/>
  <c r="H25" i="12"/>
  <c r="H44" i="12"/>
  <c r="L25" i="12"/>
  <c r="L37" i="12" s="1"/>
  <c r="M37" i="12" s="1"/>
  <c r="L44" i="12"/>
  <c r="H26" i="12"/>
  <c r="H45" i="12"/>
  <c r="L26" i="12"/>
  <c r="L45" i="12"/>
  <c r="L64" i="12" s="1"/>
  <c r="H27" i="12"/>
  <c r="H46" i="12"/>
  <c r="H65" i="12" s="1"/>
  <c r="L27" i="12"/>
  <c r="L46" i="12"/>
  <c r="H28" i="12"/>
  <c r="H47" i="12"/>
  <c r="L28" i="12"/>
  <c r="L47" i="12"/>
  <c r="L66" i="12" s="1"/>
  <c r="H29" i="12"/>
  <c r="H48" i="12"/>
  <c r="H67" i="12" s="1"/>
  <c r="L29" i="12"/>
  <c r="L48" i="12"/>
  <c r="H30" i="12"/>
  <c r="H49" i="12"/>
  <c r="L30" i="12"/>
  <c r="L49" i="12"/>
  <c r="L68" i="12" s="1"/>
  <c r="H31" i="12"/>
  <c r="H50" i="12"/>
  <c r="H69" i="12" s="1"/>
  <c r="L31" i="12"/>
  <c r="L50" i="12"/>
  <c r="H32" i="12"/>
  <c r="H51" i="12"/>
  <c r="L32" i="12"/>
  <c r="L51" i="12"/>
  <c r="L70" i="12" s="1"/>
  <c r="H33" i="12"/>
  <c r="H52" i="12"/>
  <c r="H71" i="12" s="1"/>
  <c r="L33" i="12"/>
  <c r="L52" i="12"/>
  <c r="H34" i="12"/>
  <c r="H53" i="12"/>
  <c r="H72" i="12" s="1"/>
  <c r="L34" i="12"/>
  <c r="L53" i="12"/>
  <c r="L72" i="12" s="1"/>
  <c r="H35" i="12"/>
  <c r="H54" i="12"/>
  <c r="H73" i="12" s="1"/>
  <c r="L35" i="12"/>
  <c r="L54" i="12"/>
  <c r="B28" i="18"/>
  <c r="D28" i="18" s="1"/>
  <c r="B29" i="18"/>
  <c r="D29" i="18" s="1"/>
  <c r="B32" i="18"/>
  <c r="D32" i="18" s="1"/>
  <c r="B33" i="18"/>
  <c r="D33" i="18" s="1"/>
  <c r="B34" i="18"/>
  <c r="D34" i="18" s="1"/>
  <c r="D37" i="12"/>
  <c r="E37" i="12" s="1"/>
  <c r="H37" i="12"/>
  <c r="I37" i="12" s="1"/>
  <c r="H56" i="12"/>
  <c r="D62" i="12"/>
  <c r="H62" i="12"/>
  <c r="D63" i="12"/>
  <c r="H64" i="12"/>
  <c r="D65" i="12"/>
  <c r="H66" i="12"/>
  <c r="H68" i="12"/>
  <c r="D69" i="12"/>
  <c r="H70" i="12"/>
  <c r="H37" i="8"/>
  <c r="I37" i="8" s="1"/>
  <c r="L37" i="8"/>
  <c r="M37" i="8" s="1"/>
  <c r="D62" i="8"/>
  <c r="D63" i="8"/>
  <c r="H63" i="8"/>
  <c r="H64" i="8"/>
  <c r="L64" i="8"/>
  <c r="D65" i="8"/>
  <c r="H65" i="8"/>
  <c r="D66" i="8"/>
  <c r="H66" i="8"/>
  <c r="D69" i="8"/>
  <c r="H70" i="8"/>
  <c r="D71" i="8"/>
  <c r="L72" i="8"/>
  <c r="H73" i="8"/>
  <c r="E24" i="9"/>
  <c r="I24" i="9"/>
  <c r="M24" i="9"/>
  <c r="P24" i="9"/>
  <c r="P37" i="9" s="1"/>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F37" i="9"/>
  <c r="E37" i="9"/>
  <c r="H37" i="9"/>
  <c r="I37" i="9" s="1"/>
  <c r="J37" i="9"/>
  <c r="L37" i="9"/>
  <c r="M37" i="9" s="1"/>
  <c r="N37" i="9"/>
  <c r="P43" i="9"/>
  <c r="P44" i="9"/>
  <c r="P45" i="9"/>
  <c r="P46" i="9"/>
  <c r="P47" i="9"/>
  <c r="P48" i="9"/>
  <c r="P49" i="9"/>
  <c r="P50" i="9"/>
  <c r="M51" i="9"/>
  <c r="I52" i="9"/>
  <c r="M52" i="9"/>
  <c r="P52" i="9" s="1"/>
  <c r="I53" i="9"/>
  <c r="M53" i="9"/>
  <c r="P53" i="9" s="1"/>
  <c r="E54" i="9"/>
  <c r="I54" i="9"/>
  <c r="J73" i="9" s="1"/>
  <c r="M54" i="9"/>
  <c r="P54" i="9" s="1"/>
  <c r="D56" i="9"/>
  <c r="H56" i="9"/>
  <c r="L56" i="9"/>
  <c r="N56" i="9"/>
  <c r="D62" i="9"/>
  <c r="F62" i="9"/>
  <c r="H62" i="9"/>
  <c r="J62" i="9"/>
  <c r="L62" i="9"/>
  <c r="N62" i="9"/>
  <c r="M62" i="9" s="1"/>
  <c r="D63" i="9"/>
  <c r="F63" i="9"/>
  <c r="E63" i="9" s="1"/>
  <c r="H63" i="9"/>
  <c r="I63" i="9" s="1"/>
  <c r="J63" i="9"/>
  <c r="L63" i="9"/>
  <c r="N63" i="9"/>
  <c r="D64" i="9"/>
  <c r="F64" i="9"/>
  <c r="H64" i="9"/>
  <c r="J64" i="9"/>
  <c r="I64" i="9" s="1"/>
  <c r="L64" i="9"/>
  <c r="N64" i="9"/>
  <c r="D65" i="9"/>
  <c r="F65" i="9"/>
  <c r="H65" i="9"/>
  <c r="J65" i="9"/>
  <c r="P65" i="9" s="1"/>
  <c r="I65" i="9"/>
  <c r="L65" i="9"/>
  <c r="N65" i="9"/>
  <c r="D66" i="9"/>
  <c r="F66" i="9"/>
  <c r="H66" i="9"/>
  <c r="J66" i="9"/>
  <c r="L66" i="9"/>
  <c r="N66" i="9"/>
  <c r="M66" i="9"/>
  <c r="D67" i="9"/>
  <c r="F67" i="9"/>
  <c r="H67" i="9"/>
  <c r="J67" i="9"/>
  <c r="L67" i="9"/>
  <c r="N67" i="9"/>
  <c r="D68" i="9"/>
  <c r="F68" i="9"/>
  <c r="H68" i="9"/>
  <c r="I68" i="9" s="1"/>
  <c r="J68" i="9"/>
  <c r="L68" i="9"/>
  <c r="N68" i="9"/>
  <c r="D69" i="9"/>
  <c r="F69" i="9"/>
  <c r="H69" i="9"/>
  <c r="I69" i="9" s="1"/>
  <c r="J69" i="9"/>
  <c r="P69" i="9" s="1"/>
  <c r="L69" i="9"/>
  <c r="N69" i="9"/>
  <c r="M69" i="9"/>
  <c r="D70" i="9"/>
  <c r="H70" i="9"/>
  <c r="L70" i="9"/>
  <c r="N70" i="9"/>
  <c r="M70" i="9"/>
  <c r="D71" i="9"/>
  <c r="H71" i="9"/>
  <c r="I71" i="9" s="1"/>
  <c r="J71" i="9"/>
  <c r="L71" i="9"/>
  <c r="M71" i="9" s="1"/>
  <c r="N71" i="9"/>
  <c r="D72" i="9"/>
  <c r="E72" i="9" s="1"/>
  <c r="F72" i="9"/>
  <c r="H72" i="9"/>
  <c r="I72" i="9" s="1"/>
  <c r="J72" i="9"/>
  <c r="L72" i="9"/>
  <c r="M72" i="9" s="1"/>
  <c r="N72" i="9"/>
  <c r="D73" i="9"/>
  <c r="E73" i="9" s="1"/>
  <c r="F73" i="9"/>
  <c r="H73" i="9"/>
  <c r="I73" i="9" s="1"/>
  <c r="L73" i="9"/>
  <c r="M73" i="9"/>
  <c r="E41" i="6"/>
  <c r="G41" i="6"/>
  <c r="I41" i="6"/>
  <c r="E57" i="6"/>
  <c r="G57" i="6"/>
  <c r="I57" i="6"/>
  <c r="J27" i="4"/>
  <c r="J28" i="4"/>
  <c r="J31"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L73" i="12" l="1"/>
  <c r="D72" i="8"/>
  <c r="L71" i="8"/>
  <c r="L71" i="12"/>
  <c r="L69" i="12"/>
  <c r="N73" i="9"/>
  <c r="P73" i="9" s="1"/>
  <c r="E69" i="9"/>
  <c r="D68" i="8"/>
  <c r="H56" i="8"/>
  <c r="I67" i="9"/>
  <c r="E67" i="9"/>
  <c r="I66" i="9"/>
  <c r="D56" i="8"/>
  <c r="M67" i="9"/>
  <c r="M64" i="9"/>
  <c r="M68" i="9"/>
  <c r="M65" i="9"/>
  <c r="M63" i="9"/>
  <c r="N75" i="9"/>
  <c r="M56" i="9"/>
  <c r="I62" i="9"/>
  <c r="E64" i="9"/>
  <c r="E66" i="9"/>
  <c r="E65" i="9"/>
  <c r="E62" i="9"/>
  <c r="E68" i="9"/>
  <c r="L67" i="12"/>
  <c r="L65" i="12"/>
  <c r="L56" i="8"/>
  <c r="I62" i="12"/>
  <c r="E62" i="12"/>
  <c r="F43" i="12"/>
  <c r="B27" i="15"/>
  <c r="F27" i="15" s="1"/>
  <c r="D27" i="14"/>
  <c r="A3" i="5"/>
  <c r="B27" i="16"/>
  <c r="D27" i="16" s="1"/>
  <c r="B29" i="4"/>
  <c r="D29" i="4" s="1"/>
  <c r="J29" i="4" s="1"/>
  <c r="B26" i="17"/>
  <c r="D26" i="17" s="1"/>
  <c r="A2" i="5"/>
  <c r="B26" i="16"/>
  <c r="D26" i="16" s="1"/>
  <c r="B27" i="18"/>
  <c r="D27" i="18" s="1"/>
  <c r="B26" i="15"/>
  <c r="F26" i="15" s="1"/>
  <c r="B25" i="15"/>
  <c r="F25" i="15" s="1"/>
  <c r="B25" i="17"/>
  <c r="D25" i="17" s="1"/>
  <c r="A1" i="5"/>
  <c r="S46" i="3"/>
  <c r="H75" i="8"/>
  <c r="H75" i="9"/>
  <c r="P71" i="9"/>
  <c r="P67" i="9"/>
  <c r="P63" i="9"/>
  <c r="D75" i="9"/>
  <c r="L63" i="12"/>
  <c r="L56" i="12"/>
  <c r="B30" i="18"/>
  <c r="D30" i="18" s="1"/>
  <c r="H63" i="12"/>
  <c r="H75" i="12" s="1"/>
  <c r="B30" i="17"/>
  <c r="D30" i="17" s="1"/>
  <c r="B28" i="17"/>
  <c r="D28" i="17" s="1"/>
  <c r="B30" i="15"/>
  <c r="F30" i="15" s="1"/>
  <c r="B30" i="16"/>
  <c r="D30" i="16" s="1"/>
  <c r="B29" i="14"/>
  <c r="B28" i="14"/>
  <c r="L75" i="9"/>
  <c r="D56" i="12"/>
  <c r="B29" i="17"/>
  <c r="D29" i="17" s="1"/>
  <c r="B28" i="15"/>
  <c r="F28" i="15" s="1"/>
  <c r="B28" i="16"/>
  <c r="D28" i="16" s="1"/>
  <c r="A4" i="5"/>
  <c r="D64" i="8"/>
  <c r="B31" i="18"/>
  <c r="D31" i="18" s="1"/>
  <c r="B28" i="4"/>
  <c r="D28" i="4" s="1"/>
  <c r="F26" i="14"/>
  <c r="D26" i="14"/>
  <c r="P24" i="12"/>
  <c r="F43" i="8"/>
  <c r="A9" i="5"/>
  <c r="P72" i="9"/>
  <c r="P68" i="9"/>
  <c r="P66" i="9"/>
  <c r="P64" i="9"/>
  <c r="P62" i="9"/>
  <c r="D75" i="12"/>
  <c r="M25" i="12"/>
  <c r="N25" i="12" s="1"/>
  <c r="N43" i="12"/>
  <c r="N62" i="12" s="1"/>
  <c r="P62" i="12" s="1"/>
  <c r="M25" i="8"/>
  <c r="B25" i="16"/>
  <c r="D25" i="16" s="1"/>
  <c r="I44" i="12"/>
  <c r="J44" i="12" s="1"/>
  <c r="I44" i="8"/>
  <c r="E25" i="12"/>
  <c r="F25" i="12" s="1"/>
  <c r="F62" i="12"/>
  <c r="J62" i="12"/>
  <c r="D33" i="15"/>
  <c r="R33" i="15" s="1"/>
  <c r="D32" i="15"/>
  <c r="R32" i="15" s="1"/>
  <c r="D31" i="15"/>
  <c r="D29" i="15"/>
  <c r="D28" i="15"/>
  <c r="D27"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J44" i="8"/>
  <c r="I45" i="8"/>
  <c r="I45" i="12"/>
  <c r="M44" i="12"/>
  <c r="I25" i="12"/>
  <c r="N25" i="8"/>
  <c r="M26" i="8"/>
  <c r="N43" i="8"/>
  <c r="M44" i="8"/>
  <c r="M45" i="8" s="1"/>
  <c r="J24" i="8"/>
  <c r="I25" i="8"/>
  <c r="F24" i="8"/>
  <c r="E25" i="8"/>
  <c r="E26" i="8" s="1"/>
  <c r="D32" i="14"/>
  <c r="R32" i="14" s="1"/>
  <c r="F32" i="14"/>
  <c r="L32" i="14" s="1"/>
  <c r="D30" i="14"/>
  <c r="F30" i="14"/>
  <c r="E26" i="12"/>
  <c r="E44" i="12"/>
  <c r="F44" i="8"/>
  <c r="E45" i="8"/>
  <c r="A8" i="5"/>
  <c r="A6" i="5"/>
  <c r="B35" i="4"/>
  <c r="D35" i="4" s="1"/>
  <c r="B34" i="4"/>
  <c r="D34" i="4" s="1"/>
  <c r="B33" i="4"/>
  <c r="D33" i="4" s="1"/>
  <c r="B32" i="4"/>
  <c r="D32" i="4" s="1"/>
  <c r="B27" i="4"/>
  <c r="B25" i="14"/>
  <c r="L75" i="8" l="1"/>
  <c r="M75" i="9"/>
  <c r="L75" i="12"/>
  <c r="M62" i="12"/>
  <c r="D30" i="15"/>
  <c r="J32" i="16"/>
  <c r="D26" i="15"/>
  <c r="D25" i="15"/>
  <c r="F29" i="14"/>
  <c r="D29" i="14"/>
  <c r="M26" i="12"/>
  <c r="M27" i="12" s="1"/>
  <c r="H26" i="17"/>
  <c r="D75" i="8"/>
  <c r="D28" i="14"/>
  <c r="F28" i="14"/>
  <c r="P43" i="12"/>
  <c r="H29" i="17"/>
  <c r="J29" i="15"/>
  <c r="J26" i="15"/>
  <c r="N44" i="8"/>
  <c r="P44" i="8" s="1"/>
  <c r="H27" i="17"/>
  <c r="J29" i="14"/>
  <c r="J29" i="16"/>
  <c r="H33" i="17"/>
  <c r="J26" i="16"/>
  <c r="H25" i="17"/>
  <c r="H25" i="16"/>
  <c r="H25" i="15"/>
  <c r="J25" i="14"/>
  <c r="H25" i="14"/>
  <c r="F25" i="14"/>
  <c r="J25" i="17"/>
  <c r="J25" i="16"/>
  <c r="J25" i="15"/>
  <c r="D25" i="14"/>
  <c r="J27" i="14"/>
  <c r="J27" i="16"/>
  <c r="J28" i="15"/>
  <c r="L28" i="15" s="1"/>
  <c r="H28" i="17"/>
  <c r="H29" i="16"/>
  <c r="H33" i="16"/>
  <c r="H31" i="15"/>
  <c r="H29" i="14"/>
  <c r="H33" i="14"/>
  <c r="J31" i="15"/>
  <c r="L31" i="15" s="1"/>
  <c r="J31" i="17"/>
  <c r="J33" i="15"/>
  <c r="J33" i="17"/>
  <c r="F26" i="12"/>
  <c r="E27" i="12"/>
  <c r="H30" i="14"/>
  <c r="H30" i="15"/>
  <c r="J30" i="17"/>
  <c r="J30" i="16"/>
  <c r="J32" i="17"/>
  <c r="H32" i="14"/>
  <c r="H32" i="16"/>
  <c r="F26" i="8"/>
  <c r="E27" i="8"/>
  <c r="J25" i="8"/>
  <c r="I26" i="8"/>
  <c r="N45" i="8"/>
  <c r="M46" i="8"/>
  <c r="N26" i="8"/>
  <c r="M27" i="8"/>
  <c r="J25" i="12"/>
  <c r="I26" i="12"/>
  <c r="J45" i="12"/>
  <c r="I46" i="12"/>
  <c r="F25" i="8"/>
  <c r="F63" i="8" s="1"/>
  <c r="E63" i="8" s="1"/>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F44" i="18"/>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F37" i="18"/>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H45" i="18"/>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J28" i="16"/>
  <c r="H31" i="17"/>
  <c r="H31" i="16"/>
  <c r="H29" i="15"/>
  <c r="H33" i="15"/>
  <c r="H31" i="14"/>
  <c r="J31" i="14"/>
  <c r="J31" i="16"/>
  <c r="J33" i="14"/>
  <c r="J33" i="16"/>
  <c r="F45" i="8"/>
  <c r="E46" i="8"/>
  <c r="F44" i="12"/>
  <c r="E45" i="12"/>
  <c r="J29" i="17"/>
  <c r="J30" i="14"/>
  <c r="L30" i="14" s="1"/>
  <c r="H30" i="16"/>
  <c r="J30" i="15"/>
  <c r="H30" i="17"/>
  <c r="J32" i="14"/>
  <c r="H32" i="15"/>
  <c r="J32" i="15"/>
  <c r="H32" i="17"/>
  <c r="F62" i="8"/>
  <c r="E62" i="8" s="1"/>
  <c r="J62" i="8"/>
  <c r="I62" i="8" s="1"/>
  <c r="P24" i="8"/>
  <c r="N62" i="8"/>
  <c r="M62" i="8" s="1"/>
  <c r="P43" i="8"/>
  <c r="N63" i="8"/>
  <c r="M63" i="8" s="1"/>
  <c r="N44" i="12"/>
  <c r="M45" i="12"/>
  <c r="N26" i="12"/>
  <c r="I46" i="8"/>
  <c r="J45" i="8"/>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D34" i="16"/>
  <c r="R34" i="16" s="1"/>
  <c r="D36" i="17"/>
  <c r="R36" i="17" s="1"/>
  <c r="F36" i="15"/>
  <c r="L36" i="15" s="1"/>
  <c r="D36" i="15"/>
  <c r="R36" i="15" s="1"/>
  <c r="H36" i="17"/>
  <c r="J36" i="16"/>
  <c r="J36" i="15"/>
  <c r="H36" i="16"/>
  <c r="H36" i="15"/>
  <c r="H36" i="14"/>
  <c r="J36" i="17"/>
  <c r="J36" i="14"/>
  <c r="F36" i="14"/>
  <c r="L36" i="14" s="1"/>
  <c r="D36" i="14"/>
  <c r="R36" i="14" s="1"/>
  <c r="D39" i="18"/>
  <c r="H39" i="18"/>
  <c r="D38" i="16"/>
  <c r="R38" i="16" s="1"/>
  <c r="D40" i="17"/>
  <c r="R40" i="17" s="1"/>
  <c r="F40" i="15"/>
  <c r="L40" i="15" s="1"/>
  <c r="D40" i="15"/>
  <c r="R40" i="15" s="1"/>
  <c r="H40" i="17"/>
  <c r="J40" i="16"/>
  <c r="J40" i="15"/>
  <c r="H40" i="16"/>
  <c r="H40" i="15"/>
  <c r="H40" i="14"/>
  <c r="J40" i="17"/>
  <c r="J40" i="14"/>
  <c r="F40" i="14"/>
  <c r="L40" i="14" s="1"/>
  <c r="D40" i="14"/>
  <c r="R40" i="14" s="1"/>
  <c r="H43" i="18"/>
  <c r="D43" i="18"/>
  <c r="D42" i="16"/>
  <c r="R42" i="16" s="1"/>
  <c r="F44" i="17"/>
  <c r="L44" i="17" s="1"/>
  <c r="D44" i="17"/>
  <c r="R44" i="17" s="1"/>
  <c r="F44" i="15"/>
  <c r="L44" i="15" s="1"/>
  <c r="D44" i="15"/>
  <c r="R44" i="15" s="1"/>
  <c r="H44" i="17"/>
  <c r="J44" i="16"/>
  <c r="J44" i="15"/>
  <c r="H44" i="16"/>
  <c r="H44" i="15"/>
  <c r="H44" i="14"/>
  <c r="J44" i="17"/>
  <c r="J44" i="14"/>
  <c r="F44" i="14"/>
  <c r="L44" i="14" s="1"/>
  <c r="D44" i="14"/>
  <c r="R44" i="14" s="1"/>
  <c r="H47" i="18"/>
  <c r="D47" i="18"/>
  <c r="D46" i="16"/>
  <c r="R46" i="16" s="1"/>
  <c r="P45" i="8" l="1"/>
  <c r="L31" i="14"/>
  <c r="L30" i="15"/>
  <c r="L29" i="14"/>
  <c r="L29" i="15"/>
  <c r="L28" i="14"/>
  <c r="F46" i="16"/>
  <c r="L46" i="16" s="1"/>
  <c r="L27" i="15"/>
  <c r="L27" i="14"/>
  <c r="L26" i="14"/>
  <c r="L26" i="15"/>
  <c r="F34" i="16"/>
  <c r="L34" i="16" s="1"/>
  <c r="F44" i="16"/>
  <c r="L44" i="16" s="1"/>
  <c r="N64" i="8"/>
  <c r="M64" i="8" s="1"/>
  <c r="F42" i="16"/>
  <c r="L42" i="16" s="1"/>
  <c r="F38" i="16"/>
  <c r="L38" i="16" s="1"/>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8"/>
  <c r="F33" i="17"/>
  <c r="L33" i="17" s="1"/>
  <c r="F32" i="17"/>
  <c r="L32" i="17" s="1"/>
  <c r="H34" i="18"/>
  <c r="H33" i="18"/>
  <c r="L25" i="14"/>
  <c r="L25" i="15"/>
  <c r="F43" i="16"/>
  <c r="L43" i="16" s="1"/>
  <c r="F35" i="16"/>
  <c r="L35" i="16" s="1"/>
  <c r="F33" i="16"/>
  <c r="L33" i="16" s="1"/>
  <c r="J46" i="8"/>
  <c r="I47" i="8"/>
  <c r="N27" i="12"/>
  <c r="M28" i="12"/>
  <c r="N45" i="12"/>
  <c r="P45" i="12" s="1"/>
  <c r="M46" i="12"/>
  <c r="F45" i="12"/>
  <c r="F64" i="12" s="1"/>
  <c r="E64" i="12" s="1"/>
  <c r="E46" i="12"/>
  <c r="F46" i="8"/>
  <c r="E47" i="8"/>
  <c r="J63" i="12"/>
  <c r="I63" i="12" s="1"/>
  <c r="P25" i="12"/>
  <c r="J63" i="8"/>
  <c r="P25" i="8"/>
  <c r="E28" i="8"/>
  <c r="F27" i="8"/>
  <c r="F32" i="16"/>
  <c r="L32" i="16" s="1"/>
  <c r="P44" i="12"/>
  <c r="N63" i="12"/>
  <c r="M63" i="12" s="1"/>
  <c r="P62" i="8"/>
  <c r="F63" i="12"/>
  <c r="E63" i="12" s="1"/>
  <c r="J46" i="12"/>
  <c r="I47" i="12"/>
  <c r="J26" i="12"/>
  <c r="I27" i="12"/>
  <c r="N27" i="8"/>
  <c r="M28" i="8"/>
  <c r="M47" i="8"/>
  <c r="N46" i="8"/>
  <c r="J26" i="8"/>
  <c r="I27" i="8"/>
  <c r="F64" i="8"/>
  <c r="E64" i="8" s="1"/>
  <c r="F27" i="12"/>
  <c r="E28" i="12"/>
  <c r="P63" i="8" l="1"/>
  <c r="I63" i="8"/>
  <c r="L49" i="14"/>
  <c r="N46" i="14" s="1"/>
  <c r="L49" i="15"/>
  <c r="N34" i="15" s="1"/>
  <c r="N64" i="12"/>
  <c r="M64" i="12" s="1"/>
  <c r="J64" i="8"/>
  <c r="P26" i="8"/>
  <c r="N47" i="8"/>
  <c r="M48" i="8"/>
  <c r="F28" i="12"/>
  <c r="E29" i="12"/>
  <c r="I28" i="8"/>
  <c r="J27" i="8"/>
  <c r="M29" i="8"/>
  <c r="N28" i="8"/>
  <c r="J27" i="12"/>
  <c r="I28" i="12"/>
  <c r="J47" i="12"/>
  <c r="I48" i="12"/>
  <c r="F65" i="8"/>
  <c r="E65" i="8" s="1"/>
  <c r="P63" i="12"/>
  <c r="P46" i="8"/>
  <c r="N65" i="8"/>
  <c r="M65" i="8" s="1"/>
  <c r="J64" i="12"/>
  <c r="P26" i="12"/>
  <c r="F28" i="8"/>
  <c r="E29" i="8"/>
  <c r="E48" i="8"/>
  <c r="F47" i="8"/>
  <c r="F46" i="12"/>
  <c r="E47" i="12"/>
  <c r="N46" i="12"/>
  <c r="M47" i="12"/>
  <c r="N28" i="12"/>
  <c r="M29" i="12"/>
  <c r="I48" i="8"/>
  <c r="J47" i="8"/>
  <c r="P64" i="8" l="1"/>
  <c r="I64" i="8"/>
  <c r="P64" i="12"/>
  <c r="I64" i="12"/>
  <c r="N27" i="15"/>
  <c r="N41" i="14"/>
  <c r="N43" i="14"/>
  <c r="N44" i="14"/>
  <c r="N32" i="14"/>
  <c r="N29" i="14"/>
  <c r="N26" i="15"/>
  <c r="N45" i="15"/>
  <c r="N39" i="15"/>
  <c r="N35" i="15"/>
  <c r="N35" i="14"/>
  <c r="N45" i="14"/>
  <c r="N34" i="14"/>
  <c r="N26" i="14"/>
  <c r="N39" i="14"/>
  <c r="N36" i="14"/>
  <c r="N30" i="14"/>
  <c r="N31" i="14"/>
  <c r="N25" i="14"/>
  <c r="N40" i="14"/>
  <c r="N42" i="14"/>
  <c r="N33" i="14"/>
  <c r="N32" i="15"/>
  <c r="N38" i="15"/>
  <c r="N37" i="14"/>
  <c r="N31" i="15"/>
  <c r="N28" i="15"/>
  <c r="N28" i="14"/>
  <c r="N27" i="14"/>
  <c r="N41" i="15"/>
  <c r="N38" i="14"/>
  <c r="N33" i="15"/>
  <c r="N25" i="15"/>
  <c r="N37" i="15"/>
  <c r="N42" i="15"/>
  <c r="N46" i="15"/>
  <c r="N29" i="15"/>
  <c r="N30" i="15"/>
  <c r="N44" i="15"/>
  <c r="N40" i="15"/>
  <c r="N43" i="15"/>
  <c r="N36" i="15"/>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J65" i="12"/>
  <c r="I65" i="12" s="1"/>
  <c r="P27" i="12"/>
  <c r="N29" i="8"/>
  <c r="M30" i="8"/>
  <c r="J65" i="8"/>
  <c r="I65" i="8" s="1"/>
  <c r="P27" i="8"/>
  <c r="F29" i="12"/>
  <c r="E30" i="12"/>
  <c r="P46" i="12"/>
  <c r="F65" i="12"/>
  <c r="E65" i="12" s="1"/>
  <c r="F67" i="8" l="1"/>
  <c r="E67" i="8" s="1"/>
  <c r="P47" i="12"/>
  <c r="P65" i="12"/>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12" l="1"/>
  <c r="I66" i="12"/>
  <c r="P66" i="8"/>
  <c r="I66" i="8"/>
  <c r="P48" i="12"/>
  <c r="J67" i="12"/>
  <c r="I67" i="12" s="1"/>
  <c r="P29" i="12"/>
  <c r="N68" i="8"/>
  <c r="M68" i="8" s="1"/>
  <c r="J50" i="8"/>
  <c r="I51" i="8"/>
  <c r="F50" i="8"/>
  <c r="E51" i="8"/>
  <c r="J30" i="12"/>
  <c r="I31" i="12"/>
  <c r="F49" i="12"/>
  <c r="F68" i="12" s="1"/>
  <c r="E68" i="12" s="1"/>
  <c r="E50" i="12"/>
  <c r="J30" i="8"/>
  <c r="I31" i="8"/>
  <c r="M51" i="8"/>
  <c r="N50" i="8"/>
  <c r="F68" i="8"/>
  <c r="E68" i="8" s="1"/>
  <c r="N31" i="8"/>
  <c r="M32" i="8"/>
  <c r="F31" i="12"/>
  <c r="E32" i="12"/>
  <c r="J50" i="12"/>
  <c r="I51" i="12"/>
  <c r="N31" i="12"/>
  <c r="M32" i="12"/>
  <c r="N49" i="12"/>
  <c r="P49" i="12" s="1"/>
  <c r="M50" i="12"/>
  <c r="J67" i="8"/>
  <c r="P29" i="8"/>
  <c r="E32" i="8"/>
  <c r="F31" i="8"/>
  <c r="P67" i="8" l="1"/>
  <c r="I67" i="8"/>
  <c r="N69" i="8"/>
  <c r="M69" i="8" s="1"/>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P50" i="12"/>
  <c r="I32" i="8"/>
  <c r="J31" i="8"/>
  <c r="J68" i="12"/>
  <c r="I68" i="12" s="1"/>
  <c r="P30" i="12"/>
  <c r="P50" i="8"/>
  <c r="N68" i="12"/>
  <c r="M68" i="12" s="1"/>
  <c r="F32" i="8"/>
  <c r="E33" i="8"/>
  <c r="J51" i="12"/>
  <c r="I52" i="12"/>
  <c r="J68" i="8"/>
  <c r="P30" i="8"/>
  <c r="P68" i="8" l="1"/>
  <c r="I68" i="8"/>
  <c r="P51" i="8"/>
  <c r="E34" i="8"/>
  <c r="F33" i="8"/>
  <c r="J32" i="8"/>
  <c r="I33" i="8"/>
  <c r="N51" i="12"/>
  <c r="N70" i="12" s="1"/>
  <c r="M70" i="12" s="1"/>
  <c r="M52" i="12"/>
  <c r="F51" i="12"/>
  <c r="F70" i="12" s="1"/>
  <c r="E70" i="12" s="1"/>
  <c r="E52" i="12"/>
  <c r="N52" i="8"/>
  <c r="M53" i="8"/>
  <c r="N70" i="8"/>
  <c r="M70" i="8" s="1"/>
  <c r="F33" i="12"/>
  <c r="E34" i="12"/>
  <c r="F70" i="8"/>
  <c r="E70" i="8" s="1"/>
  <c r="P68" i="12"/>
  <c r="J69" i="8"/>
  <c r="P31" i="8"/>
  <c r="N33" i="12"/>
  <c r="M34" i="12"/>
  <c r="J52" i="8"/>
  <c r="I53" i="8"/>
  <c r="F52" i="8"/>
  <c r="E53" i="8"/>
  <c r="J69" i="12"/>
  <c r="I69" i="12" s="1"/>
  <c r="P31" i="12"/>
  <c r="N33" i="8"/>
  <c r="N71" i="8" s="1"/>
  <c r="M71" i="8" s="1"/>
  <c r="M34" i="8"/>
  <c r="J52" i="12"/>
  <c r="I53" i="12"/>
  <c r="J32" i="12"/>
  <c r="I33" i="12"/>
  <c r="P69" i="8" l="1"/>
  <c r="I69" i="8"/>
  <c r="P52" i="8"/>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F72" i="8" s="1"/>
  <c r="E72" i="8" s="1"/>
  <c r="E35" i="8"/>
  <c r="F35" i="8" s="1"/>
  <c r="J33" i="12"/>
  <c r="I34" i="12"/>
  <c r="J53" i="12"/>
  <c r="I54" i="12"/>
  <c r="J54" i="12" s="1"/>
  <c r="P69" i="12"/>
  <c r="J33" i="8"/>
  <c r="I34" i="8"/>
  <c r="F71" i="8"/>
  <c r="E71" i="8" s="1"/>
  <c r="J70" i="12"/>
  <c r="P32" i="12"/>
  <c r="P70" i="12" l="1"/>
  <c r="I70" i="12"/>
  <c r="P70" i="8"/>
  <c r="I70" i="8"/>
  <c r="N71" i="12"/>
  <c r="M71" i="12" s="1"/>
  <c r="N56" i="8"/>
  <c r="M56" i="8" s="1"/>
  <c r="F56" i="8"/>
  <c r="E56" i="8" s="1"/>
  <c r="J56" i="12"/>
  <c r="I56" i="12" s="1"/>
  <c r="J34" i="12"/>
  <c r="I35" i="12"/>
  <c r="J35" i="12" s="1"/>
  <c r="N53" i="12"/>
  <c r="P53" i="12" s="1"/>
  <c r="M54" i="12"/>
  <c r="N54" i="12" s="1"/>
  <c r="P54" i="12" s="1"/>
  <c r="F37" i="12"/>
  <c r="N37" i="12"/>
  <c r="P54" i="8"/>
  <c r="J56" i="8"/>
  <c r="I56" i="8" s="1"/>
  <c r="N73" i="8"/>
  <c r="M73" i="8" s="1"/>
  <c r="N37" i="8"/>
  <c r="J71" i="8"/>
  <c r="P33" i="8"/>
  <c r="J71" i="12"/>
  <c r="I71" i="12" s="1"/>
  <c r="P33" i="12"/>
  <c r="P53" i="8"/>
  <c r="N72" i="8"/>
  <c r="M72" i="8" s="1"/>
  <c r="J34" i="8"/>
  <c r="I35" i="8"/>
  <c r="J35" i="8" s="1"/>
  <c r="F73" i="8"/>
  <c r="F37" i="8"/>
  <c r="F53" i="12"/>
  <c r="F72" i="12" s="1"/>
  <c r="E72" i="12" s="1"/>
  <c r="E54" i="12"/>
  <c r="F54" i="12" s="1"/>
  <c r="N73" i="12" l="1"/>
  <c r="M73" i="12" s="1"/>
  <c r="F75" i="8"/>
  <c r="E75" i="8" s="1"/>
  <c r="E73" i="8"/>
  <c r="P71" i="8"/>
  <c r="I71" i="8"/>
  <c r="N72" i="12"/>
  <c r="M72" i="12" s="1"/>
  <c r="P56" i="8"/>
  <c r="F56" i="12"/>
  <c r="E56" i="12" s="1"/>
  <c r="P71" i="12"/>
  <c r="J73" i="8"/>
  <c r="I73" i="8" s="1"/>
  <c r="P35" i="8"/>
  <c r="J37" i="8"/>
  <c r="N75" i="8"/>
  <c r="M75" i="8" s="1"/>
  <c r="F73" i="12"/>
  <c r="J72" i="12"/>
  <c r="P34" i="12"/>
  <c r="P56" i="12"/>
  <c r="P26" i="14"/>
  <c r="R26" i="14" s="1"/>
  <c r="F26" i="16" s="1"/>
  <c r="L26" i="16" s="1"/>
  <c r="P30" i="14"/>
  <c r="R30" i="14" s="1"/>
  <c r="F30" i="16" s="1"/>
  <c r="L30" i="16" s="1"/>
  <c r="P32" i="14"/>
  <c r="P25" i="14"/>
  <c r="R25" i="14" s="1"/>
  <c r="F25" i="16" s="1"/>
  <c r="L25" i="16" s="1"/>
  <c r="P27" i="14"/>
  <c r="R27" i="14" s="1"/>
  <c r="F27" i="16" s="1"/>
  <c r="L27" i="16" s="1"/>
  <c r="P29" i="14"/>
  <c r="R29" i="14" s="1"/>
  <c r="F29" i="16" s="1"/>
  <c r="L29" i="16" s="1"/>
  <c r="P31" i="14"/>
  <c r="R31" i="14" s="1"/>
  <c r="F31" i="16" s="1"/>
  <c r="L31" i="16" s="1"/>
  <c r="P34" i="14"/>
  <c r="P33" i="14"/>
  <c r="P35" i="14"/>
  <c r="P36" i="14"/>
  <c r="P37" i="14"/>
  <c r="P38" i="14"/>
  <c r="P39" i="14"/>
  <c r="P40" i="14"/>
  <c r="P41" i="14"/>
  <c r="P42" i="14"/>
  <c r="P43" i="14"/>
  <c r="P44" i="14"/>
  <c r="P45" i="14"/>
  <c r="P46" i="14"/>
  <c r="J72" i="8"/>
  <c r="P34" i="8"/>
  <c r="N56" i="12"/>
  <c r="M56" i="12" s="1"/>
  <c r="J73" i="12"/>
  <c r="I73" i="12" s="1"/>
  <c r="P35" i="12"/>
  <c r="P37" i="12" s="1"/>
  <c r="J37" i="12"/>
  <c r="P28" i="14" l="1"/>
  <c r="R28" i="14" s="1"/>
  <c r="F75" i="12"/>
  <c r="E75" i="12" s="1"/>
  <c r="E73" i="12"/>
  <c r="N75" i="12"/>
  <c r="M75" i="12" s="1"/>
  <c r="P72" i="8"/>
  <c r="I72" i="8"/>
  <c r="P72" i="12"/>
  <c r="I72" i="12"/>
  <c r="P37" i="8"/>
  <c r="P73" i="12"/>
  <c r="P75" i="12" s="1"/>
  <c r="J75" i="12"/>
  <c r="I75" i="12" s="1"/>
  <c r="P73" i="8"/>
  <c r="P75" i="8" s="1"/>
  <c r="J75" i="8"/>
  <c r="I75" i="8" s="1"/>
  <c r="F40" i="16" l="1"/>
  <c r="L40" i="16" s="1"/>
  <c r="F28" i="16"/>
  <c r="L28" i="16" s="1"/>
  <c r="P25" i="15"/>
  <c r="R25" i="15" s="1"/>
  <c r="F25" i="17" s="1"/>
  <c r="L25" i="17" s="1"/>
  <c r="P27" i="15"/>
  <c r="R27" i="15" s="1"/>
  <c r="F27" i="17" s="1"/>
  <c r="L27" i="17" s="1"/>
  <c r="P29" i="15"/>
  <c r="R29" i="15" s="1"/>
  <c r="F29" i="17" s="1"/>
  <c r="L29" i="17" s="1"/>
  <c r="P31" i="15"/>
  <c r="R31" i="15" s="1"/>
  <c r="F31" i="17" s="1"/>
  <c r="L31" i="17" s="1"/>
  <c r="P34" i="15"/>
  <c r="P26" i="15"/>
  <c r="R26" i="15" s="1"/>
  <c r="F26" i="17" s="1"/>
  <c r="L26" i="17" s="1"/>
  <c r="P28" i="15"/>
  <c r="R28" i="15" s="1"/>
  <c r="F28" i="17" s="1"/>
  <c r="L28" i="17" s="1"/>
  <c r="P30" i="15"/>
  <c r="R30" i="15" s="1"/>
  <c r="F30" i="17" s="1"/>
  <c r="L30" i="17" s="1"/>
  <c r="P32" i="15"/>
  <c r="P33" i="15"/>
  <c r="P35" i="15"/>
  <c r="P36" i="15"/>
  <c r="P37" i="15"/>
  <c r="P38" i="15"/>
  <c r="P39" i="15"/>
  <c r="P40" i="15"/>
  <c r="P41" i="15"/>
  <c r="P42" i="15"/>
  <c r="P43" i="15"/>
  <c r="P44" i="15"/>
  <c r="P45" i="15"/>
  <c r="P46" i="15"/>
  <c r="L49" i="16" l="1"/>
  <c r="N44" i="16" s="1"/>
  <c r="P44" i="16" s="1"/>
  <c r="F36" i="18"/>
  <c r="L49" i="17"/>
  <c r="N33" i="16" l="1"/>
  <c r="P33" i="16" s="1"/>
  <c r="N35" i="16"/>
  <c r="P35" i="16" s="1"/>
  <c r="N34" i="16"/>
  <c r="P34" i="16" s="1"/>
  <c r="N40" i="16"/>
  <c r="P40" i="16" s="1"/>
  <c r="N31" i="16"/>
  <c r="P31" i="16" s="1"/>
  <c r="R31" i="16" s="1"/>
  <c r="F32" i="18" s="1"/>
  <c r="N37" i="16"/>
  <c r="P37" i="16" s="1"/>
  <c r="N46" i="16"/>
  <c r="P46" i="16" s="1"/>
  <c r="N38" i="16"/>
  <c r="P38" i="16" s="1"/>
  <c r="N41" i="16"/>
  <c r="P41" i="16" s="1"/>
  <c r="N25" i="16"/>
  <c r="P25" i="16" s="1"/>
  <c r="R25" i="16" s="1"/>
  <c r="F26" i="18" s="1"/>
  <c r="N36" i="16"/>
  <c r="P36" i="16" s="1"/>
  <c r="N27" i="16"/>
  <c r="P27" i="16" s="1"/>
  <c r="R27" i="16" s="1"/>
  <c r="F28" i="18" s="1"/>
  <c r="N42" i="16"/>
  <c r="P42" i="16" s="1"/>
  <c r="N43" i="16"/>
  <c r="P43" i="16" s="1"/>
  <c r="N30" i="16"/>
  <c r="P30" i="16" s="1"/>
  <c r="R30" i="16" s="1"/>
  <c r="F31" i="18" s="1"/>
  <c r="N29" i="16"/>
  <c r="P29" i="16" s="1"/>
  <c r="R29" i="16" s="1"/>
  <c r="F30" i="18" s="1"/>
  <c r="N28" i="16"/>
  <c r="P28" i="16" s="1"/>
  <c r="R28" i="16" s="1"/>
  <c r="F29" i="18" s="1"/>
  <c r="N45" i="16"/>
  <c r="P45" i="16" s="1"/>
  <c r="N39" i="16"/>
  <c r="P39" i="16" s="1"/>
  <c r="N26" i="16"/>
  <c r="P26" i="16" s="1"/>
  <c r="R26" i="16" s="1"/>
  <c r="F27" i="18" s="1"/>
  <c r="N32" i="16"/>
  <c r="P32" i="16" s="1"/>
  <c r="N39" i="17"/>
  <c r="P39" i="17" s="1"/>
  <c r="N41" i="17"/>
  <c r="P41" i="17" s="1"/>
  <c r="N40" i="17"/>
  <c r="P40" i="17" s="1"/>
  <c r="N35" i="17"/>
  <c r="P35" i="17" s="1"/>
  <c r="N28" i="17"/>
  <c r="P28" i="17" s="1"/>
  <c r="R28" i="17" s="1"/>
  <c r="H29" i="18" s="1"/>
  <c r="N46" i="17"/>
  <c r="P46" i="17" s="1"/>
  <c r="N42" i="17"/>
  <c r="P42" i="17" s="1"/>
  <c r="N38" i="17"/>
  <c r="P38" i="17" s="1"/>
  <c r="N31" i="17"/>
  <c r="P31" i="17" s="1"/>
  <c r="R31" i="17" s="1"/>
  <c r="H32" i="18" s="1"/>
  <c r="N45" i="17"/>
  <c r="P45" i="17" s="1"/>
  <c r="N34" i="17"/>
  <c r="P34" i="17" s="1"/>
  <c r="N32" i="17"/>
  <c r="P32" i="17" s="1"/>
  <c r="N33" i="17"/>
  <c r="P33" i="17" s="1"/>
  <c r="N25" i="17"/>
  <c r="P25" i="17" s="1"/>
  <c r="R25" i="17" s="1"/>
  <c r="N27" i="17"/>
  <c r="P27" i="17" s="1"/>
  <c r="R27" i="17" s="1"/>
  <c r="H28" i="18" s="1"/>
  <c r="N37" i="17"/>
  <c r="P37" i="17" s="1"/>
  <c r="N36" i="17"/>
  <c r="P36" i="17" s="1"/>
  <c r="N44" i="17"/>
  <c r="P44" i="17" s="1"/>
  <c r="N29" i="17"/>
  <c r="P29" i="17" s="1"/>
  <c r="R29" i="17" s="1"/>
  <c r="H30" i="18" s="1"/>
  <c r="N30" i="17"/>
  <c r="P30" i="17" s="1"/>
  <c r="R30" i="17" s="1"/>
  <c r="H31" i="18" s="1"/>
  <c r="N43" i="17"/>
  <c r="P43" i="17" s="1"/>
  <c r="N26" i="17"/>
  <c r="P26" i="17" s="1"/>
  <c r="R26" i="17" s="1"/>
  <c r="H27" i="18" s="1"/>
  <c r="H36" i="18" l="1"/>
  <c r="H26" i="18"/>
  <c r="E51" i="9"/>
  <c r="F70" i="9"/>
  <c r="E70" i="9" s="1"/>
  <c r="I70" i="9"/>
  <c r="P51" i="9"/>
  <c r="P56" i="9"/>
  <c r="P70" i="9"/>
  <c r="P75" i="9"/>
  <c r="J70" i="9"/>
  <c r="J75" i="9"/>
  <c r="I75" i="9"/>
  <c r="I51" i="9"/>
  <c r="J56" i="9"/>
  <c r="I56" i="9"/>
  <c r="F71" i="9"/>
  <c r="E71" i="9" s="1"/>
  <c r="F75" i="9"/>
  <c r="E75" i="9"/>
  <c r="E52" i="9"/>
  <c r="F56" i="9"/>
  <c r="E56" i="9" s="1"/>
</calcChain>
</file>

<file path=xl/sharedStrings.xml><?xml version="1.0" encoding="utf-8"?>
<sst xmlns="http://schemas.openxmlformats.org/spreadsheetml/2006/main" count="592" uniqueCount="257">
  <si>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</si>
  <si>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</si>
  <si>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</si>
  <si>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</si>
  <si>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</si>
  <si>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</si>
  <si>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</si>
  <si>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</si>
  <si>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</si>
  <si>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</si>
  <si>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</si>
  <si>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</si>
  <si>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</si>
  <si>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</si>
  <si>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</si>
  <si>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</si>
  <si>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</si>
  <si>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</si>
  <si>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</si>
  <si>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</si>
  <si>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</si>
  <si>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</si>
  <si>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</si>
  <si>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</si>
  <si>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</si>
  <si>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</si>
  <si>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</si>
  <si>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</si>
  <si>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</si>
  <si>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</si>
  <si>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</si>
  <si>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</si>
  <si>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</si>
  <si>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</si>
  <si>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</si>
  <si>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</si>
  <si>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</si>
  <si>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</si>
  <si>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</si>
  <si>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</si>
  <si>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</si>
  <si>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</si>
  <si>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</si>
  <si>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</si>
  <si>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</si>
  <si>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</si>
  <si>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</si>
  <si>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</si>
  <si>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</si>
  <si>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</si>
  <si>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</si>
  <si>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</si>
  <si>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</si>
  <si>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</si>
  <si>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</si>
  <si>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</si>
  <si>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</si>
  <si>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</si>
  <si>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</si>
  <si>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</si>
  <si>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</si>
  <si>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</si>
  <si>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</si>
  <si>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</si>
  <si>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</si>
  <si>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</si>
  <si>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</si>
  <si>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</si>
  <si>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</si>
  <si>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</si>
  <si>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</si>
  <si>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</si>
  <si>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</si>
  <si>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</si>
  <si>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</si>
  <si>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</si>
  <si>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</si>
  <si>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</si>
  <si>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</si>
  <si>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</si>
  <si>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</si>
  <si>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</si>
  <si>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</si>
  <si>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</si>
  <si>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</si>
  <si>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</si>
  <si>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</si>
  <si>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</si>
  <si>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</si>
  <si>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</si>
  <si>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</si>
  <si>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</si>
  <si>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</si>
  <si>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</si>
  <si>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</si>
  <si>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</si>
  <si>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</si>
  <si>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</si>
  <si>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</si>
  <si>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</si>
  <si>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</si>
  <si>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</si>
  <si>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</si>
  <si>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</si>
  <si>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</si>
  <si>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</si>
  <si>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</si>
  <si>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</si>
  <si>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</si>
  <si>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</si>
  <si>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</si>
  <si>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</si>
  <si>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</si>
  <si>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</si>
  <si>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</si>
  <si>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</si>
  <si>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</si>
  <si>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</si>
  <si>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</si>
  <si>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</si>
  <si>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</si>
  <si>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</si>
  <si>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</si>
  <si>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</si>
  <si>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</si>
  <si>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</si>
  <si>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</si>
  <si>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</si>
  <si>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</si>
  <si>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</si>
  <si>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</si>
  <si>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</si>
  <si>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</si>
  <si>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</si>
  <si>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</si>
  <si>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</si>
  <si>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</si>
  <si>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</si>
  <si>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</si>
  <si>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</si>
  <si>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</si>
  <si>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</si>
  <si>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</si>
  <si>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</si>
  <si>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</si>
  <si>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</si>
  <si>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</si>
  <si>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</si>
  <si>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</si>
  <si>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</si>
  <si>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</si>
  <si>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</si>
  <si>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</si>
  <si>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</si>
  <si>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</si>
  <si>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</si>
  <si>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</si>
  <si>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</si>
  <si>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</si>
  <si>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</si>
  <si>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</si>
  <si>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</si>
  <si>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</si>
  <si>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</si>
  <si>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</si>
  <si>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</si>
  <si>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</si>
  <si>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</si>
  <si>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</si>
  <si>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</si>
  <si>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</si>
  <si>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</si>
  <si>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</si>
  <si>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</si>
  <si>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</si>
  <si>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</si>
  <si>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</si>
  <si>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</si>
  <si>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</si>
  <si>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</si>
  <si>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</si>
  <si>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</si>
  <si>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</si>
  <si>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</si>
  <si>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</si>
  <si>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</si>
  <si>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</si>
  <si>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</si>
  <si>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</si>
  <si>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</si>
  <si>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</si>
  <si>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</si>
  <si>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</si>
  <si>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</si>
  <si>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</si>
  <si>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</si>
  <si>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</si>
  <si>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</si>
  <si>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</si>
  <si>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</si>
  <si>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</si>
  <si>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</si>
  <si>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</si>
  <si>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</si>
  <si>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</si>
  <si>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</si>
  <si>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</si>
  <si>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</si>
  <si>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</si>
  <si>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</si>
  <si>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</si>
  <si>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</si>
  <si>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</si>
  <si>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</si>
  <si>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</si>
  <si>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</si>
  <si>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</si>
  <si>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</si>
  <si>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</si>
  <si>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</si>
  <si>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</si>
  <si>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</si>
  <si>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</si>
  <si>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</si>
  <si>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</si>
  <si>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</si>
  <si>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</si>
  <si>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</si>
  <si>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</si>
  <si>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</si>
  <si>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</si>
  <si>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</si>
  <si>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</si>
  <si>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</si>
  <si>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</si>
  <si>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</si>
  <si>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</si>
  <si>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</si>
  <si>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</si>
  <si>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</si>
  <si>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</si>
  <si>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</si>
  <si>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</si>
  <si>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</si>
  <si>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</si>
  <si>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</si>
  <si>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</si>
  <si>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</si>
  <si>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</si>
  <si>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</si>
  <si>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</si>
  <si>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Brenda L Pinke, Regulatory/CDM Manager</t>
  </si>
  <si>
    <t>705-431-6870 Ext 262</t>
  </si>
  <si>
    <t>brendap@innisfilhydro.com</t>
  </si>
  <si>
    <t>EB-2012-0139</t>
  </si>
  <si>
    <t>kWh</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</si>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</sst>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1">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5" fontId="0" fillId="26" borderId="17" xfId="0" applyNumberFormat="1" applyFill="1" applyBorder="1" applyAlignment="1" applyProtection="1">
      <alignment vertical="center"/>
      <protection locked="0"/>
    </xf>
    <xf numFmtId="164" fontId="1" fillId="26" borderId="13" xfId="28" applyNumberFormat="1" applyFont="1" applyFill="1" applyBorder="1" applyProtection="1">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24761" cy="1860391"/>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24761" cy="1860391"/>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721118" cy="18703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30195" cy="18703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37167" cy="1874954"/>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61437" y="0"/>
          <a:ext cx="9829967" cy="1856476"/>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722918" cy="1874250"/>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101852" y="2546643"/>
          <a:ext cx="10701762" cy="69025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729128" cy="1858068"/>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522536" y="396641"/>
          <a:ext cx="1333660" cy="421988"/>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23012" cy="185919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533925" y="396641"/>
          <a:ext cx="1333661" cy="421988"/>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32397" cy="185919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24761" cy="1860391"/>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0"/>
  <sheetViews>
    <sheetView showGridLines="0" topLeftCell="C1" workbookViewId="0">
      <selection activeCell="O16" sqref="O16"/>
    </sheetView>
  </sheetViews>
  <sheetFormatPr defaultRowHeight="15.75"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x14ac:dyDescent="0.25">
      <c r="AB1" s="103" t="s">
        <v>153</v>
      </c>
      <c r="AC1" s="2"/>
      <c r="AD1" s="2"/>
      <c r="AE1" s="2"/>
    </row>
    <row r="2" spans="3:34" ht="18" x14ac:dyDescent="0.25">
      <c r="C2" s="165"/>
      <c r="D2" s="165"/>
      <c r="E2" s="165"/>
      <c r="F2" s="165"/>
      <c r="G2" s="165"/>
      <c r="H2" s="165"/>
      <c r="I2" s="165"/>
      <c r="J2" s="165"/>
      <c r="AB2" s="103" t="s">
        <v>169</v>
      </c>
      <c r="AC2" s="2"/>
      <c r="AD2" s="2"/>
      <c r="AE2" s="2"/>
      <c r="AF2" s="102"/>
      <c r="AG2" s="102"/>
      <c r="AH2" s="102"/>
    </row>
    <row r="3" spans="3:34" ht="18" x14ac:dyDescent="0.25">
      <c r="C3" s="165"/>
      <c r="D3" s="165"/>
      <c r="E3" s="165"/>
      <c r="F3" s="165"/>
      <c r="G3" s="165"/>
      <c r="H3" s="165"/>
      <c r="I3" s="165"/>
      <c r="J3" s="165"/>
      <c r="AB3" s="103" t="s">
        <v>182</v>
      </c>
    </row>
    <row r="4" spans="3:34" ht="18" x14ac:dyDescent="0.25">
      <c r="C4" s="165"/>
      <c r="D4" s="165"/>
      <c r="E4" s="165"/>
      <c r="F4" s="165"/>
      <c r="G4" s="165"/>
      <c r="H4" s="165"/>
      <c r="I4" s="165"/>
      <c r="J4" s="165"/>
      <c r="AB4" s="103" t="s">
        <v>183</v>
      </c>
    </row>
    <row r="5" spans="3:34" ht="18" x14ac:dyDescent="0.25">
      <c r="C5" s="165"/>
      <c r="D5" s="165"/>
      <c r="E5" s="165"/>
      <c r="F5" s="165"/>
      <c r="G5" s="165"/>
      <c r="H5" s="165"/>
      <c r="I5" s="165"/>
      <c r="J5" s="165"/>
      <c r="AB5" s="103" t="s">
        <v>184</v>
      </c>
    </row>
    <row r="6" spans="3:34" x14ac:dyDescent="0.25">
      <c r="AB6" s="103" t="s">
        <v>0</v>
      </c>
    </row>
    <row r="7" spans="3:34" x14ac:dyDescent="0.25">
      <c r="AB7" s="103" t="s">
        <v>1</v>
      </c>
    </row>
    <row r="8" spans="3:34" x14ac:dyDescent="0.25">
      <c r="AB8" s="103" t="s">
        <v>185</v>
      </c>
    </row>
    <row r="9" spans="3:34" x14ac:dyDescent="0.25">
      <c r="AB9" s="103" t="s">
        <v>186</v>
      </c>
    </row>
    <row r="10" spans="3:34" ht="9" customHeight="1" x14ac:dyDescent="0.4">
      <c r="C10" s="105"/>
      <c r="AB10" s="103" t="s">
        <v>2</v>
      </c>
    </row>
    <row r="11" spans="3:34" ht="9" customHeight="1" x14ac:dyDescent="0.25">
      <c r="AB11" s="103" t="s">
        <v>170</v>
      </c>
    </row>
    <row r="12" spans="3:34" ht="9" customHeight="1" x14ac:dyDescent="0.25">
      <c r="AB12" s="103" t="s">
        <v>187</v>
      </c>
    </row>
    <row r="13" spans="3:34" x14ac:dyDescent="0.25">
      <c r="AB13" s="103" t="s">
        <v>3</v>
      </c>
    </row>
    <row r="14" spans="3:34" ht="16.5" thickBot="1" x14ac:dyDescent="0.3">
      <c r="F14" s="101"/>
      <c r="G14" s="101"/>
      <c r="H14" s="101"/>
      <c r="AB14" s="103" t="s">
        <v>4</v>
      </c>
    </row>
    <row r="15" spans="3:34" ht="17.25" thickTop="1" thickBot="1" x14ac:dyDescent="0.3">
      <c r="C15" s="106" t="s">
        <v>188</v>
      </c>
      <c r="D15" s="166" t="s">
        <v>200</v>
      </c>
      <c r="E15" s="167"/>
      <c r="F15" s="101"/>
      <c r="G15" s="101"/>
      <c r="H15" s="101"/>
      <c r="AB15" s="103" t="s">
        <v>5</v>
      </c>
    </row>
    <row r="16" spans="3:34" ht="16.5" thickBot="1" x14ac:dyDescent="0.3">
      <c r="AB16" s="103" t="s">
        <v>190</v>
      </c>
    </row>
    <row r="17" spans="1:33" ht="16.5" thickTop="1" x14ac:dyDescent="0.25">
      <c r="C17" s="107" t="s">
        <v>191</v>
      </c>
      <c r="D17" s="108" t="s">
        <v>254</v>
      </c>
      <c r="AB17" s="103" t="s">
        <v>6</v>
      </c>
    </row>
    <row r="18" spans="1:33" ht="16.5" thickBot="1" x14ac:dyDescent="0.3">
      <c r="AB18" s="103" t="s">
        <v>192</v>
      </c>
    </row>
    <row r="19" spans="1:33" ht="16.5" thickTop="1" x14ac:dyDescent="0.2">
      <c r="C19" s="107" t="s">
        <v>193</v>
      </c>
      <c r="D19" s="163" t="s">
        <v>251</v>
      </c>
      <c r="E19" s="164"/>
      <c r="G19" s="109"/>
      <c r="H19" s="109"/>
      <c r="AB19" s="103" t="s">
        <v>171</v>
      </c>
    </row>
    <row r="20" spans="1:33" ht="16.5" thickBot="1" x14ac:dyDescent="0.3">
      <c r="AA20" s="110"/>
      <c r="AB20" s="103" t="s">
        <v>7</v>
      </c>
      <c r="AC20" s="110"/>
      <c r="AD20" s="110"/>
      <c r="AE20" s="110"/>
      <c r="AF20" s="97"/>
      <c r="AG20" s="97"/>
    </row>
    <row r="21" spans="1:33" ht="16.5" thickTop="1" x14ac:dyDescent="0.25">
      <c r="C21" s="107" t="s">
        <v>194</v>
      </c>
      <c r="D21" s="108" t="s">
        <v>252</v>
      </c>
      <c r="AB21" s="103" t="s">
        <v>8</v>
      </c>
      <c r="AC21" s="19"/>
      <c r="AE21" s="19"/>
      <c r="AF21" s="111"/>
      <c r="AG21" s="112"/>
    </row>
    <row r="22" spans="1:33" ht="16.5" thickBot="1" x14ac:dyDescent="0.25">
      <c r="E22" s="109"/>
      <c r="AB22" s="103" t="s">
        <v>154</v>
      </c>
      <c r="AC22" s="19"/>
      <c r="AE22" s="19"/>
      <c r="AF22" s="111"/>
      <c r="AG22" s="112"/>
    </row>
    <row r="23" spans="1:33" ht="16.5" thickTop="1" x14ac:dyDescent="0.25">
      <c r="C23" s="107" t="s">
        <v>195</v>
      </c>
      <c r="D23" s="108" t="s">
        <v>253</v>
      </c>
      <c r="AB23" s="103" t="s">
        <v>9</v>
      </c>
      <c r="AC23" s="19"/>
      <c r="AE23" s="19"/>
      <c r="AF23" s="111"/>
      <c r="AG23" s="112"/>
    </row>
    <row r="24" spans="1:33" ht="16.5" thickBot="1" x14ac:dyDescent="0.3">
      <c r="AB24" s="103" t="s">
        <v>155</v>
      </c>
      <c r="AC24" s="19"/>
      <c r="AE24" s="19"/>
      <c r="AF24" s="111"/>
      <c r="AG24" s="112"/>
    </row>
    <row r="25" spans="1:33" ht="16.5" thickTop="1" x14ac:dyDescent="0.25">
      <c r="C25" s="107" t="s">
        <v>196</v>
      </c>
      <c r="D25" s="161">
        <v>41109</v>
      </c>
      <c r="G25" s="113"/>
      <c r="H25" s="113"/>
      <c r="AB25" s="103" t="s">
        <v>172</v>
      </c>
      <c r="AC25" s="19"/>
      <c r="AE25" s="19"/>
      <c r="AF25" s="111"/>
      <c r="AG25" s="112"/>
    </row>
    <row r="26" spans="1:33" ht="16.5" thickBot="1" x14ac:dyDescent="0.3">
      <c r="C26" s="114"/>
      <c r="D26" s="115"/>
      <c r="I26" s="116"/>
      <c r="AB26" s="103" t="s">
        <v>173</v>
      </c>
      <c r="AC26" s="19"/>
      <c r="AE26" s="19"/>
      <c r="AF26" s="111"/>
      <c r="AG26" s="112"/>
    </row>
    <row r="27" spans="1:33" ht="15.75" customHeight="1" thickTop="1" x14ac:dyDescent="0.3">
      <c r="C27" s="94" t="s">
        <v>197</v>
      </c>
      <c r="D27" s="117">
        <v>2009</v>
      </c>
      <c r="AB27" s="103" t="s">
        <v>10</v>
      </c>
      <c r="AC27" s="19"/>
      <c r="AE27" s="19"/>
      <c r="AF27" s="111"/>
      <c r="AG27" s="112"/>
    </row>
    <row r="28" spans="1:33" ht="15.75" customHeight="1" x14ac:dyDescent="0.25">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25">
      <c r="AB32" s="103" t="s">
        <v>156</v>
      </c>
      <c r="AC32" s="19"/>
      <c r="AE32" s="19"/>
      <c r="AF32" s="111"/>
      <c r="AG32" s="112"/>
    </row>
    <row r="33" spans="3:33" x14ac:dyDescent="0.25">
      <c r="C33" s="93"/>
      <c r="AB33" s="103" t="s">
        <v>175</v>
      </c>
      <c r="AC33" s="19"/>
      <c r="AE33" s="19"/>
      <c r="AF33" s="111"/>
      <c r="AG33" s="112"/>
    </row>
    <row r="34" spans="3:33" x14ac:dyDescent="0.25">
      <c r="F34" s="119"/>
      <c r="G34" s="119"/>
      <c r="H34" s="119"/>
      <c r="I34" s="119"/>
      <c r="J34" s="119"/>
      <c r="K34" s="119"/>
      <c r="AB34" s="103" t="s">
        <v>11</v>
      </c>
      <c r="AC34" s="19"/>
      <c r="AE34" s="19"/>
      <c r="AF34" s="111"/>
      <c r="AG34" s="112"/>
    </row>
    <row r="35" spans="3:33" x14ac:dyDescent="0.25">
      <c r="F35" s="119"/>
      <c r="G35" s="119"/>
      <c r="H35" s="119"/>
      <c r="I35" s="119"/>
      <c r="J35" s="119"/>
      <c r="K35" s="119"/>
      <c r="AB35" s="103" t="s">
        <v>157</v>
      </c>
      <c r="AC35" s="19"/>
      <c r="AE35" s="19"/>
      <c r="AF35" s="111"/>
      <c r="AG35" s="112"/>
    </row>
    <row r="36" spans="3:33" x14ac:dyDescent="0.25">
      <c r="F36" s="119"/>
      <c r="G36" s="119"/>
      <c r="H36" s="119"/>
      <c r="I36" s="119"/>
      <c r="J36" s="119"/>
      <c r="K36" s="119"/>
      <c r="AB36" s="103" t="s">
        <v>168</v>
      </c>
      <c r="AC36" s="19"/>
      <c r="AE36" s="19"/>
      <c r="AF36" s="111"/>
      <c r="AG36" s="112"/>
    </row>
    <row r="37" spans="3:33" ht="16.5"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6.5" x14ac:dyDescent="0.3">
      <c r="D42" s="1"/>
      <c r="E42" s="19"/>
      <c r="F42" s="123"/>
      <c r="G42" s="119"/>
      <c r="H42" s="119"/>
      <c r="I42" s="119"/>
      <c r="J42" s="119"/>
      <c r="K42" s="119"/>
      <c r="AB42" s="103" t="s">
        <v>159</v>
      </c>
      <c r="AC42" s="19"/>
      <c r="AE42" s="19"/>
      <c r="AF42" s="111"/>
      <c r="AG42" s="112"/>
    </row>
    <row r="43" spans="3:33" ht="16.5" x14ac:dyDescent="0.3">
      <c r="D43" s="124"/>
      <c r="E43" s="125"/>
      <c r="F43" s="120"/>
      <c r="G43" s="120"/>
      <c r="H43" s="120"/>
      <c r="I43" s="120"/>
      <c r="J43" s="120"/>
      <c r="K43" s="120"/>
      <c r="AB43" s="103" t="s">
        <v>13</v>
      </c>
      <c r="AC43" s="19"/>
      <c r="AE43" s="19"/>
      <c r="AF43" s="111"/>
      <c r="AG43" s="112"/>
    </row>
    <row r="44" spans="3:33" ht="12.75" x14ac:dyDescent="0.2">
      <c r="E44" s="19"/>
      <c r="F44" s="119"/>
      <c r="G44" s="119"/>
      <c r="H44" s="119"/>
      <c r="I44" s="119"/>
      <c r="J44" s="119"/>
      <c r="K44" s="119"/>
      <c r="AB44" s="103" t="s">
        <v>178</v>
      </c>
      <c r="AC44" s="19"/>
      <c r="AE44" s="19"/>
      <c r="AF44" s="111"/>
      <c r="AG44" s="112"/>
    </row>
    <row r="45" spans="3:33" ht="16.5" x14ac:dyDescent="0.3">
      <c r="D45" s="124"/>
      <c r="E45" s="124"/>
      <c r="F45" s="126"/>
      <c r="G45" s="126"/>
      <c r="H45" s="127"/>
      <c r="I45" s="127"/>
      <c r="J45" s="127"/>
      <c r="K45" s="127"/>
      <c r="AB45" s="103" t="s">
        <v>14</v>
      </c>
      <c r="AC45" s="19"/>
      <c r="AE45" s="19"/>
      <c r="AF45" s="111"/>
      <c r="AG45" s="112"/>
    </row>
    <row r="46" spans="3:33" ht="12.75" x14ac:dyDescent="0.2">
      <c r="E46" s="19"/>
      <c r="F46" s="119"/>
      <c r="G46" s="119"/>
      <c r="H46" s="119"/>
      <c r="I46" s="119"/>
      <c r="J46" s="119"/>
      <c r="K46" s="119"/>
      <c r="AB46" s="103" t="s">
        <v>15</v>
      </c>
      <c r="AC46" s="19"/>
      <c r="AE46" s="19"/>
      <c r="AF46" s="111"/>
      <c r="AG46" s="112"/>
    </row>
    <row r="47" spans="3:33" ht="15" customHeight="1" x14ac:dyDescent="0.2">
      <c r="D47" s="128"/>
      <c r="E47" s="128"/>
      <c r="F47" s="129"/>
      <c r="G47" s="129"/>
      <c r="H47" s="129"/>
      <c r="I47" s="130"/>
      <c r="J47" s="130"/>
      <c r="K47" s="130"/>
      <c r="AB47" s="103" t="s">
        <v>16</v>
      </c>
      <c r="AC47" s="19"/>
      <c r="AE47" s="19"/>
      <c r="AF47" s="111"/>
      <c r="AG47" s="112"/>
    </row>
    <row r="48" spans="3:33" ht="15" customHeight="1" x14ac:dyDescent="0.2">
      <c r="C48" s="128"/>
      <c r="D48" s="128"/>
      <c r="E48" s="128"/>
      <c r="F48" s="129"/>
      <c r="G48" s="129"/>
      <c r="H48" s="129"/>
      <c r="I48" s="130"/>
      <c r="J48" s="130"/>
      <c r="K48" s="130"/>
      <c r="AB48" s="103" t="s">
        <v>201</v>
      </c>
      <c r="AC48" s="19"/>
      <c r="AE48" s="19"/>
      <c r="AF48" s="111"/>
      <c r="AG48" s="112"/>
    </row>
    <row r="49" spans="6:33" x14ac:dyDescent="0.25">
      <c r="F49" s="119"/>
      <c r="G49" s="119"/>
      <c r="H49" s="119"/>
      <c r="I49" s="119"/>
      <c r="J49" s="119"/>
      <c r="K49" s="119"/>
      <c r="AB49" s="103" t="s">
        <v>202</v>
      </c>
      <c r="AC49" s="19"/>
      <c r="AE49" s="19"/>
      <c r="AF49" s="111"/>
      <c r="AG49" s="112"/>
    </row>
    <row r="50" spans="6:33" x14ac:dyDescent="0.25">
      <c r="F50" s="119"/>
      <c r="G50" s="119"/>
      <c r="H50" s="119"/>
      <c r="I50" s="119"/>
      <c r="J50" s="119"/>
      <c r="K50" s="119"/>
      <c r="AB50" s="103" t="s">
        <v>160</v>
      </c>
      <c r="AC50" s="19"/>
      <c r="AE50" s="19"/>
      <c r="AF50" s="111"/>
      <c r="AG50" s="112"/>
    </row>
    <row r="51" spans="6:33" x14ac:dyDescent="0.25">
      <c r="AB51" s="103" t="s">
        <v>17</v>
      </c>
      <c r="AC51" s="19"/>
      <c r="AE51" s="19"/>
      <c r="AF51" s="111"/>
      <c r="AG51" s="112"/>
    </row>
    <row r="52" spans="6:33" x14ac:dyDescent="0.25">
      <c r="AB52" s="103" t="s">
        <v>203</v>
      </c>
      <c r="AC52" s="19"/>
      <c r="AE52" s="19"/>
      <c r="AF52" s="111"/>
      <c r="AG52" s="112"/>
    </row>
    <row r="53" spans="6:33" x14ac:dyDescent="0.25">
      <c r="AB53" s="103" t="s">
        <v>18</v>
      </c>
      <c r="AC53" s="19"/>
      <c r="AE53" s="19"/>
      <c r="AF53" s="111"/>
      <c r="AG53" s="112"/>
    </row>
    <row r="54" spans="6:33" x14ac:dyDescent="0.25">
      <c r="AB54" s="103" t="s">
        <v>19</v>
      </c>
      <c r="AC54" s="19"/>
      <c r="AE54" s="19"/>
      <c r="AF54" s="111"/>
      <c r="AG54" s="112"/>
    </row>
    <row r="55" spans="6:33" x14ac:dyDescent="0.25">
      <c r="AB55" s="103" t="s">
        <v>189</v>
      </c>
      <c r="AC55" s="19"/>
      <c r="AE55" s="19"/>
      <c r="AF55" s="111"/>
      <c r="AG55" s="112"/>
    </row>
    <row r="56" spans="6:33" x14ac:dyDescent="0.25">
      <c r="AB56" s="103" t="s">
        <v>20</v>
      </c>
      <c r="AC56" s="19"/>
      <c r="AE56" s="19"/>
      <c r="AF56" s="111"/>
      <c r="AG56" s="112"/>
    </row>
    <row r="57" spans="6:33" x14ac:dyDescent="0.25">
      <c r="AB57" s="103" t="s">
        <v>204</v>
      </c>
      <c r="AC57" s="19"/>
      <c r="AE57" s="19"/>
      <c r="AF57" s="111"/>
      <c r="AG57" s="112"/>
    </row>
    <row r="58" spans="6:33" x14ac:dyDescent="0.25">
      <c r="AB58" s="103" t="s">
        <v>179</v>
      </c>
      <c r="AC58" s="19"/>
      <c r="AE58" s="19"/>
      <c r="AF58" s="111"/>
      <c r="AG58" s="112"/>
    </row>
    <row r="59" spans="6:33" x14ac:dyDescent="0.25">
      <c r="AB59" s="103" t="s">
        <v>21</v>
      </c>
      <c r="AC59" s="19"/>
      <c r="AE59" s="19"/>
      <c r="AF59" s="111"/>
      <c r="AG59" s="112"/>
    </row>
    <row r="60" spans="6:33" x14ac:dyDescent="0.25">
      <c r="AB60" s="103" t="s">
        <v>161</v>
      </c>
      <c r="AC60" s="19"/>
      <c r="AE60" s="19"/>
      <c r="AF60" s="111"/>
      <c r="AG60" s="112"/>
    </row>
    <row r="61" spans="6:33" x14ac:dyDescent="0.25">
      <c r="AB61" s="103" t="s">
        <v>205</v>
      </c>
      <c r="AC61" s="19"/>
      <c r="AE61" s="19"/>
      <c r="AF61" s="111"/>
      <c r="AG61" s="112"/>
    </row>
    <row r="62" spans="6:33" x14ac:dyDescent="0.25">
      <c r="AB62" s="103" t="s">
        <v>206</v>
      </c>
      <c r="AC62" s="19"/>
      <c r="AE62" s="19"/>
      <c r="AF62" s="111"/>
      <c r="AG62" s="112"/>
    </row>
    <row r="63" spans="6:33" x14ac:dyDescent="0.25">
      <c r="AB63" s="103" t="s">
        <v>22</v>
      </c>
      <c r="AC63" s="19"/>
      <c r="AE63" s="19"/>
      <c r="AF63" s="111"/>
      <c r="AG63" s="112"/>
    </row>
    <row r="64" spans="6:33" x14ac:dyDescent="0.25">
      <c r="AB64" s="103" t="s">
        <v>23</v>
      </c>
      <c r="AC64" s="19"/>
      <c r="AE64" s="19"/>
      <c r="AF64" s="111"/>
      <c r="AG64" s="112"/>
    </row>
    <row r="65" spans="28:33" x14ac:dyDescent="0.25">
      <c r="AB65" s="103" t="s">
        <v>180</v>
      </c>
      <c r="AC65" s="19"/>
      <c r="AE65" s="19"/>
      <c r="AF65" s="111"/>
      <c r="AG65" s="112"/>
    </row>
    <row r="66" spans="28:33" x14ac:dyDescent="0.25">
      <c r="AB66" s="103" t="s">
        <v>162</v>
      </c>
      <c r="AC66" s="19"/>
      <c r="AE66" s="19"/>
      <c r="AF66" s="111"/>
      <c r="AG66" s="112"/>
    </row>
    <row r="67" spans="28:33" x14ac:dyDescent="0.25">
      <c r="AB67" s="103" t="s">
        <v>24</v>
      </c>
      <c r="AC67" s="19"/>
      <c r="AE67" s="19"/>
      <c r="AF67" s="111"/>
      <c r="AG67" s="112"/>
    </row>
    <row r="68" spans="28:33" x14ac:dyDescent="0.25">
      <c r="AB68" s="103" t="s">
        <v>207</v>
      </c>
      <c r="AC68" s="19"/>
      <c r="AE68" s="19"/>
      <c r="AF68" s="111"/>
      <c r="AG68" s="112"/>
    </row>
    <row r="69" spans="28:33" x14ac:dyDescent="0.25">
      <c r="AB69" s="103" t="s">
        <v>25</v>
      </c>
      <c r="AC69" s="19"/>
      <c r="AE69" s="19"/>
      <c r="AF69" s="111"/>
      <c r="AG69" s="112"/>
    </row>
    <row r="70" spans="28:33" x14ac:dyDescent="0.25">
      <c r="AB70" s="103" t="s">
        <v>167</v>
      </c>
      <c r="AC70" s="19"/>
      <c r="AE70" s="19"/>
      <c r="AF70" s="111"/>
      <c r="AG70" s="112"/>
    </row>
    <row r="71" spans="28:33" x14ac:dyDescent="0.25">
      <c r="AB71" s="103" t="s">
        <v>163</v>
      </c>
      <c r="AC71" s="19"/>
      <c r="AE71" s="19"/>
      <c r="AF71" s="111"/>
      <c r="AG71" s="112"/>
    </row>
    <row r="72" spans="28:33" x14ac:dyDescent="0.25">
      <c r="AB72" s="103" t="s">
        <v>164</v>
      </c>
      <c r="AC72" s="19"/>
      <c r="AE72" s="19"/>
      <c r="AF72" s="111"/>
      <c r="AG72" s="112"/>
    </row>
    <row r="73" spans="28:33" x14ac:dyDescent="0.25">
      <c r="AB73" s="103" t="s">
        <v>165</v>
      </c>
      <c r="AC73" s="19"/>
      <c r="AE73" s="19"/>
      <c r="AF73" s="111"/>
      <c r="AG73" s="112"/>
    </row>
    <row r="74" spans="28:33" x14ac:dyDescent="0.25">
      <c r="AB74" s="103" t="s">
        <v>208</v>
      </c>
      <c r="AC74" s="19"/>
      <c r="AE74" s="19"/>
      <c r="AF74" s="111"/>
      <c r="AG74" s="112"/>
    </row>
    <row r="75" spans="28:33" x14ac:dyDescent="0.25">
      <c r="AB75" s="103" t="s">
        <v>181</v>
      </c>
      <c r="AC75" s="19"/>
      <c r="AE75" s="19"/>
      <c r="AF75" s="111"/>
      <c r="AG75" s="112"/>
    </row>
    <row r="76" spans="28:33" x14ac:dyDescent="0.25">
      <c r="AB76" s="103" t="s">
        <v>26</v>
      </c>
      <c r="AC76" s="19"/>
      <c r="AE76" s="19"/>
      <c r="AF76" s="111"/>
      <c r="AG76" s="112"/>
    </row>
    <row r="77" spans="28:33" x14ac:dyDescent="0.25">
      <c r="AB77" s="103" t="s">
        <v>27</v>
      </c>
      <c r="AC77" s="19"/>
      <c r="AE77" s="19"/>
      <c r="AF77" s="111"/>
      <c r="AG77" s="112"/>
    </row>
    <row r="78" spans="28:33" x14ac:dyDescent="0.25">
      <c r="AB78" s="103" t="s">
        <v>28</v>
      </c>
      <c r="AC78" s="19"/>
      <c r="AE78" s="19"/>
      <c r="AF78" s="111"/>
      <c r="AG78" s="112"/>
    </row>
    <row r="79" spans="28:33" x14ac:dyDescent="0.25">
      <c r="AB79" s="103" t="s">
        <v>166</v>
      </c>
      <c r="AC79" s="19"/>
      <c r="AE79" s="19"/>
      <c r="AF79" s="111"/>
      <c r="AG79" s="112"/>
    </row>
    <row r="80" spans="28:33" x14ac:dyDescent="0.25">
      <c r="AC80" s="19"/>
      <c r="AE80" s="19"/>
      <c r="AF80" s="111"/>
      <c r="AG80" s="112"/>
    </row>
    <row r="81" spans="29:33" x14ac:dyDescent="0.25">
      <c r="AC81" s="19"/>
      <c r="AE81" s="19"/>
      <c r="AF81" s="111"/>
      <c r="AG81" s="112"/>
    </row>
    <row r="82" spans="29:33" x14ac:dyDescent="0.25">
      <c r="AC82" s="19"/>
      <c r="AE82" s="19"/>
      <c r="AF82" s="111"/>
      <c r="AG82" s="112"/>
    </row>
    <row r="83" spans="29:33" x14ac:dyDescent="0.25">
      <c r="AC83" s="19"/>
      <c r="AE83" s="19"/>
      <c r="AF83" s="111"/>
      <c r="AG83" s="112"/>
    </row>
    <row r="84" spans="29:33" x14ac:dyDescent="0.25">
      <c r="AC84" s="19"/>
      <c r="AE84" s="19"/>
      <c r="AF84" s="111"/>
      <c r="AG84" s="112"/>
    </row>
    <row r="85" spans="29:33" x14ac:dyDescent="0.25">
      <c r="AC85" s="19"/>
      <c r="AE85" s="19"/>
      <c r="AF85" s="111"/>
      <c r="AG85" s="112"/>
    </row>
    <row r="86" spans="29:33" x14ac:dyDescent="0.25">
      <c r="AC86" s="19"/>
      <c r="AE86" s="19"/>
      <c r="AF86" s="111"/>
      <c r="AG86" s="112"/>
    </row>
    <row r="87" spans="29:33" x14ac:dyDescent="0.25">
      <c r="AC87" s="19"/>
      <c r="AE87" s="19"/>
      <c r="AF87" s="111"/>
      <c r="AG87" s="112"/>
    </row>
    <row r="88" spans="29:33" x14ac:dyDescent="0.25">
      <c r="AC88" s="19"/>
      <c r="AE88" s="19"/>
      <c r="AF88" s="112"/>
      <c r="AG88" s="112"/>
    </row>
    <row r="89" spans="29:33" x14ac:dyDescent="0.25">
      <c r="AC89" s="19"/>
      <c r="AE89" s="19"/>
      <c r="AF89" s="112"/>
      <c r="AG89" s="112"/>
    </row>
    <row r="90" spans="29:33" x14ac:dyDescent="0.25">
      <c r="AC90" s="19"/>
      <c r="AE90" s="19"/>
      <c r="AF90" s="112"/>
      <c r="AG90" s="112"/>
    </row>
    <row r="91" spans="29:33" x14ac:dyDescent="0.25">
      <c r="AC91" s="131"/>
      <c r="AF91" s="112"/>
      <c r="AG91" s="112"/>
    </row>
    <row r="92" spans="29:33" x14ac:dyDescent="0.25">
      <c r="AC92" s="131"/>
      <c r="AF92" s="112"/>
      <c r="AG92" s="112"/>
    </row>
    <row r="93" spans="29:33" x14ac:dyDescent="0.25">
      <c r="AC93" s="131"/>
      <c r="AF93" s="112"/>
      <c r="AG93" s="112"/>
    </row>
    <row r="94" spans="29:33" x14ac:dyDescent="0.25">
      <c r="AC94" s="131"/>
      <c r="AF94" s="112"/>
      <c r="AG94" s="112"/>
    </row>
    <row r="95" spans="29:33" x14ac:dyDescent="0.25">
      <c r="AC95" s="131"/>
      <c r="AF95" s="112"/>
      <c r="AG95" s="112"/>
    </row>
    <row r="96" spans="29:33" x14ac:dyDescent="0.25">
      <c r="AC96" s="131"/>
      <c r="AF96" s="112"/>
      <c r="AG96" s="112"/>
    </row>
    <row r="97" spans="29:33" x14ac:dyDescent="0.25">
      <c r="AC97" s="131"/>
      <c r="AF97" s="112"/>
      <c r="AG97" s="112"/>
    </row>
    <row r="98" spans="29:33" x14ac:dyDescent="0.25">
      <c r="AC98" s="131"/>
      <c r="AF98" s="112"/>
      <c r="AG98" s="112"/>
    </row>
    <row r="99" spans="29:33" x14ac:dyDescent="0.25">
      <c r="AC99" s="131"/>
      <c r="AF99" s="112"/>
      <c r="AG99" s="112"/>
    </row>
    <row r="100" spans="29:33" x14ac:dyDescent="0.25">
      <c r="AC100" s="131"/>
      <c r="AF100" s="112"/>
      <c r="AG100" s="112"/>
    </row>
    <row r="101" spans="29:33" x14ac:dyDescent="0.25">
      <c r="AC101" s="131"/>
      <c r="AF101" s="112"/>
      <c r="AG101" s="112"/>
    </row>
    <row r="102" spans="29:33" x14ac:dyDescent="0.25">
      <c r="AC102" s="131"/>
      <c r="AF102" s="112"/>
      <c r="AG102" s="112"/>
    </row>
    <row r="103" spans="29:33" x14ac:dyDescent="0.25">
      <c r="AC103" s="131"/>
      <c r="AF103" s="112"/>
      <c r="AG103" s="112"/>
    </row>
    <row r="104" spans="29:33" x14ac:dyDescent="0.25">
      <c r="AC104" s="131"/>
      <c r="AF104" s="112"/>
      <c r="AG104" s="112"/>
    </row>
    <row r="105" spans="29:33" x14ac:dyDescent="0.25">
      <c r="AC105" s="131"/>
      <c r="AF105" s="112"/>
      <c r="AG105" s="112"/>
    </row>
    <row r="106" spans="29:33" x14ac:dyDescent="0.25">
      <c r="AC106" s="131"/>
      <c r="AF106" s="112"/>
      <c r="AG106" s="112"/>
    </row>
    <row r="107" spans="29:33" x14ac:dyDescent="0.25">
      <c r="AC107" s="131"/>
      <c r="AF107" s="112"/>
      <c r="AG107" s="112"/>
    </row>
    <row r="108" spans="29:33" hidden="1" x14ac:dyDescent="0.25">
      <c r="AC108" s="131"/>
      <c r="AF108" s="112"/>
      <c r="AG108" s="112"/>
    </row>
    <row r="109" spans="29:33" hidden="1" x14ac:dyDescent="0.25">
      <c r="AC109" s="131"/>
      <c r="AF109" s="112"/>
      <c r="AG109" s="112"/>
    </row>
    <row r="110" spans="29:33" x14ac:dyDescent="0.25"/>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rintOptions horizontalCentered="1"/>
  <pageMargins left="0.35433070866141736" right="0.35433070866141736" top="0.39370078740157483" bottom="0.39370078740157483" header="0.51181102362204722" footer="0.51181102362204722"/>
  <pageSetup scale="85" fitToHeight="2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abSelected="1" topLeftCell="B1" workbookViewId="0">
      <pane ySplit="23" topLeftCell="A24" activePane="bottomLeft" state="frozenSplit"/>
      <selection activeCell="O16" sqref="O16"/>
      <selection pane="bottomLeft" activeCell="O16" sqref="O1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1" t="s">
        <v>221</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4.1000000000000003E-3</v>
      </c>
      <c r="G25" s="57"/>
      <c r="H25" s="64">
        <f>VLOOKUP('9. Adj Network to Current WS'!$B25, '4. RRR Data'!$B$27:$M$49,11,0)</f>
        <v>173328068.0034</v>
      </c>
      <c r="I25" s="72"/>
      <c r="J25" s="64">
        <f>VLOOKUP('9. Adj Network to Current WS'!$B25, '4. RRR Data'!$B$27:$M$49,12,0)</f>
        <v>0</v>
      </c>
      <c r="K25" s="58"/>
      <c r="L25" s="60">
        <f t="shared" ref="L25:L46" si="0">IF(F25="", "", IF(D25="kWh", F25*H25, F25*J25))</f>
        <v>710645.07881394005</v>
      </c>
      <c r="M25" s="55"/>
      <c r="N25" s="61">
        <f t="shared" ref="N25:N46" si="1">IF(ISERROR(L25/$L$49), "", L25/$L$49)</f>
        <v>0.63110916512924697</v>
      </c>
      <c r="O25" s="13"/>
      <c r="P25" s="62">
        <f>IF(ISERROR('7. Current Wholesale'!$P$75*N25), "", '7. Current Wholesale'!$P$75*N25)</f>
        <v>695816.87618523173</v>
      </c>
      <c r="R25" s="63">
        <f t="shared" ref="R25:R46" si="2">IF(D25="","",IF(D25="kWh",IF(H25&lt;&gt;0,P25/H25,),IF(J25&lt;&gt;0,P25/J25,0)))</f>
        <v>4.0144500784003584E-3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3.8E-3</v>
      </c>
      <c r="G26" s="57"/>
      <c r="H26" s="64">
        <f>VLOOKUP('9. Adj Network to Current WS'!$B26, '4. RRR Data'!$B$27:$M$49,11,0)</f>
        <v>35276569.048799999</v>
      </c>
      <c r="I26" s="72"/>
      <c r="J26" s="64">
        <f>VLOOKUP('9. Adj Network to Current WS'!$B26, '4. RRR Data'!$B$27:$M$49,12,0)</f>
        <v>0</v>
      </c>
      <c r="K26" s="59"/>
      <c r="L26" s="60">
        <f t="shared" si="0"/>
        <v>134050.96238543998</v>
      </c>
      <c r="M26" s="55"/>
      <c r="N26" s="61">
        <f t="shared" si="1"/>
        <v>0.11904788125324817</v>
      </c>
      <c r="P26" s="62">
        <f>IF(ISERROR('7. Current Wholesale'!$P$75*N26), "", '7. Current Wholesale'!$P$75*N26)</f>
        <v>131253.87718484708</v>
      </c>
      <c r="R26" s="63">
        <f t="shared" si="2"/>
        <v>3.7207098287613074E-3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11,0)), "", VLOOKUP($B27,'3. Rate Classes'!$C$24:$N$45, 11,0))</f>
        <v>1.4824999999999999</v>
      </c>
      <c r="G27" s="57"/>
      <c r="H27" s="64">
        <f>VLOOKUP('9. Adj Network to Current WS'!$B27, '4. RRR Data'!$B$27:$M$49,11,0)</f>
        <v>0</v>
      </c>
      <c r="I27" s="72"/>
      <c r="J27" s="64">
        <f>VLOOKUP('9. Adj Network to Current WS'!$B27, '4. RRR Data'!$B$27:$M$49,12,0)</f>
        <v>75952</v>
      </c>
      <c r="K27" s="59"/>
      <c r="L27" s="60">
        <f t="shared" si="0"/>
        <v>112598.84</v>
      </c>
      <c r="M27" s="55"/>
      <c r="N27" s="61">
        <f t="shared" si="1"/>
        <v>9.9996695995592813E-2</v>
      </c>
      <c r="P27" s="62">
        <f>IF(ISERROR('7. Current Wholesale'!$P$75*N27), "", '7. Current Wholesale'!$P$75*N27)</f>
        <v>110249.37123555837</v>
      </c>
      <c r="R27" s="63">
        <f t="shared" si="2"/>
        <v>1.4515664002996416</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70">
        <f>IF(ISERROR(VLOOKUP($B28,'3. Rate Classes'!$C$24:$N$45, 11,0)), "", VLOOKUP($B28,'3. Rate Classes'!$C$24:$N$45, 11,0))</f>
        <v>2.1738</v>
      </c>
      <c r="G28" s="57"/>
      <c r="H28" s="64">
        <f>VLOOKUP('9. Adj Network to Current WS'!$B28, '4. RRR Data'!$B$27:$M$49,11,0)</f>
        <v>0</v>
      </c>
      <c r="I28" s="72"/>
      <c r="J28" s="64">
        <f>VLOOKUP('9. Adj Network to Current WS'!$B28, '4. RRR Data'!$B$27:$M$49,12,0)</f>
        <v>73874</v>
      </c>
      <c r="K28" s="59"/>
      <c r="L28" s="60">
        <f t="shared" si="0"/>
        <v>160587.30119999999</v>
      </c>
      <c r="M28" s="55"/>
      <c r="N28" s="61">
        <f t="shared" si="1"/>
        <v>0.14261425374230408</v>
      </c>
      <c r="P28" s="62">
        <f>IF(ISERROR('7. Current Wholesale'!$P$75*N28), "", '7. Current Wholesale'!$P$75*N28)</f>
        <v>157236.51314449802</v>
      </c>
      <c r="R28" s="63">
        <f t="shared" si="2"/>
        <v>2.1284418488845605</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70">
        <f>IF(ISERROR(VLOOKUP($B29,'3. Rate Classes'!$C$24:$N$45, 11,0)), "", VLOOKUP($B29,'3. Rate Classes'!$C$24:$N$45, 11,0))</f>
        <v>3.8E-3</v>
      </c>
      <c r="G29" s="57"/>
      <c r="H29" s="64">
        <f>VLOOKUP('9. Adj Network to Current WS'!$B29, '4. RRR Data'!$B$27:$M$49,11,0)</f>
        <v>565040.799</v>
      </c>
      <c r="I29" s="72"/>
      <c r="J29" s="64">
        <f>VLOOKUP('9. Adj Network to Current WS'!$B29, '4. RRR Data'!$B$27:$M$49,12,0)</f>
        <v>0</v>
      </c>
      <c r="K29" s="59"/>
      <c r="L29" s="60">
        <f t="shared" si="0"/>
        <v>2147.1550361999998</v>
      </c>
      <c r="M29" s="55"/>
      <c r="N29" s="61">
        <f t="shared" si="1"/>
        <v>1.9068438840959417E-3</v>
      </c>
      <c r="P29" s="62">
        <f>IF(ISERROR('7. Current Wholesale'!$P$75*N29), "", '7. Current Wholesale'!$P$75*N29)</f>
        <v>2102.352854490442</v>
      </c>
      <c r="R29" s="63">
        <f t="shared" si="2"/>
        <v>3.720709828761307E-3</v>
      </c>
    </row>
    <row r="30" spans="2:18" ht="25.5" customHeight="1" thickBot="1" x14ac:dyDescent="0.25">
      <c r="B30" s="15" t="str">
        <f>IF('3. Rate Classes'!Q29=1,'3. Rate Classes'!C29, 0)</f>
        <v>Sentinel Lighting</v>
      </c>
      <c r="C30" s="8"/>
      <c r="D30" s="16" t="str">
        <f>IF(ISERROR(VLOOKUP($B30, '3. Rate Classes'!$C$24:$H$45,6,0)), "", VLOOKUP($B30, '3. Rate Classes'!$C$24:$H$45,6,0))</f>
        <v>kW</v>
      </c>
      <c r="F30" s="70">
        <f>IF(ISERROR(VLOOKUP($B30,'3. Rate Classes'!$C$24:$N$45, 11,0)), "", VLOOKUP($B30,'3. Rate Classes'!$C$24:$N$45, 11,0))</f>
        <v>1.6990000000000001</v>
      </c>
      <c r="G30" s="57"/>
      <c r="H30" s="64" t="str">
        <f>VLOOKUP('9. Adj Network to Current WS'!$B30, '4. RRR Data'!$B$27:$M$49,11,0)</f>
        <v xml:space="preserve"> </v>
      </c>
      <c r="I30" s="72"/>
      <c r="J30" s="64">
        <f>VLOOKUP('9. Adj Network to Current WS'!$B30, '4. RRR Data'!$B$27:$M$49,12,0)</f>
        <v>329</v>
      </c>
      <c r="K30" s="59"/>
      <c r="L30" s="60">
        <f t="shared" si="0"/>
        <v>558.971</v>
      </c>
      <c r="M30" s="55"/>
      <c r="N30" s="61">
        <f t="shared" si="1"/>
        <v>4.9641055944583902E-4</v>
      </c>
      <c r="P30" s="62">
        <f>IF(ISERROR('7. Current Wholesale'!$P$75*N30), "", '7. Current Wholesale'!$P$75*N30)</f>
        <v>547.30760360329919</v>
      </c>
      <c r="R30" s="63">
        <f t="shared" si="2"/>
        <v>1.66354894712249</v>
      </c>
    </row>
    <row r="31" spans="2:18" ht="25.5" customHeight="1" thickBot="1" x14ac:dyDescent="0.25">
      <c r="B31" s="15" t="str">
        <f>IF('3. Rate Classes'!Q30=1,'3. Rate Classes'!C30, 0)</f>
        <v>Street Lighting</v>
      </c>
      <c r="C31" s="8"/>
      <c r="D31" s="16" t="str">
        <f>IF(ISERROR(VLOOKUP($B31, '3. Rate Classes'!$C$24:$H$45,6,0)), "", VLOOKUP($B31, '3. Rate Classes'!$C$24:$H$45,6,0))</f>
        <v>kW</v>
      </c>
      <c r="F31" s="70">
        <f>IF(ISERROR(VLOOKUP($B31,'3. Rate Classes'!$C$24:$N$45, 11,0)), "", VLOOKUP($B31,'3. Rate Classes'!$C$24:$N$45, 11,0))</f>
        <v>1.1458999999999999</v>
      </c>
      <c r="G31" s="57"/>
      <c r="H31" s="64" t="str">
        <f>VLOOKUP('9. Adj Network to Current WS'!$B31, '4. RRR Data'!$B$27:$M$49,11,0)</f>
        <v xml:space="preserve"> </v>
      </c>
      <c r="I31" s="72"/>
      <c r="J31" s="64">
        <f>VLOOKUP('9. Adj Network to Current WS'!$B31, '4. RRR Data'!$B$27:$M$49,12,0)</f>
        <v>4745</v>
      </c>
      <c r="K31" s="59"/>
      <c r="L31" s="60">
        <f t="shared" si="0"/>
        <v>5437.2954999999993</v>
      </c>
      <c r="M31" s="55"/>
      <c r="N31" s="61">
        <f t="shared" si="1"/>
        <v>4.8287494360661687E-3</v>
      </c>
      <c r="P31" s="62">
        <f>IF(ISERROR('7. Current Wholesale'!$P$75*N31), "", '7. Current Wholesale'!$P$75*N31)</f>
        <v>5323.8417917709539</v>
      </c>
      <c r="R31" s="63">
        <f t="shared" si="2"/>
        <v>1.1219898402046267</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x14ac:dyDescent="0.25">
      <c r="F47" s="70"/>
      <c r="G47" s="37"/>
      <c r="H47" s="74"/>
      <c r="I47" s="74"/>
      <c r="J47" s="74"/>
      <c r="R47" s="63"/>
    </row>
    <row r="48" spans="2:18" ht="13.5" thickBot="1" x14ac:dyDescent="0.25">
      <c r="F48" s="70"/>
      <c r="G48" s="37"/>
      <c r="H48" s="74"/>
      <c r="I48" s="74"/>
      <c r="J48" s="74"/>
    </row>
    <row r="49" spans="6:12" ht="13.5" thickBot="1" x14ac:dyDescent="0.25">
      <c r="F49" s="70"/>
      <c r="G49" s="37"/>
      <c r="H49" s="74"/>
      <c r="I49" s="74"/>
      <c r="J49" s="74"/>
      <c r="L49" s="71">
        <f>SUM(L25:L46)</f>
        <v>1126025.60393558</v>
      </c>
    </row>
    <row r="50" spans="6:12" ht="13.5" thickBot="1" x14ac:dyDescent="0.25">
      <c r="F50" s="70"/>
      <c r="G50" s="37"/>
      <c r="H50" s="74"/>
      <c r="I50" s="74"/>
      <c r="J50" s="74"/>
    </row>
    <row r="51" spans="6:12" ht="13.5" thickBot="1" x14ac:dyDescent="0.25">
      <c r="F51" s="70"/>
      <c r="G51" s="37"/>
      <c r="H51" s="74"/>
      <c r="I51" s="74"/>
      <c r="J51" s="74"/>
    </row>
    <row r="52" spans="6:12" ht="13.5" thickBot="1" x14ac:dyDescent="0.25">
      <c r="F52" s="70"/>
      <c r="G52" s="37"/>
      <c r="H52" s="74"/>
      <c r="I52" s="74"/>
      <c r="J52" s="74"/>
    </row>
    <row r="53" spans="6:12" ht="13.5" thickBot="1" x14ac:dyDescent="0.25">
      <c r="F53" s="70"/>
      <c r="G53" s="37"/>
      <c r="H53" s="37"/>
      <c r="I53" s="37"/>
      <c r="J53" s="37"/>
    </row>
    <row r="54" spans="6:12" ht="13.5" thickBot="1" x14ac:dyDescent="0.25">
      <c r="F54" s="70"/>
      <c r="G54" s="37"/>
      <c r="H54" s="37"/>
      <c r="I54" s="37"/>
      <c r="J54" s="37"/>
    </row>
    <row r="55" spans="6:12" ht="13.5" thickBot="1" x14ac:dyDescent="0.25">
      <c r="F55" s="57"/>
      <c r="G55" s="37"/>
      <c r="H55" s="37"/>
      <c r="I55" s="37"/>
      <c r="J55" s="37"/>
    </row>
    <row r="56" spans="6:12" ht="13.5" thickBot="1" x14ac:dyDescent="0.25">
      <c r="F56" s="57"/>
      <c r="G56" s="37"/>
      <c r="H56" s="37"/>
      <c r="I56" s="37"/>
      <c r="J56" s="37"/>
    </row>
    <row r="57" spans="6:12" x14ac:dyDescent="0.2">
      <c r="F57" s="37"/>
      <c r="G57" s="37"/>
      <c r="H57" s="37"/>
      <c r="I57" s="37"/>
      <c r="J57" s="37"/>
    </row>
  </sheetData>
  <sheetProtection password="F8BD" sheet="1" objects="1" scenarios="1"/>
  <phoneticPr fontId="21" type="noConversion"/>
  <printOptions horizontalCentered="1"/>
  <pageMargins left="0.35433070866141736" right="0.35433070866141736" top="0.39370078740157483" bottom="0.39370078740157483" header="0.51181102362204722" footer="0.51181102362204722"/>
  <pageSetup scale="74" fitToHeight="21"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topLeftCell="B1" zoomScaleNormal="100" workbookViewId="0">
      <pane ySplit="23" topLeftCell="A24" activePane="bottomLeft" state="frozenSplit"/>
      <selection activeCell="O16" sqref="O16"/>
      <selection pane="bottomLeft" activeCell="O16" sqref="O1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1" t="s">
        <v>219</v>
      </c>
    </row>
    <row r="15" spans="2:19" ht="3" customHeight="1" x14ac:dyDescent="0.2">
      <c r="S15" s="140"/>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67">
        <f>VLOOKUP($B25, '9. Adj Network to Current WS'!$B$25:$R$47, 17,0)</f>
        <v>5.045696250106666E-3</v>
      </c>
      <c r="G25" s="65"/>
      <c r="H25" s="64">
        <f>VLOOKUP('9. Adj Network to Current WS'!$B25, '4. RRR Data'!$B$27:$M$49,11,0)</f>
        <v>173328068.0034</v>
      </c>
      <c r="I25" s="72"/>
      <c r="J25" s="64">
        <f>VLOOKUP('9. Adj Network to Current WS'!$B25, '4. RRR Data'!$B$27:$M$49,12,0)</f>
        <v>0</v>
      </c>
      <c r="K25" s="58"/>
      <c r="L25" s="60">
        <f t="shared" ref="L25:L46" si="0">IF(F25="", "", IF(D25="kWh", F25*H25, F25*J25))</f>
        <v>874560.78276298859</v>
      </c>
      <c r="M25" s="55"/>
      <c r="N25" s="61">
        <f t="shared" ref="N25:N46" si="1">IF(ISERROR(L25/$L$49), "", L25/$L$49)</f>
        <v>0.66198416341386346</v>
      </c>
      <c r="O25" s="13"/>
      <c r="P25" s="62">
        <f>IF(ISERROR('8. Forecast Wholesale'!$F$75*N25), "", '8. Forecast Wholesale'!$F$75*N25)</f>
        <v>874560.78276298859</v>
      </c>
      <c r="R25" s="63">
        <f t="shared" ref="R25:R46" si="2">IF(D25="","",IF(D25="kWh",IF(H25&lt;&gt;0,P25/H25,),IF(J25&lt;&gt;0,P25/J25,0)))</f>
        <v>5.045696250106666E-3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7">
        <f>VLOOKUP($B26, '9. Adj Network to Current WS'!$B$25:$R$47, 17,0)</f>
        <v>4.5605331491348723E-3</v>
      </c>
      <c r="G26" s="65"/>
      <c r="H26" s="64">
        <f>VLOOKUP('9. Adj Network to Current WS'!$B26, '4. RRR Data'!$B$27:$M$49,11,0)</f>
        <v>35276569.048799999</v>
      </c>
      <c r="I26" s="72"/>
      <c r="J26" s="64">
        <f>VLOOKUP('9. Adj Network to Current WS'!$B26, '4. RRR Data'!$B$27:$M$49,12,0)</f>
        <v>0</v>
      </c>
      <c r="K26" s="59"/>
      <c r="L26" s="60">
        <f t="shared" si="0"/>
        <v>160879.96253479764</v>
      </c>
      <c r="M26" s="55"/>
      <c r="N26" s="61">
        <f t="shared" si="1"/>
        <v>0.12177539801428973</v>
      </c>
      <c r="P26" s="62">
        <f>IF(ISERROR('8. Forecast Wholesale'!$F$75*N26), "", '8. Forecast Wholesale'!$F$75*N26)</f>
        <v>160879.96253479764</v>
      </c>
      <c r="R26" s="63">
        <f t="shared" si="2"/>
        <v>4.5605331491348723E-3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7">
        <f>VLOOKUP($B27, '9. Adj Network to Current WS'!$B$25:$R$47, 17,0)</f>
        <v>1.870788917347241</v>
      </c>
      <c r="G27" s="65"/>
      <c r="H27" s="64">
        <f>VLOOKUP('9. Adj Network to Current WS'!$B27, '4. RRR Data'!$B$27:$M$49,11,0)</f>
        <v>0</v>
      </c>
      <c r="I27" s="72"/>
      <c r="J27" s="64">
        <f>VLOOKUP('9. Adj Network to Current WS'!$B27, '4. RRR Data'!$B$27:$M$49,12,0)</f>
        <v>75952</v>
      </c>
      <c r="K27" s="59"/>
      <c r="L27" s="60">
        <f t="shared" si="0"/>
        <v>142090.15985035765</v>
      </c>
      <c r="M27" s="55"/>
      <c r="N27" s="61">
        <f t="shared" si="1"/>
        <v>0.10755277100433668</v>
      </c>
      <c r="P27" s="62">
        <f>IF(ISERROR('8. Forecast Wholesale'!$F$75*N27), "", '8. Forecast Wholesale'!$F$75*N27)</f>
        <v>142090.15985035765</v>
      </c>
      <c r="R27" s="63">
        <f t="shared" si="2"/>
        <v>1.870788917347241</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67">
        <f>VLOOKUP($B28, '9. Adj Network to Current WS'!$B$25:$R$47, 17,0)</f>
        <v>1.8118901168892649</v>
      </c>
      <c r="G28" s="65"/>
      <c r="H28" s="64">
        <f>VLOOKUP('9. Adj Network to Current WS'!$B28, '4. RRR Data'!$B$27:$M$49,11,0)</f>
        <v>0</v>
      </c>
      <c r="I28" s="72"/>
      <c r="J28" s="64">
        <f>VLOOKUP('9. Adj Network to Current WS'!$B28, '4. RRR Data'!$B$27:$M$49,12,0)</f>
        <v>73874</v>
      </c>
      <c r="K28" s="59"/>
      <c r="L28" s="60">
        <f t="shared" si="0"/>
        <v>133851.57049507755</v>
      </c>
      <c r="M28" s="55"/>
      <c r="N28" s="61">
        <f t="shared" si="1"/>
        <v>0.10131670852639742</v>
      </c>
      <c r="P28" s="62">
        <f>IF(ISERROR('8. Forecast Wholesale'!$F$75*N28), "", '8. Forecast Wholesale'!$F$75*N28)</f>
        <v>133851.57049507755</v>
      </c>
      <c r="R28" s="63">
        <f t="shared" si="2"/>
        <v>1.8118901168892649</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67">
        <f>VLOOKUP($B29, '9. Adj Network to Current WS'!$B$25:$R$47, 17,0)</f>
        <v>4.5605331491348714E-3</v>
      </c>
      <c r="G29" s="65"/>
      <c r="H29" s="64">
        <f>VLOOKUP('9. Adj Network to Current WS'!$B29, '4. RRR Data'!$B$27:$M$49,11,0)</f>
        <v>565040.799</v>
      </c>
      <c r="I29" s="72"/>
      <c r="J29" s="64">
        <f>VLOOKUP('9. Adj Network to Current WS'!$B29, '4. RRR Data'!$B$27:$M$49,12,0)</f>
        <v>0</v>
      </c>
      <c r="K29" s="59"/>
      <c r="L29" s="60">
        <f t="shared" si="0"/>
        <v>2576.887294453154</v>
      </c>
      <c r="M29" s="55"/>
      <c r="N29" s="61">
        <f t="shared" si="1"/>
        <v>1.9505317565705247E-3</v>
      </c>
      <c r="P29" s="62">
        <f>IF(ISERROR('8. Forecast Wholesale'!$F$75*N29), "", '8. Forecast Wholesale'!$F$75*N29)</f>
        <v>2576.887294453154</v>
      </c>
      <c r="R29" s="63">
        <f t="shared" si="2"/>
        <v>4.5605331491348714E-3</v>
      </c>
    </row>
    <row r="30" spans="2:18" ht="25.5" customHeight="1" thickBot="1" x14ac:dyDescent="0.25">
      <c r="B30" s="15" t="str">
        <f>IF('3. Rate Classes'!Q29=1,'3. Rate Classes'!C29, 0)</f>
        <v>Sentinel Lighting</v>
      </c>
      <c r="C30" s="8"/>
      <c r="D30" s="16" t="str">
        <f>IF(ISERROR(VLOOKUP($B30, '3. Rate Classes'!$C$24:$H$45,6,0)), "", VLOOKUP($B30, '3. Rate Classes'!$C$24:$H$45,6,0))</f>
        <v>kW</v>
      </c>
      <c r="F30" s="67">
        <f>VLOOKUP($B30, '9. Adj Network to Current WS'!$B$25:$R$47, 17,0)</f>
        <v>1.418034711520362</v>
      </c>
      <c r="G30" s="65"/>
      <c r="H30" s="64" t="str">
        <f>VLOOKUP('9. Adj Network to Current WS'!$B30, '4. RRR Data'!$B$27:$M$49,11,0)</f>
        <v xml:space="preserve"> </v>
      </c>
      <c r="I30" s="72"/>
      <c r="J30" s="64">
        <f>VLOOKUP('9. Adj Network to Current WS'!$B30, '4. RRR Data'!$B$27:$M$49,12,0)</f>
        <v>329</v>
      </c>
      <c r="K30" s="59"/>
      <c r="L30" s="60">
        <f t="shared" si="0"/>
        <v>466.53342009019912</v>
      </c>
      <c r="M30" s="55"/>
      <c r="N30" s="61">
        <f t="shared" si="1"/>
        <v>3.5313467272944931E-4</v>
      </c>
      <c r="P30" s="62">
        <f>IF(ISERROR('8. Forecast Wholesale'!$F$75*N30), "", '8. Forecast Wholesale'!$F$75*N30)</f>
        <v>466.53342009019912</v>
      </c>
      <c r="R30" s="63">
        <f t="shared" si="2"/>
        <v>1.418034711520362</v>
      </c>
    </row>
    <row r="31" spans="2:18" ht="25.5" customHeight="1" thickBot="1" x14ac:dyDescent="0.25">
      <c r="B31" s="15" t="str">
        <f>IF('3. Rate Classes'!Q30=1,'3. Rate Classes'!C30, 0)</f>
        <v>Street Lighting</v>
      </c>
      <c r="C31" s="8"/>
      <c r="D31" s="16" t="str">
        <f>IF(ISERROR(VLOOKUP($B31, '3. Rate Classes'!$C$24:$H$45,6,0)), "", VLOOKUP($B31, '3. Rate Classes'!$C$24:$H$45,6,0))</f>
        <v>kW</v>
      </c>
      <c r="F31" s="67">
        <f>VLOOKUP($B31, '9. Adj Network to Current WS'!$B$25:$R$47, 17,0)</f>
        <v>1.4108542976259792</v>
      </c>
      <c r="G31" s="65"/>
      <c r="H31" s="64" t="str">
        <f>VLOOKUP('9. Adj Network to Current WS'!$B31, '4. RRR Data'!$B$27:$M$49,11,0)</f>
        <v xml:space="preserve"> </v>
      </c>
      <c r="I31" s="72"/>
      <c r="J31" s="64">
        <f>VLOOKUP('9. Adj Network to Current WS'!$B31, '4. RRR Data'!$B$27:$M$49,12,0)</f>
        <v>4745</v>
      </c>
      <c r="K31" s="59"/>
      <c r="L31" s="60">
        <f t="shared" si="0"/>
        <v>6694.5036422352714</v>
      </c>
      <c r="M31" s="55"/>
      <c r="N31" s="61">
        <f t="shared" si="1"/>
        <v>5.0672926118128766E-3</v>
      </c>
      <c r="P31" s="62">
        <f>IF(ISERROR('8. Forecast Wholesale'!$F$75*N31), "", '8. Forecast Wholesale'!$F$75*N31)</f>
        <v>6694.5036422352714</v>
      </c>
      <c r="R31" s="63">
        <f t="shared" si="2"/>
        <v>1.4108542976259792</v>
      </c>
    </row>
    <row r="32" spans="2:18" ht="25.5" hidden="1" customHeight="1" thickBot="1" x14ac:dyDescent="0.25">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x14ac:dyDescent="0.25">
      <c r="F47" s="67"/>
      <c r="G47" s="66"/>
      <c r="H47" s="66"/>
      <c r="I47" s="66"/>
      <c r="J47" s="66"/>
      <c r="R47" s="68"/>
    </row>
    <row r="48" spans="2:18" ht="13.5" thickBot="1" x14ac:dyDescent="0.25">
      <c r="F48" s="67"/>
      <c r="G48" s="66"/>
      <c r="H48" s="66"/>
      <c r="I48" s="66"/>
      <c r="J48" s="66"/>
      <c r="R48" s="68"/>
    </row>
    <row r="49" spans="6:18" ht="13.5" thickBot="1" x14ac:dyDescent="0.25">
      <c r="F49" s="67"/>
      <c r="G49" s="66"/>
      <c r="H49" s="66"/>
      <c r="I49" s="66"/>
      <c r="J49" s="66"/>
      <c r="L49" s="71">
        <f>SUM(L25:L46)</f>
        <v>1321120.3999999999</v>
      </c>
      <c r="R49" s="68"/>
    </row>
    <row r="50" spans="6:18" ht="13.5" thickBot="1" x14ac:dyDescent="0.25">
      <c r="F50" s="67"/>
      <c r="G50" s="66"/>
      <c r="H50" s="66"/>
      <c r="I50" s="66"/>
      <c r="J50" s="66"/>
      <c r="R50" s="68"/>
    </row>
    <row r="51" spans="6:18" ht="13.5" thickBot="1" x14ac:dyDescent="0.25">
      <c r="F51" s="67"/>
      <c r="G51" s="66"/>
      <c r="H51" s="66"/>
      <c r="I51" s="66"/>
      <c r="J51" s="66"/>
      <c r="R51" s="68"/>
    </row>
    <row r="52" spans="6:18" ht="13.5" thickBot="1" x14ac:dyDescent="0.25">
      <c r="F52" s="67"/>
      <c r="G52" s="66"/>
      <c r="H52" s="66"/>
      <c r="I52" s="66"/>
      <c r="J52" s="66"/>
    </row>
    <row r="53" spans="6:18" ht="13.5" thickBot="1" x14ac:dyDescent="0.25">
      <c r="F53" s="67"/>
      <c r="G53" s="66"/>
      <c r="H53" s="66"/>
      <c r="I53" s="66"/>
      <c r="J53" s="66"/>
    </row>
    <row r="54" spans="6:18" ht="13.5" thickBot="1" x14ac:dyDescent="0.25">
      <c r="F54" s="56"/>
    </row>
    <row r="55" spans="6:18" ht="13.5" thickBot="1" x14ac:dyDescent="0.25">
      <c r="F55" s="56"/>
    </row>
    <row r="56" spans="6:18" ht="13.5" thickBot="1" x14ac:dyDescent="0.25">
      <c r="F56" s="56"/>
    </row>
  </sheetData>
  <sheetProtection password="F8BD" sheet="1" objects="1" scenarios="1"/>
  <phoneticPr fontId="21" type="noConversion"/>
  <printOptions horizontalCentered="1"/>
  <pageMargins left="0.35433070866141736" right="0.35433070866141736" top="0.39370078740157483" bottom="0.39370078740157483" header="0.51181102362204722" footer="0.51181102362204722"/>
  <pageSetup scale="74" fitToHeight="2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B1" workbookViewId="0">
      <pane ySplit="23" topLeftCell="A24" activePane="bottomLeft" state="frozenSplit"/>
      <selection activeCell="O16" sqref="O16"/>
      <selection pane="bottomLeft" activeCell="O16" sqref="O1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8" t="s">
        <v>213</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9" t="s">
        <v>209</v>
      </c>
    </row>
    <row r="20" spans="2:18" ht="2.25" customHeight="1" x14ac:dyDescent="0.2"/>
    <row r="21" spans="2:18" ht="16.5" x14ac:dyDescent="0.3">
      <c r="D21" s="11"/>
      <c r="E21" s="5"/>
      <c r="F21" s="12"/>
      <c r="G21" s="12"/>
      <c r="H21" s="5"/>
      <c r="I21" s="5"/>
      <c r="J21" s="5"/>
      <c r="K21" s="11"/>
    </row>
    <row r="22" spans="2:18" s="140" customFormat="1" ht="63" x14ac:dyDescent="0.2">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VLOOKUP($B25, '10. Adj Conn. to Current WS'!$B$25:$R$47, 17,0)</f>
        <v>4.0144500784003584E-3</v>
      </c>
      <c r="G25" s="57"/>
      <c r="H25" s="64">
        <f>VLOOKUP('9. Adj Network to Current WS'!$B25, '4. RRR Data'!$B$27:$M$49,11,0)</f>
        <v>173328068.0034</v>
      </c>
      <c r="I25" s="72"/>
      <c r="J25" s="64">
        <f>VLOOKUP('9. Adj Network to Current WS'!$B25, '4. RRR Data'!$B$27:$M$49,12,0)</f>
        <v>0</v>
      </c>
      <c r="K25" s="58"/>
      <c r="L25" s="60">
        <f t="shared" ref="L25:L46" si="0">IF(F25="", "", IF(D25="kWh", F25*H25, F25*J25))</f>
        <v>695816.87618523173</v>
      </c>
      <c r="M25" s="55"/>
      <c r="N25" s="61">
        <f t="shared" ref="N25:N46" si="1">IF(ISERROR(L25/$L$49), "", L25/$L$49)</f>
        <v>0.63110916512924697</v>
      </c>
      <c r="O25" s="13"/>
      <c r="P25" s="62">
        <f>IF(ISERROR('8. Forecast Wholesale'!$P$75*N25), "", '8. Forecast Wholesale'!$P$75*N25)</f>
        <v>695816.87618523173</v>
      </c>
      <c r="R25" s="63">
        <f t="shared" ref="R25:R46" si="2">IF(D25="","",IF(D25="kWh",IF(H25&lt;&gt;0,P25/H25,),IF(J25&lt;&gt;0,P25/J25,0)))</f>
        <v>4.0144500784003584E-3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VLOOKUP($B26, '10. Adj Conn. to Current WS'!$B$25:$R$47, 17,0)</f>
        <v>3.7207098287613074E-3</v>
      </c>
      <c r="G26" s="57"/>
      <c r="H26" s="64">
        <f>VLOOKUP('9. Adj Network to Current WS'!$B26, '4. RRR Data'!$B$27:$M$49,11,0)</f>
        <v>35276569.048799999</v>
      </c>
      <c r="I26" s="72"/>
      <c r="J26" s="64">
        <f>VLOOKUP('9. Adj Network to Current WS'!$B26, '4. RRR Data'!$B$27:$M$49,12,0)</f>
        <v>0</v>
      </c>
      <c r="K26" s="59"/>
      <c r="L26" s="60">
        <f t="shared" si="0"/>
        <v>131253.87718484708</v>
      </c>
      <c r="M26" s="55"/>
      <c r="N26" s="61">
        <f t="shared" si="1"/>
        <v>0.11904788125324818</v>
      </c>
      <c r="P26" s="62">
        <f>IF(ISERROR('8. Forecast Wholesale'!$P$75*N26), "", '8. Forecast Wholesale'!$P$75*N26)</f>
        <v>131253.87718484708</v>
      </c>
      <c r="R26" s="63">
        <f t="shared" si="2"/>
        <v>3.7207098287613074E-3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VLOOKUP($B27, '10. Adj Conn. to Current WS'!$B$25:$R$47, 17,0)</f>
        <v>1.4515664002996416</v>
      </c>
      <c r="G27" s="57"/>
      <c r="H27" s="64">
        <f>VLOOKUP('9. Adj Network to Current WS'!$B27, '4. RRR Data'!$B$27:$M$49,11,0)</f>
        <v>0</v>
      </c>
      <c r="I27" s="72"/>
      <c r="J27" s="64">
        <f>VLOOKUP('9. Adj Network to Current WS'!$B27, '4. RRR Data'!$B$27:$M$49,12,0)</f>
        <v>75952</v>
      </c>
      <c r="K27" s="59"/>
      <c r="L27" s="60">
        <f t="shared" si="0"/>
        <v>110249.37123555837</v>
      </c>
      <c r="M27" s="55"/>
      <c r="N27" s="61">
        <f t="shared" si="1"/>
        <v>9.9996695995592813E-2</v>
      </c>
      <c r="P27" s="62">
        <f>IF(ISERROR('8. Forecast Wholesale'!$P$75*N27), "", '8. Forecast Wholesale'!$P$75*N27)</f>
        <v>110249.37123555837</v>
      </c>
      <c r="R27" s="63">
        <f t="shared" si="2"/>
        <v>1.4515664002996416</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70">
        <f>VLOOKUP($B28, '10. Adj Conn. to Current WS'!$B$25:$R$47, 17,0)</f>
        <v>2.1284418488845605</v>
      </c>
      <c r="G28" s="57"/>
      <c r="H28" s="64">
        <f>VLOOKUP('9. Adj Network to Current WS'!$B28, '4. RRR Data'!$B$27:$M$49,11,0)</f>
        <v>0</v>
      </c>
      <c r="I28" s="72"/>
      <c r="J28" s="64">
        <f>VLOOKUP('9. Adj Network to Current WS'!$B28, '4. RRR Data'!$B$27:$M$49,12,0)</f>
        <v>73874</v>
      </c>
      <c r="K28" s="59"/>
      <c r="L28" s="60">
        <f t="shared" si="0"/>
        <v>157236.51314449802</v>
      </c>
      <c r="M28" s="55"/>
      <c r="N28" s="61">
        <f t="shared" si="1"/>
        <v>0.14261425374230408</v>
      </c>
      <c r="P28" s="62">
        <f>IF(ISERROR('8. Forecast Wholesale'!$P$75*N28), "", '8. Forecast Wholesale'!$P$75*N28)</f>
        <v>157236.51314449802</v>
      </c>
      <c r="R28" s="63">
        <f t="shared" si="2"/>
        <v>2.1284418488845605</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70">
        <f>VLOOKUP($B29, '10. Adj Conn. to Current WS'!$B$25:$R$47, 17,0)</f>
        <v>3.720709828761307E-3</v>
      </c>
      <c r="G29" s="57"/>
      <c r="H29" s="64">
        <f>VLOOKUP('9. Adj Network to Current WS'!$B29, '4. RRR Data'!$B$27:$M$49,11,0)</f>
        <v>565040.799</v>
      </c>
      <c r="I29" s="72"/>
      <c r="J29" s="64">
        <f>VLOOKUP('9. Adj Network to Current WS'!$B29, '4. RRR Data'!$B$27:$M$49,12,0)</f>
        <v>0</v>
      </c>
      <c r="K29" s="59"/>
      <c r="L29" s="60">
        <f t="shared" si="0"/>
        <v>2102.352854490442</v>
      </c>
      <c r="M29" s="55"/>
      <c r="N29" s="61">
        <f t="shared" si="1"/>
        <v>1.9068438840959415E-3</v>
      </c>
      <c r="P29" s="62">
        <f>IF(ISERROR('8. Forecast Wholesale'!$P$75*N29), "", '8. Forecast Wholesale'!$P$75*N29)</f>
        <v>2102.352854490442</v>
      </c>
      <c r="R29" s="63">
        <f t="shared" si="2"/>
        <v>3.720709828761307E-3</v>
      </c>
    </row>
    <row r="30" spans="2:18" ht="25.5" customHeight="1" thickBot="1" x14ac:dyDescent="0.25">
      <c r="B30" s="15" t="str">
        <f>IF('3. Rate Classes'!Q29=1,'3. Rate Classes'!C29, 0)</f>
        <v>Sentinel Lighting</v>
      </c>
      <c r="C30" s="8"/>
      <c r="D30" s="16" t="str">
        <f>IF(ISERROR(VLOOKUP($B30, '3. Rate Classes'!$C$24:$H$45,6,0)), "", VLOOKUP($B30, '3. Rate Classes'!$C$24:$H$45,6,0))</f>
        <v>kW</v>
      </c>
      <c r="F30" s="70">
        <f>VLOOKUP($B30, '10. Adj Conn. to Current WS'!$B$25:$R$47, 17,0)</f>
        <v>1.66354894712249</v>
      </c>
      <c r="G30" s="57"/>
      <c r="H30" s="64" t="str">
        <f>VLOOKUP('9. Adj Network to Current WS'!$B30, '4. RRR Data'!$B$27:$M$49,11,0)</f>
        <v xml:space="preserve"> </v>
      </c>
      <c r="I30" s="72"/>
      <c r="J30" s="64">
        <f>VLOOKUP('9. Adj Network to Current WS'!$B30, '4. RRR Data'!$B$27:$M$49,12,0)</f>
        <v>329</v>
      </c>
      <c r="K30" s="59"/>
      <c r="L30" s="60">
        <f t="shared" si="0"/>
        <v>547.30760360329919</v>
      </c>
      <c r="M30" s="55"/>
      <c r="N30" s="61">
        <f t="shared" si="1"/>
        <v>4.9641055944583902E-4</v>
      </c>
      <c r="P30" s="62">
        <f>IF(ISERROR('8. Forecast Wholesale'!$P$75*N30), "", '8. Forecast Wholesale'!$P$75*N30)</f>
        <v>547.30760360329919</v>
      </c>
      <c r="R30" s="63">
        <f t="shared" si="2"/>
        <v>1.66354894712249</v>
      </c>
    </row>
    <row r="31" spans="2:18" ht="25.5" customHeight="1" thickBot="1" x14ac:dyDescent="0.25">
      <c r="B31" s="15" t="str">
        <f>IF('3. Rate Classes'!Q30=1,'3. Rate Classes'!C30, 0)</f>
        <v>Street Lighting</v>
      </c>
      <c r="C31" s="8"/>
      <c r="D31" s="16" t="str">
        <f>IF(ISERROR(VLOOKUP($B31, '3. Rate Classes'!$C$24:$H$45,6,0)), "", VLOOKUP($B31, '3. Rate Classes'!$C$24:$H$45,6,0))</f>
        <v>kW</v>
      </c>
      <c r="F31" s="70">
        <f>VLOOKUP($B31, '10. Adj Conn. to Current WS'!$B$25:$R$47, 17,0)</f>
        <v>1.1219898402046267</v>
      </c>
      <c r="G31" s="57"/>
      <c r="H31" s="64" t="str">
        <f>VLOOKUP('9. Adj Network to Current WS'!$B31, '4. RRR Data'!$B$27:$M$49,11,0)</f>
        <v xml:space="preserve"> </v>
      </c>
      <c r="I31" s="72"/>
      <c r="J31" s="64">
        <f>VLOOKUP('9. Adj Network to Current WS'!$B31, '4. RRR Data'!$B$27:$M$49,12,0)</f>
        <v>4745</v>
      </c>
      <c r="K31" s="59"/>
      <c r="L31" s="60">
        <f t="shared" si="0"/>
        <v>5323.8417917709539</v>
      </c>
      <c r="M31" s="55"/>
      <c r="N31" s="61">
        <f t="shared" si="1"/>
        <v>4.8287494360661687E-3</v>
      </c>
      <c r="P31" s="62">
        <f>IF(ISERROR('8. Forecast Wholesale'!$P$75*N31), "", '8. Forecast Wholesale'!$P$75*N31)</f>
        <v>5323.8417917709539</v>
      </c>
      <c r="R31" s="63">
        <f t="shared" si="2"/>
        <v>1.1219898402046267</v>
      </c>
    </row>
    <row r="32" spans="2:18" ht="25.5" hidden="1" customHeight="1" thickBot="1" x14ac:dyDescent="0.25">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x14ac:dyDescent="0.25">
      <c r="F47" s="70"/>
      <c r="G47" s="37"/>
      <c r="H47" s="64"/>
      <c r="I47" s="72"/>
      <c r="J47" s="64"/>
      <c r="R47" s="68"/>
    </row>
    <row r="48" spans="2:18" ht="13.5" thickBot="1" x14ac:dyDescent="0.25">
      <c r="F48" s="70"/>
      <c r="G48" s="37"/>
      <c r="H48" s="37"/>
      <c r="I48" s="37"/>
      <c r="J48" s="37"/>
      <c r="R48" s="68"/>
    </row>
    <row r="49" spans="6:18" ht="13.5" thickBot="1" x14ac:dyDescent="0.25">
      <c r="F49" s="70"/>
      <c r="G49" s="37"/>
      <c r="H49" s="37"/>
      <c r="I49" s="37"/>
      <c r="J49" s="37"/>
      <c r="L49" s="71">
        <f>SUM(L25:L46)</f>
        <v>1102530.1399999999</v>
      </c>
      <c r="R49" s="68"/>
    </row>
    <row r="50" spans="6:18" ht="13.5" thickBot="1" x14ac:dyDescent="0.25">
      <c r="F50" s="70"/>
      <c r="G50" s="37"/>
      <c r="H50" s="37"/>
      <c r="I50" s="37"/>
      <c r="J50" s="37"/>
      <c r="R50" s="68"/>
    </row>
    <row r="51" spans="6:18" ht="13.5" thickBot="1" x14ac:dyDescent="0.25">
      <c r="F51" s="70"/>
      <c r="G51" s="37"/>
      <c r="H51" s="37"/>
      <c r="I51" s="37"/>
      <c r="J51" s="37"/>
      <c r="R51" s="68"/>
    </row>
    <row r="52" spans="6:18" ht="13.5" thickBot="1" x14ac:dyDescent="0.25">
      <c r="F52" s="70"/>
      <c r="G52" s="37"/>
      <c r="H52" s="37"/>
      <c r="I52" s="37"/>
      <c r="J52" s="37"/>
      <c r="R52" s="68"/>
    </row>
    <row r="53" spans="6:18" ht="13.5" thickBot="1" x14ac:dyDescent="0.25">
      <c r="F53" s="67"/>
      <c r="R53" s="68"/>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rintOptions horizontalCentered="1"/>
  <pageMargins left="0.35433070866141736" right="0.35433070866141736" top="0.39370078740157483" bottom="0.39370078740157483" header="0.51181102362204722" footer="0.51181102362204722"/>
  <pageSetup scale="74" fitToHeight="2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opLeftCell="B1" zoomScaleNormal="100" workbookViewId="0">
      <pane ySplit="24" topLeftCell="A25" activePane="bottomLeft" state="frozenSplit"/>
      <selection activeCell="O16" sqref="O16"/>
      <selection pane="bottomLeft" activeCell="O16" sqref="O1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71" t="s">
        <v>249</v>
      </c>
      <c r="C13" s="171"/>
      <c r="D13" s="171"/>
      <c r="E13" s="171"/>
      <c r="F13" s="171"/>
      <c r="G13" s="171"/>
      <c r="H13" s="171"/>
      <c r="I13" s="171"/>
      <c r="J13" s="171"/>
      <c r="K13" s="171"/>
      <c r="L13" s="171"/>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7"/>
      <c r="K22" s="78"/>
      <c r="L22" s="79"/>
      <c r="M22" s="79"/>
      <c r="N22" s="79"/>
      <c r="O22" s="79"/>
      <c r="P22" s="79"/>
      <c r="Q22" s="79"/>
      <c r="R22" s="79"/>
      <c r="S22" s="79"/>
      <c r="T22" s="79"/>
    </row>
    <row r="23" spans="2:24" ht="47.25"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
      <c r="J24" s="79"/>
      <c r="K24" s="79"/>
      <c r="L24" s="79"/>
      <c r="M24" s="79"/>
      <c r="N24" s="79"/>
      <c r="O24" s="79"/>
      <c r="P24" s="79"/>
      <c r="Q24" s="79"/>
      <c r="R24" s="79"/>
      <c r="S24" s="79"/>
      <c r="T24" s="79"/>
    </row>
    <row r="25" spans="2:24" hidden="1" x14ac:dyDescent="0.2">
      <c r="J25" s="79"/>
      <c r="K25" s="79"/>
      <c r="L25" s="79"/>
      <c r="M25" s="79"/>
      <c r="N25" s="79"/>
      <c r="O25" s="79"/>
      <c r="P25" s="79"/>
      <c r="Q25" s="79"/>
      <c r="R25" s="79"/>
      <c r="S25" s="79"/>
      <c r="T25" s="79"/>
    </row>
    <row r="26" spans="2:24" ht="25.5" customHeight="1" thickBot="1" x14ac:dyDescent="0.25">
      <c r="B26" s="15" t="str">
        <f>IF('3. Rate Classes'!Q24=1,'3. Rate Classes'!C24, 0)</f>
        <v>Residential</v>
      </c>
      <c r="C26" s="8"/>
      <c r="D26" s="16" t="str">
        <f>IF(ISERROR(VLOOKUP($B26, '3. Rate Classes'!$C$24:$H$45,6,0)), "", VLOOKUP($B26, '3. Rate Classes'!$C$24:$H$45,6,0))</f>
        <v>kWh</v>
      </c>
      <c r="F26" s="70">
        <f>VLOOKUP($B26, '11. Adj Network to Forecast WS'!$B$25:$R$48,17,0)</f>
        <v>5.045696250106666E-3</v>
      </c>
      <c r="G26" s="57"/>
      <c r="H26" s="70">
        <f>VLOOKUP($B26, '12. Adj Conn. to Forecast WS'!$B$25:$R$48,17,0)</f>
        <v>4.0144500784003584E-3</v>
      </c>
      <c r="I26" s="69"/>
      <c r="J26" s="80"/>
      <c r="K26" s="81"/>
      <c r="L26" s="82"/>
      <c r="M26" s="83"/>
      <c r="N26" s="84"/>
      <c r="O26" s="85"/>
      <c r="P26" s="82"/>
      <c r="Q26" s="79"/>
      <c r="R26" s="76"/>
      <c r="S26" s="79"/>
      <c r="T26" s="79"/>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70">
        <f>VLOOKUP($B27, '11. Adj Network to Forecast WS'!$B$25:$R$48,17,0)</f>
        <v>4.5605331491348723E-3</v>
      </c>
      <c r="G27" s="57"/>
      <c r="H27" s="70">
        <f>VLOOKUP($B27, '12. Adj Conn. to Forecast WS'!$B$25:$R$48,17,0)</f>
        <v>3.7207098287613074E-3</v>
      </c>
      <c r="I27" s="69"/>
      <c r="J27" s="80"/>
      <c r="K27" s="81"/>
      <c r="L27" s="82"/>
      <c r="M27" s="83"/>
      <c r="N27" s="84"/>
      <c r="O27" s="79"/>
      <c r="P27" s="82"/>
      <c r="Q27" s="79"/>
      <c r="R27" s="76"/>
      <c r="S27" s="79"/>
      <c r="T27" s="79"/>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70">
        <f>VLOOKUP($B28, '11. Adj Network to Forecast WS'!$B$25:$R$48,17,0)</f>
        <v>1.870788917347241</v>
      </c>
      <c r="G28" s="57"/>
      <c r="H28" s="70">
        <f>VLOOKUP($B28, '12. Adj Conn. to Forecast WS'!$B$25:$R$48,17,0)</f>
        <v>1.4515664002996416</v>
      </c>
      <c r="I28" s="69"/>
      <c r="J28" s="80"/>
      <c r="K28" s="81"/>
      <c r="L28" s="82"/>
      <c r="M28" s="83"/>
      <c r="N28" s="84"/>
      <c r="O28" s="79"/>
      <c r="P28" s="82"/>
      <c r="Q28" s="79"/>
      <c r="R28" s="76"/>
      <c r="S28" s="79"/>
      <c r="T28" s="79"/>
      <c r="U28" s="86"/>
      <c r="V28" s="86"/>
      <c r="W28" s="86"/>
      <c r="X28" s="86"/>
    </row>
    <row r="29" spans="2:24" ht="25.5" customHeight="1" thickBot="1" x14ac:dyDescent="0.25">
      <c r="B29" s="15" t="str">
        <f>IF('3. Rate Classes'!Q27=1,'3. Rate Classes'!C27, 0)</f>
        <v>General Service 50 to 4,999 kW – Interval Metered</v>
      </c>
      <c r="C29" s="8"/>
      <c r="D29" s="16" t="str">
        <f>IF(ISERROR(VLOOKUP($B29, '3. Rate Classes'!$C$24:$H$45,6,0)), "", VLOOKUP($B29, '3. Rate Classes'!$C$24:$H$45,6,0))</f>
        <v>kW</v>
      </c>
      <c r="F29" s="70">
        <f>VLOOKUP($B29, '11. Adj Network to Forecast WS'!$B$25:$R$48,17,0)</f>
        <v>1.8118901168892649</v>
      </c>
      <c r="G29" s="57"/>
      <c r="H29" s="70">
        <f>VLOOKUP($B29, '12. Adj Conn. to Forecast WS'!$B$25:$R$48,17,0)</f>
        <v>2.1284418488845605</v>
      </c>
      <c r="I29" s="69"/>
      <c r="J29" s="80"/>
      <c r="K29" s="81"/>
      <c r="L29" s="82"/>
      <c r="M29" s="83"/>
      <c r="N29" s="84"/>
      <c r="O29" s="79"/>
      <c r="P29" s="82"/>
      <c r="Q29" s="79"/>
      <c r="R29" s="76"/>
      <c r="S29" s="79"/>
      <c r="T29" s="79"/>
      <c r="U29" s="86"/>
      <c r="V29" s="86"/>
      <c r="W29" s="86"/>
      <c r="X29" s="86"/>
    </row>
    <row r="30" spans="2:24" ht="25.5" customHeight="1" thickBot="1" x14ac:dyDescent="0.25">
      <c r="B30" s="15" t="str">
        <f>IF('3. Rate Classes'!Q28=1,'3. Rate Classes'!C28, 0)</f>
        <v>Unmetered Scattered Load</v>
      </c>
      <c r="C30" s="8"/>
      <c r="D30" s="16" t="str">
        <f>IF(ISERROR(VLOOKUP($B30, '3. Rate Classes'!$C$24:$H$45,6,0)), "", VLOOKUP($B30, '3. Rate Classes'!$C$24:$H$45,6,0))</f>
        <v>kWh</v>
      </c>
      <c r="F30" s="70">
        <f>VLOOKUP($B30, '11. Adj Network to Forecast WS'!$B$25:$R$48,17,0)</f>
        <v>4.5605331491348714E-3</v>
      </c>
      <c r="G30" s="57"/>
      <c r="H30" s="70">
        <f>VLOOKUP($B30, '12. Adj Conn. to Forecast WS'!$B$25:$R$48,17,0)</f>
        <v>3.720709828761307E-3</v>
      </c>
      <c r="I30" s="69"/>
      <c r="J30" s="80"/>
      <c r="K30" s="81"/>
      <c r="L30" s="82"/>
      <c r="M30" s="83"/>
      <c r="N30" s="84"/>
      <c r="O30" s="79"/>
      <c r="P30" s="82"/>
      <c r="Q30" s="79"/>
      <c r="R30" s="76"/>
      <c r="S30" s="79"/>
      <c r="T30" s="79"/>
      <c r="U30" s="86"/>
      <c r="V30" s="86"/>
      <c r="W30" s="86"/>
      <c r="X30" s="86"/>
    </row>
    <row r="31" spans="2:24" ht="25.5" customHeight="1" thickBot="1" x14ac:dyDescent="0.25">
      <c r="B31" s="15" t="str">
        <f>IF('3. Rate Classes'!Q29=1,'3. Rate Classes'!C29, 0)</f>
        <v>Sentinel Lighting</v>
      </c>
      <c r="C31" s="8"/>
      <c r="D31" s="16" t="str">
        <f>IF(ISERROR(VLOOKUP($B31, '3. Rate Classes'!$C$24:$H$45,6,0)), "", VLOOKUP($B31, '3. Rate Classes'!$C$24:$H$45,6,0))</f>
        <v>kW</v>
      </c>
      <c r="F31" s="70">
        <f>VLOOKUP($B31, '11. Adj Network to Forecast WS'!$B$25:$R$48,17,0)</f>
        <v>1.418034711520362</v>
      </c>
      <c r="G31" s="57"/>
      <c r="H31" s="70">
        <f>VLOOKUP($B31, '12. Adj Conn. to Forecast WS'!$B$25:$R$48,17,0)</f>
        <v>1.66354894712249</v>
      </c>
      <c r="I31" s="69"/>
      <c r="J31" s="80"/>
      <c r="K31" s="81"/>
      <c r="L31" s="82"/>
      <c r="M31" s="83"/>
      <c r="N31" s="84"/>
      <c r="O31" s="79"/>
      <c r="P31" s="82"/>
      <c r="Q31" s="79"/>
      <c r="R31" s="76"/>
      <c r="S31" s="79"/>
      <c r="T31" s="79"/>
      <c r="U31" s="86"/>
      <c r="V31" s="86"/>
      <c r="W31" s="86"/>
      <c r="X31" s="86"/>
    </row>
    <row r="32" spans="2:24" ht="25.5" customHeight="1" thickBot="1" x14ac:dyDescent="0.25">
      <c r="B32" s="15" t="str">
        <f>IF('3. Rate Classes'!Q30=1,'3. Rate Classes'!C30, 0)</f>
        <v>Street Lighting</v>
      </c>
      <c r="C32" s="8"/>
      <c r="D32" s="16" t="str">
        <f>IF(ISERROR(VLOOKUP($B32, '3. Rate Classes'!$C$24:$H$45,6,0)), "", VLOOKUP($B32, '3. Rate Classes'!$C$24:$H$45,6,0))</f>
        <v>kW</v>
      </c>
      <c r="F32" s="70">
        <f>VLOOKUP($B32, '11. Adj Network to Forecast WS'!$B$25:$R$48,17,0)</f>
        <v>1.4108542976259792</v>
      </c>
      <c r="G32" s="57"/>
      <c r="H32" s="70">
        <f>VLOOKUP($B32, '12. Adj Conn. to Forecast WS'!$B$25:$R$48,17,0)</f>
        <v>1.1219898402046267</v>
      </c>
      <c r="I32" s="69"/>
      <c r="J32" s="80"/>
      <c r="K32" s="81"/>
      <c r="L32" s="82"/>
      <c r="M32" s="83"/>
      <c r="N32" s="84"/>
      <c r="O32" s="79"/>
      <c r="P32" s="82"/>
      <c r="Q32" s="79"/>
      <c r="R32" s="76"/>
      <c r="S32" s="79"/>
      <c r="T32" s="79"/>
      <c r="U32" s="86"/>
      <c r="V32" s="86"/>
      <c r="W32" s="86"/>
      <c r="X32" s="86"/>
    </row>
    <row r="33" spans="2:24" ht="25.5" hidden="1" customHeight="1" thickBot="1" x14ac:dyDescent="0.25">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25">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25">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25">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25">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25">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25">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25">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25">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25">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25">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25">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25">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25">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25">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x14ac:dyDescent="0.25">
      <c r="F48" s="70"/>
      <c r="G48" s="37"/>
      <c r="H48" s="86"/>
      <c r="I48" s="86"/>
      <c r="J48" s="79"/>
      <c r="K48" s="79"/>
      <c r="L48" s="79"/>
      <c r="M48" s="79"/>
      <c r="N48" s="79"/>
      <c r="O48" s="79"/>
      <c r="P48" s="79"/>
      <c r="Q48" s="79"/>
      <c r="R48" s="76"/>
      <c r="S48" s="79"/>
      <c r="T48" s="79"/>
      <c r="U48" s="86"/>
      <c r="V48" s="86"/>
      <c r="W48" s="86"/>
      <c r="X48" s="86"/>
    </row>
    <row r="49" spans="6:24" ht="13.5" thickBot="1" x14ac:dyDescent="0.25">
      <c r="F49" s="70"/>
      <c r="G49" s="37"/>
      <c r="H49" s="86"/>
      <c r="I49" s="86"/>
      <c r="J49" s="79"/>
      <c r="K49" s="79"/>
      <c r="L49" s="79"/>
      <c r="M49" s="79"/>
      <c r="N49" s="79"/>
      <c r="O49" s="79"/>
      <c r="P49" s="79"/>
      <c r="Q49" s="79"/>
      <c r="R49" s="76"/>
      <c r="S49" s="79"/>
      <c r="T49" s="79"/>
      <c r="U49" s="86"/>
      <c r="V49" s="86"/>
      <c r="W49" s="86"/>
      <c r="X49" s="86"/>
    </row>
    <row r="50" spans="6:24" ht="13.5" thickBot="1" x14ac:dyDescent="0.25">
      <c r="F50" s="70"/>
      <c r="G50" s="37"/>
      <c r="H50" s="86"/>
      <c r="I50" s="86"/>
      <c r="J50" s="79"/>
      <c r="K50" s="79"/>
      <c r="L50" s="82"/>
      <c r="M50" s="79"/>
      <c r="N50" s="79"/>
      <c r="O50" s="79"/>
      <c r="P50" s="79"/>
      <c r="Q50" s="79"/>
      <c r="R50" s="76"/>
      <c r="S50" s="79"/>
      <c r="T50" s="79"/>
      <c r="U50" s="86"/>
      <c r="V50" s="86"/>
      <c r="W50" s="86"/>
      <c r="X50" s="86"/>
    </row>
    <row r="51" spans="6:24" ht="13.5" thickBot="1" x14ac:dyDescent="0.25">
      <c r="F51" s="70"/>
      <c r="G51" s="37"/>
      <c r="H51" s="86"/>
      <c r="I51" s="86"/>
      <c r="J51" s="79"/>
      <c r="K51" s="79"/>
      <c r="L51" s="79"/>
      <c r="M51" s="79"/>
      <c r="N51" s="79"/>
      <c r="O51" s="79"/>
      <c r="P51" s="79"/>
      <c r="Q51" s="79"/>
      <c r="R51" s="76"/>
      <c r="S51" s="79"/>
      <c r="T51" s="79"/>
      <c r="U51" s="86"/>
      <c r="V51" s="86"/>
      <c r="W51" s="86"/>
      <c r="X51" s="86"/>
    </row>
    <row r="52" spans="6:24" ht="13.5" thickBot="1" x14ac:dyDescent="0.25">
      <c r="F52" s="70"/>
      <c r="G52" s="37"/>
      <c r="H52" s="86"/>
      <c r="I52" s="86"/>
      <c r="J52" s="79"/>
      <c r="K52" s="79"/>
      <c r="L52" s="79"/>
      <c r="M52" s="79"/>
      <c r="N52" s="79"/>
      <c r="O52" s="79"/>
      <c r="P52" s="79"/>
      <c r="Q52" s="79"/>
      <c r="R52" s="76"/>
      <c r="S52" s="79"/>
      <c r="T52" s="79"/>
      <c r="U52" s="86"/>
      <c r="V52" s="86"/>
      <c r="W52" s="86"/>
      <c r="X52" s="86"/>
    </row>
    <row r="53" spans="6:24" ht="13.5" thickBot="1" x14ac:dyDescent="0.25">
      <c r="F53" s="70"/>
      <c r="G53" s="37"/>
      <c r="H53" s="86"/>
      <c r="I53" s="86"/>
      <c r="J53" s="79"/>
      <c r="K53" s="79"/>
      <c r="L53" s="79"/>
      <c r="M53" s="79"/>
      <c r="N53" s="79"/>
      <c r="O53" s="79"/>
      <c r="P53" s="79"/>
      <c r="Q53" s="79"/>
      <c r="R53" s="76"/>
      <c r="S53" s="79"/>
      <c r="T53" s="79"/>
      <c r="U53" s="86"/>
      <c r="V53" s="86"/>
      <c r="W53" s="86"/>
      <c r="X53" s="86"/>
    </row>
    <row r="54" spans="6:24" ht="13.5" thickBot="1" x14ac:dyDescent="0.25">
      <c r="F54" s="67"/>
      <c r="H54" s="86"/>
      <c r="I54" s="86"/>
      <c r="J54" s="79"/>
      <c r="K54" s="79"/>
      <c r="L54" s="79"/>
      <c r="M54" s="79"/>
      <c r="N54" s="79"/>
      <c r="O54" s="79"/>
      <c r="P54" s="79"/>
      <c r="Q54" s="79"/>
      <c r="R54" s="76"/>
      <c r="S54" s="79"/>
      <c r="T54" s="79"/>
      <c r="U54" s="86"/>
      <c r="V54" s="86"/>
      <c r="W54" s="86"/>
      <c r="X54" s="86"/>
    </row>
    <row r="55" spans="6:24" ht="13.5" thickBot="1" x14ac:dyDescent="0.25">
      <c r="F55" s="67"/>
      <c r="H55" s="86"/>
      <c r="I55" s="86"/>
      <c r="J55" s="79"/>
      <c r="K55" s="79"/>
      <c r="L55" s="79"/>
      <c r="M55" s="79"/>
      <c r="N55" s="79"/>
      <c r="O55" s="79"/>
      <c r="P55" s="79"/>
      <c r="Q55" s="79"/>
      <c r="R55" s="79"/>
      <c r="S55" s="79"/>
      <c r="T55" s="79"/>
      <c r="U55" s="86"/>
      <c r="V55" s="86"/>
      <c r="W55" s="86"/>
      <c r="X55" s="86"/>
    </row>
    <row r="56" spans="6:24" ht="13.5" thickBot="1" x14ac:dyDescent="0.25">
      <c r="F56" s="56"/>
      <c r="H56" s="86"/>
      <c r="I56" s="86"/>
      <c r="J56" s="79"/>
      <c r="K56" s="79"/>
      <c r="L56" s="79"/>
      <c r="M56" s="79"/>
      <c r="N56" s="79"/>
      <c r="O56" s="79"/>
      <c r="P56" s="79"/>
      <c r="Q56" s="79"/>
      <c r="R56" s="79"/>
      <c r="S56" s="79"/>
      <c r="T56" s="79"/>
      <c r="U56" s="86"/>
      <c r="V56" s="86"/>
      <c r="W56" s="86"/>
      <c r="X56" s="86"/>
    </row>
    <row r="57" spans="6:24" ht="13.5" thickBot="1" x14ac:dyDescent="0.25">
      <c r="F57" s="56"/>
      <c r="H57" s="86"/>
      <c r="I57" s="86"/>
      <c r="J57" s="79"/>
      <c r="K57" s="79"/>
      <c r="L57" s="79"/>
      <c r="M57" s="79"/>
      <c r="N57" s="79"/>
      <c r="O57" s="79"/>
      <c r="P57" s="79"/>
      <c r="Q57" s="79"/>
      <c r="R57" s="79"/>
      <c r="S57" s="79"/>
      <c r="T57" s="79"/>
      <c r="U57" s="86"/>
      <c r="V57" s="86"/>
      <c r="W57" s="86"/>
      <c r="X57" s="86"/>
    </row>
    <row r="58" spans="6:24" x14ac:dyDescent="0.2">
      <c r="H58" s="86"/>
      <c r="I58" s="86"/>
      <c r="J58" s="79"/>
      <c r="K58" s="79"/>
      <c r="L58" s="79"/>
      <c r="M58" s="79"/>
      <c r="N58" s="79"/>
      <c r="O58" s="79"/>
      <c r="P58" s="79"/>
      <c r="Q58" s="79"/>
      <c r="R58" s="79"/>
      <c r="S58" s="79"/>
      <c r="T58" s="79"/>
      <c r="U58" s="86"/>
      <c r="V58" s="86"/>
      <c r="W58" s="86"/>
      <c r="X58" s="86"/>
    </row>
    <row r="59" spans="6:24" x14ac:dyDescent="0.2">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rintOptions horizontalCentered="1"/>
  <pageMargins left="0.35433070866141736" right="0.35433070866141736" top="0.39370078740157483" bottom="0.39370078740157483" header="0.51181102362204722" footer="0.51181102362204722"/>
  <pageSetup scale="91" fitToHeight="21"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General Service 50 to 4,999 kW – Interval Metered</v>
      </c>
      <c r="B4" s="4">
        <v>4</v>
      </c>
    </row>
    <row r="5" spans="1:4" x14ac:dyDescent="0.2">
      <c r="A5" s="4" t="str">
        <f>IF('3. Rate Classes'!Q28=1, '3. Rate Classes'!C28, "")</f>
        <v>Unmetered Scattered Load</v>
      </c>
      <c r="B5" s="4">
        <v>5</v>
      </c>
    </row>
    <row r="6" spans="1:4" x14ac:dyDescent="0.2">
      <c r="A6" s="4" t="str">
        <f>IF('3. Rate Classes'!Q29=1, '3. Rate Classes'!C29, "")</f>
        <v>Sentinel Lighting</v>
      </c>
      <c r="B6" s="4">
        <v>6</v>
      </c>
    </row>
    <row r="7" spans="1:4" x14ac:dyDescent="0.2">
      <c r="A7" s="4" t="str">
        <f>IF('3. Rate Classes'!Q30=1, '3. Rate Classes'!C30, "")</f>
        <v>Street Lighting</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election activeCell="O16" sqref="O16"/>
    </sheetView>
  </sheetViews>
  <sheetFormatPr defaultRowHeight="12.75" x14ac:dyDescent="0.2"/>
  <sheetData>
    <row r="14" ht="3" customHeight="1" x14ac:dyDescent="0.2"/>
    <row r="15" ht="3" customHeight="1" x14ac:dyDescent="0.2"/>
    <row r="16" ht="3" customHeight="1" x14ac:dyDescent="0.2"/>
    <row r="17" spans="3:13" s="75" customFormat="1" ht="3" customHeight="1" x14ac:dyDescent="0.2"/>
    <row r="18" spans="3:13" s="75" customFormat="1" ht="3" customHeight="1" x14ac:dyDescent="0.2">
      <c r="C18" s="8"/>
      <c r="D18" s="8"/>
      <c r="E18" s="8"/>
      <c r="F18" s="8"/>
      <c r="G18" s="8"/>
      <c r="H18" s="8"/>
      <c r="I18" s="8"/>
      <c r="J18" s="8"/>
      <c r="K18" s="8"/>
      <c r="L18" s="8"/>
      <c r="M18" s="8"/>
    </row>
    <row r="19" spans="3:13" s="75" customFormat="1" x14ac:dyDescent="0.2">
      <c r="C19" s="8"/>
      <c r="D19" s="8"/>
      <c r="E19" s="8"/>
      <c r="F19" s="8"/>
      <c r="G19" s="8"/>
      <c r="H19" s="8"/>
      <c r="I19" s="8"/>
      <c r="J19" s="8"/>
      <c r="K19" s="8"/>
      <c r="L19" s="8"/>
      <c r="M19" s="8"/>
    </row>
    <row r="20" spans="3:13" s="75" customFormat="1" ht="15.75" x14ac:dyDescent="0.25">
      <c r="C20" s="8"/>
      <c r="D20" s="155" t="s">
        <v>141</v>
      </c>
      <c r="E20" s="8"/>
      <c r="F20" s="8"/>
      <c r="G20" s="8"/>
      <c r="H20" s="8"/>
      <c r="I20" s="155" t="s">
        <v>147</v>
      </c>
      <c r="J20" s="8"/>
      <c r="K20" s="8"/>
      <c r="L20" s="8"/>
      <c r="M20" s="8"/>
    </row>
    <row r="21" spans="3:13" s="75" customFormat="1" ht="15.75" x14ac:dyDescent="0.25">
      <c r="C21" s="8"/>
      <c r="D21" s="141"/>
      <c r="E21" s="8"/>
      <c r="F21" s="8"/>
      <c r="G21" s="8"/>
      <c r="H21" s="8"/>
      <c r="I21" s="141"/>
      <c r="J21" s="8"/>
      <c r="K21" s="8"/>
      <c r="L21" s="8"/>
      <c r="M21" s="8"/>
    </row>
    <row r="22" spans="3:13" s="75" customFormat="1" ht="15.75" x14ac:dyDescent="0.25">
      <c r="C22" s="8"/>
      <c r="D22" s="155" t="s">
        <v>142</v>
      </c>
      <c r="E22" s="8"/>
      <c r="F22" s="8"/>
      <c r="G22" s="8"/>
      <c r="H22" s="8"/>
      <c r="I22" s="155" t="s">
        <v>148</v>
      </c>
      <c r="J22" s="8"/>
      <c r="K22" s="8"/>
      <c r="L22" s="8"/>
      <c r="M22" s="8"/>
    </row>
    <row r="23" spans="3:13" s="75" customFormat="1" ht="15.75" x14ac:dyDescent="0.25">
      <c r="C23" s="8"/>
      <c r="D23" s="141"/>
      <c r="E23" s="8"/>
      <c r="F23" s="8"/>
      <c r="G23" s="8"/>
      <c r="H23" s="8"/>
      <c r="I23" s="141"/>
      <c r="J23" s="8"/>
      <c r="K23" s="8"/>
      <c r="L23" s="8"/>
      <c r="M23" s="8"/>
    </row>
    <row r="24" spans="3:13" s="75" customFormat="1" ht="15.75" x14ac:dyDescent="0.25">
      <c r="C24" s="8"/>
      <c r="D24" s="155" t="s">
        <v>143</v>
      </c>
      <c r="E24" s="8"/>
      <c r="F24" s="8"/>
      <c r="G24" s="8"/>
      <c r="H24" s="8"/>
      <c r="I24" s="155" t="s">
        <v>149</v>
      </c>
      <c r="J24" s="8"/>
      <c r="K24" s="8"/>
      <c r="L24" s="8"/>
      <c r="M24" s="8"/>
    </row>
    <row r="25" spans="3:13" s="75" customFormat="1" ht="15.75" x14ac:dyDescent="0.25">
      <c r="C25" s="8"/>
      <c r="D25" s="141"/>
      <c r="E25" s="8"/>
      <c r="F25" s="8"/>
      <c r="G25" s="8"/>
      <c r="H25" s="8"/>
      <c r="I25" s="141"/>
      <c r="J25" s="8"/>
      <c r="K25" s="8"/>
      <c r="L25" s="8"/>
      <c r="M25" s="8"/>
    </row>
    <row r="26" spans="3:13" s="75" customFormat="1" ht="15.75" x14ac:dyDescent="0.25">
      <c r="C26" s="8"/>
      <c r="D26" s="155" t="s">
        <v>144</v>
      </c>
      <c r="E26" s="8"/>
      <c r="F26" s="8"/>
      <c r="G26" s="8"/>
      <c r="H26" s="8"/>
      <c r="I26" s="155" t="s">
        <v>150</v>
      </c>
      <c r="J26" s="8"/>
      <c r="K26" s="8"/>
      <c r="L26" s="8"/>
      <c r="M26" s="8"/>
    </row>
    <row r="27" spans="3:13" s="75" customFormat="1" ht="15.75" x14ac:dyDescent="0.25">
      <c r="C27" s="8"/>
      <c r="D27" s="141"/>
      <c r="E27" s="8"/>
      <c r="F27" s="8"/>
      <c r="G27" s="8"/>
      <c r="H27" s="8"/>
      <c r="I27" s="141"/>
      <c r="J27" s="8"/>
      <c r="K27" s="8"/>
      <c r="L27" s="8"/>
      <c r="M27" s="8"/>
    </row>
    <row r="28" spans="3:13" s="75" customFormat="1" ht="15.75" x14ac:dyDescent="0.25">
      <c r="C28" s="8"/>
      <c r="D28" s="155" t="s">
        <v>145</v>
      </c>
      <c r="E28" s="8"/>
      <c r="F28" s="8"/>
      <c r="G28" s="8"/>
      <c r="H28" s="8"/>
      <c r="I28" s="155" t="s">
        <v>151</v>
      </c>
      <c r="J28" s="8"/>
      <c r="K28" s="8"/>
      <c r="L28" s="8"/>
      <c r="M28" s="8"/>
    </row>
    <row r="29" spans="3:13" s="75" customFormat="1" ht="15.75" x14ac:dyDescent="0.25">
      <c r="C29" s="8"/>
      <c r="D29" s="141"/>
      <c r="E29" s="8"/>
      <c r="F29" s="8"/>
      <c r="G29" s="8"/>
      <c r="H29" s="8"/>
      <c r="I29" s="141"/>
      <c r="J29" s="8"/>
      <c r="K29" s="8"/>
      <c r="L29" s="8"/>
      <c r="M29" s="8"/>
    </row>
    <row r="30" spans="3:13" s="75" customFormat="1" ht="15.75" x14ac:dyDescent="0.25">
      <c r="C30" s="8"/>
      <c r="D30" s="155" t="s">
        <v>146</v>
      </c>
      <c r="E30" s="8"/>
      <c r="F30" s="8"/>
      <c r="G30" s="8"/>
      <c r="H30" s="8"/>
      <c r="I30" s="155" t="s">
        <v>152</v>
      </c>
      <c r="J30" s="8"/>
      <c r="K30" s="8"/>
      <c r="L30" s="8"/>
      <c r="M30" s="8"/>
    </row>
    <row r="31" spans="3:13" s="75" customFormat="1" x14ac:dyDescent="0.2">
      <c r="C31" s="8"/>
      <c r="D31" s="8"/>
      <c r="E31" s="8"/>
      <c r="F31" s="8"/>
      <c r="G31" s="8"/>
      <c r="H31" s="8"/>
      <c r="I31" s="8"/>
      <c r="J31" s="8"/>
      <c r="K31" s="8"/>
      <c r="L31" s="8"/>
      <c r="M31" s="8"/>
    </row>
    <row r="32" spans="3:13" s="75" customFormat="1" ht="15.75" x14ac:dyDescent="0.25">
      <c r="C32" s="8"/>
      <c r="D32" s="8"/>
      <c r="E32" s="8"/>
      <c r="F32" s="8"/>
      <c r="G32" s="8"/>
      <c r="H32" s="8"/>
      <c r="I32" s="155" t="s">
        <v>250</v>
      </c>
      <c r="J32" s="8"/>
      <c r="K32" s="8"/>
      <c r="L32" s="8"/>
      <c r="M32" s="8"/>
    </row>
    <row r="33" spans="3:13" s="75" customFormat="1" x14ac:dyDescent="0.2">
      <c r="C33" s="8"/>
      <c r="D33" s="8"/>
      <c r="E33" s="8"/>
      <c r="F33" s="8"/>
      <c r="G33" s="8"/>
      <c r="H33" s="8"/>
      <c r="I33" s="8"/>
      <c r="J33" s="8"/>
      <c r="K33" s="8"/>
      <c r="L33" s="8"/>
      <c r="M33" s="8"/>
    </row>
    <row r="34" spans="3:13" s="75" customFormat="1" x14ac:dyDescent="0.2">
      <c r="C34" s="8"/>
      <c r="D34" s="8"/>
      <c r="E34" s="8"/>
      <c r="F34" s="8"/>
      <c r="G34" s="8"/>
      <c r="H34" s="8"/>
      <c r="I34" s="8"/>
      <c r="J34" s="8"/>
      <c r="K34" s="8"/>
      <c r="L34" s="8"/>
      <c r="M34" s="8"/>
    </row>
    <row r="35" spans="3:13" s="75" customFormat="1" x14ac:dyDescent="0.2">
      <c r="C35" s="8"/>
      <c r="D35" s="8"/>
      <c r="E35" s="8"/>
      <c r="F35" s="8"/>
      <c r="G35" s="8"/>
      <c r="H35" s="8"/>
      <c r="I35" s="8"/>
      <c r="J35" s="8"/>
      <c r="K35" s="8"/>
      <c r="L35" s="8"/>
      <c r="M35" s="8"/>
    </row>
    <row r="36" spans="3:13" s="75" customFormat="1" x14ac:dyDescent="0.2"/>
    <row r="37" spans="3:13" s="75" customFormat="1" x14ac:dyDescent="0.2"/>
    <row r="38" spans="3:13" s="75" customFormat="1" x14ac:dyDescent="0.2"/>
    <row r="39" spans="3:13" s="75" customFormat="1" x14ac:dyDescent="0.2"/>
    <row r="40" spans="3:13" s="75" customFormat="1" x14ac:dyDescent="0.2"/>
    <row r="41" spans="3:13" s="75" customFormat="1" x14ac:dyDescent="0.2"/>
    <row r="42" spans="3:13" s="75" customFormat="1" x14ac:dyDescent="0.2"/>
    <row r="43" spans="3:13" s="75" customFormat="1" x14ac:dyDescent="0.2"/>
    <row r="44" spans="3:13" s="75" customFormat="1" x14ac:dyDescent="0.2"/>
    <row r="45" spans="3:13" s="75" customFormat="1" x14ac:dyDescent="0.2"/>
    <row r="46" spans="3:13" s="75" customFormat="1" x14ac:dyDescent="0.2"/>
    <row r="47" spans="3:13" s="75" customFormat="1" x14ac:dyDescent="0.2"/>
    <row r="48" spans="3:13" s="75" customFormat="1" x14ac:dyDescent="0.2"/>
    <row r="49" s="75" customFormat="1" x14ac:dyDescent="0.2"/>
    <row r="50" s="75" customFormat="1" x14ac:dyDescent="0.2"/>
    <row r="51" s="75" customFormat="1" x14ac:dyDescent="0.2"/>
    <row r="52" s="75" customFormat="1" x14ac:dyDescent="0.2"/>
    <row r="53" s="75" customFormat="1" x14ac:dyDescent="0.2"/>
    <row r="54" s="75" customFormat="1" x14ac:dyDescent="0.2"/>
    <row r="55" s="75" customFormat="1" x14ac:dyDescent="0.2"/>
    <row r="56" s="75" customFormat="1" x14ac:dyDescent="0.2"/>
    <row r="57" s="75" customFormat="1" x14ac:dyDescent="0.2"/>
    <row r="58" s="75" customFormat="1" x14ac:dyDescent="0.2"/>
    <row r="59" s="75" customFormat="1" x14ac:dyDescent="0.2"/>
    <row r="60" s="75" customFormat="1" x14ac:dyDescent="0.2"/>
    <row r="61" s="75" customFormat="1" x14ac:dyDescent="0.2"/>
    <row r="62" s="75" customFormat="1" x14ac:dyDescent="0.2"/>
    <row r="63" s="75" customFormat="1" x14ac:dyDescent="0.2"/>
    <row r="64" s="75" customFormat="1" x14ac:dyDescent="0.2"/>
    <row r="65" s="75" customFormat="1" x14ac:dyDescent="0.2"/>
    <row r="66" s="75" customFormat="1" x14ac:dyDescent="0.2"/>
    <row r="67" s="75" customFormat="1" x14ac:dyDescent="0.2"/>
    <row r="68" s="75" customFormat="1" x14ac:dyDescent="0.2"/>
    <row r="69" s="75" customFormat="1" x14ac:dyDescent="0.2"/>
    <row r="70" s="75" customFormat="1" x14ac:dyDescent="0.2"/>
    <row r="71" s="75" customFormat="1" x14ac:dyDescent="0.2"/>
    <row r="72" s="75" customFormat="1" x14ac:dyDescent="0.2"/>
    <row r="73" s="75" customFormat="1" x14ac:dyDescent="0.2"/>
    <row r="74" s="75" customFormat="1" x14ac:dyDescent="0.2"/>
    <row r="75" s="75" customFormat="1" x14ac:dyDescent="0.2"/>
    <row r="76" s="75" customFormat="1" x14ac:dyDescent="0.2"/>
    <row r="77" s="75" customFormat="1" x14ac:dyDescent="0.2"/>
    <row r="78" s="75" customFormat="1" x14ac:dyDescent="0.2"/>
    <row r="79" s="75" customFormat="1" x14ac:dyDescent="0.2"/>
    <row r="80" s="75" customFormat="1" x14ac:dyDescent="0.2"/>
    <row r="81" s="75" customFormat="1" x14ac:dyDescent="0.2"/>
    <row r="82" s="75" customFormat="1" x14ac:dyDescent="0.2"/>
    <row r="83" s="75" customFormat="1" x14ac:dyDescent="0.2"/>
    <row r="84" s="75" customFormat="1" x14ac:dyDescent="0.2"/>
    <row r="85" s="75" customFormat="1" x14ac:dyDescent="0.2"/>
    <row r="86" s="75" customFormat="1" x14ac:dyDescent="0.2"/>
    <row r="87" s="75" customFormat="1" x14ac:dyDescent="0.2"/>
    <row r="88" s="75" customFormat="1" x14ac:dyDescent="0.2"/>
    <row r="89" s="75" customFormat="1" x14ac:dyDescent="0.2"/>
    <row r="90" s="75" customFormat="1" x14ac:dyDescent="0.2"/>
    <row r="91" s="75" customFormat="1" x14ac:dyDescent="0.2"/>
    <row r="92" s="75" customFormat="1" x14ac:dyDescent="0.2"/>
    <row r="93" s="75" customFormat="1" x14ac:dyDescent="0.2"/>
    <row r="94" s="75" customFormat="1" x14ac:dyDescent="0.2"/>
    <row r="95" s="75" customFormat="1" x14ac:dyDescent="0.2"/>
    <row r="96" s="75" customFormat="1" x14ac:dyDescent="0.2"/>
    <row r="97" spans="3:3" s="75" customFormat="1" x14ac:dyDescent="0.2"/>
    <row r="98" spans="3:3" s="75" customFormat="1" x14ac:dyDescent="0.2"/>
    <row r="99" spans="3:3" s="75" customFormat="1" x14ac:dyDescent="0.2"/>
    <row r="100" spans="3:3" s="75" customFormat="1" x14ac:dyDescent="0.2"/>
    <row r="101" spans="3:3" s="75" customFormat="1" x14ac:dyDescent="0.2"/>
    <row r="102" spans="3:3" s="75" customFormat="1" x14ac:dyDescent="0.2"/>
    <row r="103" spans="3:3" s="75" customFormat="1" x14ac:dyDescent="0.2"/>
    <row r="104" spans="3:3" s="75" customFormat="1" x14ac:dyDescent="0.2"/>
    <row r="105" spans="3:3" s="75" customFormat="1" x14ac:dyDescent="0.2"/>
    <row r="106" spans="3:3" s="75" customFormat="1" x14ac:dyDescent="0.2"/>
    <row r="107" spans="3:3" s="75" customFormat="1" x14ac:dyDescent="0.2"/>
    <row r="108" spans="3:3" s="75" customFormat="1" x14ac:dyDescent="0.2"/>
    <row r="109" spans="3:3" s="75" customFormat="1" x14ac:dyDescent="0.2"/>
    <row r="110" spans="3:3" s="75" customFormat="1" x14ac:dyDescent="0.2"/>
    <row r="111" spans="3:3" s="75" customFormat="1" x14ac:dyDescent="0.2"/>
    <row r="112" spans="3:3" x14ac:dyDescent="0.2">
      <c r="C112" s="75"/>
    </row>
    <row r="113" spans="3:3" x14ac:dyDescent="0.2">
      <c r="C113" s="75"/>
    </row>
    <row r="114" spans="3:3" x14ac:dyDescent="0.2">
      <c r="C114" s="75"/>
    </row>
    <row r="115" spans="3:3" x14ac:dyDescent="0.2">
      <c r="C115" s="75"/>
    </row>
    <row r="116" spans="3:3" x14ac:dyDescent="0.2">
      <c r="C116" s="75"/>
    </row>
    <row r="117" spans="3:3" x14ac:dyDescent="0.2">
      <c r="C117" s="75"/>
    </row>
    <row r="118" spans="3:3" x14ac:dyDescent="0.2">
      <c r="C118" s="75"/>
    </row>
    <row r="119" spans="3:3" x14ac:dyDescent="0.2">
      <c r="C119" s="75"/>
    </row>
    <row r="120" spans="3:3" x14ac:dyDescent="0.2">
      <c r="C120" s="75"/>
    </row>
    <row r="121" spans="3:3" x14ac:dyDescent="0.2">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rintOptions horizontalCentered="1"/>
  <pageMargins left="0.35433070866141736" right="0.35433070866141736" top="0.39370078740157483" bottom="0.39370078740157483" header="0.51181102362204722" footer="0.51181102362204722"/>
  <pageSetup scale="91" fitToHeight="21"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C1" zoomScaleNormal="100" workbookViewId="0">
      <pane ySplit="22" topLeftCell="A23" activePane="bottomLeft" state="frozenSplit"/>
      <selection activeCell="O16" sqref="O16"/>
      <selection pane="bottomLeft" activeCell="O16" sqref="O16"/>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71" t="s">
        <v>246</v>
      </c>
      <c r="D13" s="171"/>
      <c r="E13" s="171"/>
      <c r="F13" s="171"/>
      <c r="G13" s="171"/>
      <c r="H13" s="171"/>
      <c r="I13" s="171"/>
      <c r="J13" s="171"/>
      <c r="K13" s="171"/>
      <c r="L13" s="171"/>
      <c r="M13" s="171"/>
      <c r="N13" s="171"/>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1" t="s">
        <v>209</v>
      </c>
      <c r="D22" s="141"/>
      <c r="E22" s="141"/>
      <c r="F22" s="141"/>
      <c r="G22" s="141"/>
      <c r="H22" s="141" t="s">
        <v>210</v>
      </c>
      <c r="I22" s="141"/>
      <c r="J22" s="141" t="s">
        <v>247</v>
      </c>
      <c r="K22" s="141"/>
      <c r="L22" s="141"/>
      <c r="M22" s="141" t="s">
        <v>248</v>
      </c>
    </row>
    <row r="24" spans="3:28" x14ac:dyDescent="0.2">
      <c r="C24" s="170" t="s">
        <v>29</v>
      </c>
      <c r="D24" s="170"/>
      <c r="E24" s="170"/>
      <c r="F24" s="170"/>
      <c r="G24" s="10"/>
      <c r="H24" s="3" t="s">
        <v>255</v>
      </c>
      <c r="I24" s="14"/>
      <c r="J24" s="169">
        <v>5.1999999999999998E-3</v>
      </c>
      <c r="K24" s="169"/>
      <c r="L24" s="7"/>
      <c r="M24" s="169">
        <v>4.1000000000000003E-3</v>
      </c>
      <c r="N24" s="169"/>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70" t="s">
        <v>31</v>
      </c>
      <c r="D25" s="170"/>
      <c r="E25" s="170"/>
      <c r="F25" s="170"/>
      <c r="G25" s="10"/>
      <c r="H25" s="153" t="s">
        <v>255</v>
      </c>
      <c r="I25" s="6"/>
      <c r="J25" s="168">
        <v>4.7000000000000002E-3</v>
      </c>
      <c r="K25" s="168"/>
      <c r="L25" s="8"/>
      <c r="M25" s="168">
        <v>3.8E-3</v>
      </c>
      <c r="N25" s="168"/>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70" t="s">
        <v>70</v>
      </c>
      <c r="D26" s="170"/>
      <c r="E26" s="170"/>
      <c r="F26" s="170"/>
      <c r="G26" s="10"/>
      <c r="H26" s="153" t="s">
        <v>113</v>
      </c>
      <c r="I26" s="6"/>
      <c r="J26" s="168">
        <v>1.9279999999999999</v>
      </c>
      <c r="K26" s="168"/>
      <c r="L26" s="8"/>
      <c r="M26" s="168">
        <v>1.4824999999999999</v>
      </c>
      <c r="N26" s="168"/>
      <c r="Q26">
        <f t="shared" si="0"/>
        <v>1</v>
      </c>
      <c r="R26" t="str">
        <f t="shared" si="1"/>
        <v>C26</v>
      </c>
      <c r="S26" t="str">
        <f t="shared" si="2"/>
        <v/>
      </c>
      <c r="AB26" t="s">
        <v>33</v>
      </c>
    </row>
    <row r="27" spans="3:28" x14ac:dyDescent="0.2">
      <c r="C27" s="170" t="s">
        <v>71</v>
      </c>
      <c r="D27" s="170"/>
      <c r="E27" s="170"/>
      <c r="F27" s="170"/>
      <c r="G27" s="10"/>
      <c r="H27" s="153" t="s">
        <v>113</v>
      </c>
      <c r="I27" s="6"/>
      <c r="J27" s="168">
        <v>1.8673</v>
      </c>
      <c r="K27" s="168"/>
      <c r="L27" s="8"/>
      <c r="M27" s="168">
        <v>2.1738</v>
      </c>
      <c r="N27" s="168"/>
      <c r="Q27">
        <f t="shared" si="0"/>
        <v>1</v>
      </c>
      <c r="R27" t="str">
        <f t="shared" si="1"/>
        <v>C27</v>
      </c>
      <c r="S27" t="str">
        <f t="shared" si="2"/>
        <v/>
      </c>
      <c r="AB27" t="s">
        <v>35</v>
      </c>
    </row>
    <row r="28" spans="3:28" x14ac:dyDescent="0.2">
      <c r="C28" s="170" t="s">
        <v>38</v>
      </c>
      <c r="D28" s="170"/>
      <c r="E28" s="170"/>
      <c r="F28" s="170"/>
      <c r="G28" s="10"/>
      <c r="H28" s="153" t="s">
        <v>255</v>
      </c>
      <c r="I28" s="6"/>
      <c r="J28" s="168">
        <v>4.7000000000000002E-3</v>
      </c>
      <c r="K28" s="168"/>
      <c r="L28" s="8"/>
      <c r="M28" s="168">
        <v>3.8E-3</v>
      </c>
      <c r="N28" s="168"/>
      <c r="Q28">
        <f t="shared" si="0"/>
        <v>1</v>
      </c>
      <c r="R28" t="str">
        <f t="shared" si="1"/>
        <v>C28</v>
      </c>
      <c r="S28" t="str">
        <f t="shared" si="2"/>
        <v/>
      </c>
      <c r="AB28" t="s">
        <v>37</v>
      </c>
    </row>
    <row r="29" spans="3:28" x14ac:dyDescent="0.2">
      <c r="C29" s="170" t="s">
        <v>40</v>
      </c>
      <c r="D29" s="170"/>
      <c r="E29" s="170"/>
      <c r="F29" s="170"/>
      <c r="G29" s="10"/>
      <c r="H29" s="153" t="s">
        <v>113</v>
      </c>
      <c r="I29" s="6"/>
      <c r="J29" s="168">
        <v>1.4614</v>
      </c>
      <c r="K29" s="168"/>
      <c r="L29" s="8"/>
      <c r="M29" s="168">
        <v>1.6990000000000001</v>
      </c>
      <c r="N29" s="168"/>
      <c r="Q29">
        <f t="shared" si="0"/>
        <v>1</v>
      </c>
      <c r="R29" t="str">
        <f t="shared" si="1"/>
        <v>C29</v>
      </c>
      <c r="S29" t="str">
        <f t="shared" si="2"/>
        <v/>
      </c>
      <c r="AB29" t="s">
        <v>39</v>
      </c>
    </row>
    <row r="30" spans="3:28" x14ac:dyDescent="0.2">
      <c r="C30" s="170" t="s">
        <v>42</v>
      </c>
      <c r="D30" s="170"/>
      <c r="E30" s="170"/>
      <c r="F30" s="170"/>
      <c r="G30" s="10"/>
      <c r="H30" s="153" t="s">
        <v>113</v>
      </c>
      <c r="I30" s="6"/>
      <c r="J30" s="168">
        <v>1.454</v>
      </c>
      <c r="K30" s="168"/>
      <c r="L30" s="8"/>
      <c r="M30" s="168">
        <v>1.1458999999999999</v>
      </c>
      <c r="N30" s="168"/>
      <c r="Q30">
        <f t="shared" si="0"/>
        <v>1</v>
      </c>
      <c r="R30" t="str">
        <f t="shared" si="1"/>
        <v>C30</v>
      </c>
      <c r="S30" t="str">
        <f t="shared" si="2"/>
        <v/>
      </c>
      <c r="AB30" t="s">
        <v>41</v>
      </c>
    </row>
    <row r="31" spans="3:28" x14ac:dyDescent="0.2">
      <c r="C31" s="170" t="s">
        <v>30</v>
      </c>
      <c r="D31" s="170"/>
      <c r="E31" s="170"/>
      <c r="F31" s="170"/>
      <c r="G31" s="10"/>
      <c r="H31" s="153"/>
      <c r="I31" s="6"/>
      <c r="J31" s="168"/>
      <c r="K31" s="168"/>
      <c r="L31" s="8"/>
      <c r="M31" s="168"/>
      <c r="N31" s="168"/>
      <c r="Q31">
        <f t="shared" si="0"/>
        <v>0</v>
      </c>
      <c r="R31" t="str">
        <f t="shared" si="1"/>
        <v>C31</v>
      </c>
      <c r="S31" t="str">
        <f t="shared" si="2"/>
        <v/>
      </c>
      <c r="AB31" t="s">
        <v>43</v>
      </c>
    </row>
    <row r="32" spans="3:28" x14ac:dyDescent="0.2">
      <c r="C32" s="170" t="s">
        <v>30</v>
      </c>
      <c r="D32" s="170"/>
      <c r="E32" s="170"/>
      <c r="F32" s="170"/>
      <c r="G32" s="10"/>
      <c r="H32" s="153"/>
      <c r="I32" s="6"/>
      <c r="J32" s="168"/>
      <c r="K32" s="168"/>
      <c r="L32" s="8"/>
      <c r="M32" s="168"/>
      <c r="N32" s="168"/>
      <c r="Q32">
        <f t="shared" si="0"/>
        <v>0</v>
      </c>
      <c r="R32" t="str">
        <f t="shared" si="1"/>
        <v>C32</v>
      </c>
      <c r="S32" t="str">
        <f t="shared" si="2"/>
        <v/>
      </c>
      <c r="AB32" t="s">
        <v>44</v>
      </c>
    </row>
    <row r="33" spans="3:28" x14ac:dyDescent="0.2">
      <c r="C33" s="170" t="s">
        <v>30</v>
      </c>
      <c r="D33" s="170"/>
      <c r="E33" s="170"/>
      <c r="F33" s="170"/>
      <c r="G33" s="10"/>
      <c r="H33" s="154"/>
      <c r="I33" s="6"/>
      <c r="J33" s="168"/>
      <c r="K33" s="168"/>
      <c r="L33" s="8"/>
      <c r="M33" s="168"/>
      <c r="N33" s="168"/>
      <c r="Q33">
        <f t="shared" si="0"/>
        <v>0</v>
      </c>
      <c r="R33" t="str">
        <f t="shared" si="1"/>
        <v>C33</v>
      </c>
      <c r="S33" t="str">
        <f t="shared" si="2"/>
        <v/>
      </c>
      <c r="AB33" t="s">
        <v>45</v>
      </c>
    </row>
    <row r="34" spans="3:28" x14ac:dyDescent="0.2">
      <c r="C34" s="170" t="s">
        <v>30</v>
      </c>
      <c r="D34" s="170"/>
      <c r="E34" s="170"/>
      <c r="F34" s="170"/>
      <c r="G34" s="10"/>
      <c r="H34" s="154"/>
      <c r="I34" s="6"/>
      <c r="J34" s="168"/>
      <c r="K34" s="168"/>
      <c r="L34" s="8"/>
      <c r="M34" s="168"/>
      <c r="N34" s="168"/>
      <c r="Q34">
        <f t="shared" si="0"/>
        <v>0</v>
      </c>
      <c r="R34" t="str">
        <f t="shared" si="1"/>
        <v>C34</v>
      </c>
      <c r="S34" t="str">
        <f t="shared" si="2"/>
        <v/>
      </c>
      <c r="AB34" t="s">
        <v>46</v>
      </c>
    </row>
    <row r="35" spans="3:28" x14ac:dyDescent="0.2">
      <c r="C35" s="170" t="s">
        <v>30</v>
      </c>
      <c r="D35" s="170"/>
      <c r="E35" s="170"/>
      <c r="F35" s="170"/>
      <c r="G35" s="10"/>
      <c r="H35" s="154"/>
      <c r="I35" s="6"/>
      <c r="J35" s="168"/>
      <c r="K35" s="168"/>
      <c r="L35" s="8"/>
      <c r="M35" s="168"/>
      <c r="N35" s="168"/>
      <c r="Q35">
        <f t="shared" si="0"/>
        <v>0</v>
      </c>
      <c r="R35" t="str">
        <f t="shared" si="1"/>
        <v>C35</v>
      </c>
      <c r="S35" t="str">
        <f t="shared" si="2"/>
        <v/>
      </c>
      <c r="AB35" t="s">
        <v>47</v>
      </c>
    </row>
    <row r="36" spans="3:28" x14ac:dyDescent="0.2">
      <c r="C36" s="170" t="s">
        <v>30</v>
      </c>
      <c r="D36" s="170"/>
      <c r="E36" s="170"/>
      <c r="F36" s="170"/>
      <c r="G36" s="10"/>
      <c r="H36" s="154"/>
      <c r="I36" s="6"/>
      <c r="J36" s="168"/>
      <c r="K36" s="168"/>
      <c r="L36" s="8"/>
      <c r="M36" s="168"/>
      <c r="N36" s="168"/>
      <c r="Q36">
        <f t="shared" si="0"/>
        <v>0</v>
      </c>
      <c r="R36" t="str">
        <f t="shared" si="1"/>
        <v>C36</v>
      </c>
      <c r="S36" t="str">
        <f t="shared" si="2"/>
        <v/>
      </c>
      <c r="AB36" t="s">
        <v>48</v>
      </c>
    </row>
    <row r="37" spans="3:28" x14ac:dyDescent="0.2">
      <c r="C37" s="170" t="s">
        <v>30</v>
      </c>
      <c r="D37" s="170"/>
      <c r="E37" s="170"/>
      <c r="F37" s="170"/>
      <c r="G37" s="10"/>
      <c r="H37" s="154"/>
      <c r="I37" s="6"/>
      <c r="J37" s="168"/>
      <c r="K37" s="168"/>
      <c r="L37" s="8"/>
      <c r="M37" s="168"/>
      <c r="N37" s="168"/>
      <c r="Q37">
        <f t="shared" si="0"/>
        <v>0</v>
      </c>
      <c r="R37" t="str">
        <f t="shared" si="1"/>
        <v>C37</v>
      </c>
      <c r="S37" t="str">
        <f t="shared" si="2"/>
        <v/>
      </c>
      <c r="AB37" t="s">
        <v>49</v>
      </c>
    </row>
    <row r="38" spans="3:28" x14ac:dyDescent="0.2">
      <c r="C38" s="170" t="s">
        <v>30</v>
      </c>
      <c r="D38" s="170"/>
      <c r="E38" s="170"/>
      <c r="F38" s="170"/>
      <c r="G38" s="10"/>
      <c r="H38" s="154"/>
      <c r="I38" s="6"/>
      <c r="J38" s="168"/>
      <c r="K38" s="168"/>
      <c r="L38" s="8"/>
      <c r="M38" s="168"/>
      <c r="N38" s="168"/>
      <c r="Q38">
        <f t="shared" si="0"/>
        <v>0</v>
      </c>
      <c r="R38" t="str">
        <f t="shared" si="1"/>
        <v>C38</v>
      </c>
      <c r="S38" t="str">
        <f t="shared" si="2"/>
        <v/>
      </c>
      <c r="AB38" t="s">
        <v>50</v>
      </c>
    </row>
    <row r="39" spans="3:28" x14ac:dyDescent="0.2">
      <c r="C39" s="170" t="s">
        <v>30</v>
      </c>
      <c r="D39" s="170"/>
      <c r="E39" s="170"/>
      <c r="F39" s="170"/>
      <c r="G39" s="10"/>
      <c r="H39" s="154"/>
      <c r="I39" s="6"/>
      <c r="J39" s="168"/>
      <c r="K39" s="168"/>
      <c r="L39" s="8"/>
      <c r="M39" s="168"/>
      <c r="N39" s="168"/>
      <c r="Q39">
        <f t="shared" si="0"/>
        <v>0</v>
      </c>
      <c r="R39" t="str">
        <f t="shared" si="1"/>
        <v>C39</v>
      </c>
      <c r="S39" t="str">
        <f t="shared" si="2"/>
        <v/>
      </c>
    </row>
    <row r="40" spans="3:28" x14ac:dyDescent="0.2">
      <c r="C40" s="170" t="s">
        <v>30</v>
      </c>
      <c r="D40" s="170"/>
      <c r="E40" s="170"/>
      <c r="F40" s="170"/>
      <c r="G40" s="10"/>
      <c r="H40" s="154"/>
      <c r="I40" s="6"/>
      <c r="J40" s="168"/>
      <c r="K40" s="168"/>
      <c r="L40" s="8"/>
      <c r="M40" s="168"/>
      <c r="N40" s="168"/>
      <c r="Q40">
        <f t="shared" si="0"/>
        <v>0</v>
      </c>
      <c r="R40" t="str">
        <f t="shared" si="1"/>
        <v>C40</v>
      </c>
      <c r="S40" t="str">
        <f t="shared" si="2"/>
        <v/>
      </c>
      <c r="AB40" t="s">
        <v>31</v>
      </c>
    </row>
    <row r="41" spans="3:28" x14ac:dyDescent="0.2">
      <c r="C41" s="170" t="s">
        <v>30</v>
      </c>
      <c r="D41" s="170"/>
      <c r="E41" s="170"/>
      <c r="F41" s="170"/>
      <c r="G41" s="10"/>
      <c r="H41" s="154"/>
      <c r="I41" s="6"/>
      <c r="J41" s="168"/>
      <c r="K41" s="168"/>
      <c r="L41" s="8"/>
      <c r="M41" s="168"/>
      <c r="N41" s="168"/>
      <c r="Q41">
        <f t="shared" si="0"/>
        <v>0</v>
      </c>
      <c r="R41" t="str">
        <f t="shared" si="1"/>
        <v>C41</v>
      </c>
      <c r="S41" t="str">
        <f t="shared" si="2"/>
        <v/>
      </c>
      <c r="AB41" t="s">
        <v>51</v>
      </c>
    </row>
    <row r="42" spans="3:28" x14ac:dyDescent="0.2">
      <c r="C42" s="170" t="s">
        <v>30</v>
      </c>
      <c r="D42" s="170"/>
      <c r="E42" s="170"/>
      <c r="F42" s="170"/>
      <c r="G42" s="10"/>
      <c r="H42" s="154"/>
      <c r="I42" s="6"/>
      <c r="J42" s="168"/>
      <c r="K42" s="168"/>
      <c r="L42" s="8"/>
      <c r="M42" s="168"/>
      <c r="N42" s="168"/>
      <c r="Q42">
        <f t="shared" si="0"/>
        <v>0</v>
      </c>
      <c r="R42" t="str">
        <f t="shared" si="1"/>
        <v>C42</v>
      </c>
      <c r="S42" t="str">
        <f t="shared" si="2"/>
        <v/>
      </c>
      <c r="AB42" t="s">
        <v>52</v>
      </c>
    </row>
    <row r="43" spans="3:28" x14ac:dyDescent="0.2">
      <c r="C43" s="170" t="s">
        <v>30</v>
      </c>
      <c r="D43" s="170"/>
      <c r="E43" s="170"/>
      <c r="F43" s="170"/>
      <c r="G43" s="10"/>
      <c r="H43" s="154"/>
      <c r="I43" s="6"/>
      <c r="J43" s="168"/>
      <c r="K43" s="168"/>
      <c r="L43" s="8"/>
      <c r="M43" s="168"/>
      <c r="N43" s="168"/>
      <c r="Q43">
        <f t="shared" si="0"/>
        <v>0</v>
      </c>
      <c r="R43" t="str">
        <f t="shared" si="1"/>
        <v>C43</v>
      </c>
      <c r="S43" t="str">
        <f t="shared" si="2"/>
        <v/>
      </c>
      <c r="AB43" t="s">
        <v>53</v>
      </c>
    </row>
    <row r="44" spans="3:28" x14ac:dyDescent="0.2">
      <c r="C44" s="170" t="s">
        <v>30</v>
      </c>
      <c r="D44" s="170"/>
      <c r="E44" s="170"/>
      <c r="F44" s="170"/>
      <c r="G44" s="10"/>
      <c r="H44" s="154"/>
      <c r="I44" s="6"/>
      <c r="J44" s="168"/>
      <c r="K44" s="168"/>
      <c r="L44" s="8"/>
      <c r="M44" s="168"/>
      <c r="N44" s="168"/>
      <c r="Q44">
        <f t="shared" si="0"/>
        <v>0</v>
      </c>
      <c r="R44" t="str">
        <f t="shared" si="1"/>
        <v>C44</v>
      </c>
      <c r="S44" t="str">
        <f t="shared" si="2"/>
        <v/>
      </c>
      <c r="AB44" t="s">
        <v>54</v>
      </c>
    </row>
    <row r="45" spans="3:28" x14ac:dyDescent="0.2">
      <c r="C45" s="170" t="s">
        <v>30</v>
      </c>
      <c r="D45" s="170"/>
      <c r="E45" s="170"/>
      <c r="F45" s="170"/>
      <c r="G45" s="10"/>
      <c r="H45" s="154"/>
      <c r="I45" s="6"/>
      <c r="J45" s="168"/>
      <c r="K45" s="168"/>
      <c r="L45" s="8"/>
      <c r="M45" s="168"/>
      <c r="N45" s="168"/>
      <c r="Q45">
        <f t="shared" si="0"/>
        <v>0</v>
      </c>
      <c r="R45" t="str">
        <f t="shared" si="1"/>
        <v>C45</v>
      </c>
      <c r="S45" t="str">
        <f t="shared" si="2"/>
        <v/>
      </c>
      <c r="AB45" t="s">
        <v>55</v>
      </c>
    </row>
    <row r="46" spans="3:28" x14ac:dyDescent="0.2">
      <c r="C46" s="172"/>
      <c r="D46" s="172"/>
      <c r="E46" s="172"/>
      <c r="F46" s="172"/>
      <c r="G46" s="10"/>
      <c r="H46" s="10"/>
      <c r="S46">
        <f>COUNTIF(S24:S45, "x")</f>
        <v>0</v>
      </c>
      <c r="AB46" t="s">
        <v>56</v>
      </c>
    </row>
    <row r="47" spans="3:28" x14ac:dyDescent="0.2">
      <c r="C47" s="172"/>
      <c r="D47" s="172"/>
      <c r="E47" s="172"/>
      <c r="F47" s="172"/>
      <c r="G47" s="10"/>
      <c r="H47" s="10"/>
      <c r="AB47" t="s">
        <v>57</v>
      </c>
    </row>
    <row r="48" spans="3:28" x14ac:dyDescent="0.2">
      <c r="C48" s="172"/>
      <c r="D48" s="172"/>
      <c r="E48" s="172"/>
      <c r="F48" s="172"/>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rintOptions horizontalCentered="1"/>
  <pageMargins left="0.35433070866141736" right="0.35433070866141736" top="0.39370078740157483" bottom="0.39370078740157483" header="0.51181102362204722" footer="0.51181102362204722"/>
  <pageSetup scale="84" fitToHeight="21"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topLeftCell="B1" workbookViewId="0">
      <pane ySplit="25" topLeftCell="A26" activePane="bottomLeft" state="frozenSplit"/>
      <selection activeCell="O16" sqref="O16"/>
      <selection pane="bottomLeft" activeCell="O16" sqref="O16"/>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177" t="s">
        <v>245</v>
      </c>
      <c r="C13" s="177"/>
      <c r="D13" s="177"/>
      <c r="E13" s="177"/>
      <c r="F13" s="177"/>
      <c r="G13" s="177"/>
      <c r="H13" s="177"/>
      <c r="I13" s="177"/>
      <c r="J13" s="177"/>
      <c r="K13" s="177"/>
      <c r="L13" s="177"/>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9"/>
      <c r="C21" s="148"/>
      <c r="D21" s="150"/>
      <c r="E21" s="148"/>
      <c r="F21" s="148"/>
      <c r="G21" s="148"/>
      <c r="H21" s="148"/>
      <c r="I21" s="148"/>
      <c r="J21" s="176"/>
      <c r="K21" s="176"/>
      <c r="L21" s="148"/>
      <c r="M21" s="148"/>
    </row>
    <row r="22" spans="2:14" s="93" customFormat="1" ht="1.5" customHeight="1" x14ac:dyDescent="0.3">
      <c r="B22" s="92"/>
      <c r="D22" s="94"/>
      <c r="F22" s="92"/>
      <c r="J22" s="94"/>
    </row>
    <row r="23" spans="2:14" ht="16.5" x14ac:dyDescent="0.3">
      <c r="B23" s="91"/>
      <c r="D23" s="94"/>
      <c r="E23" s="93"/>
      <c r="F23" s="92"/>
      <c r="G23" s="93"/>
      <c r="H23" s="93"/>
      <c r="I23" s="93"/>
      <c r="J23" s="94"/>
    </row>
    <row r="24" spans="2:14" ht="38.25" x14ac:dyDescent="0.2">
      <c r="B24" s="149" t="s">
        <v>209</v>
      </c>
      <c r="C24" s="148"/>
      <c r="D24" s="150" t="s">
        <v>210</v>
      </c>
      <c r="E24" s="148"/>
      <c r="F24" s="148" t="s">
        <v>240</v>
      </c>
      <c r="G24" s="148" t="s">
        <v>241</v>
      </c>
      <c r="H24" s="148" t="s">
        <v>242</v>
      </c>
      <c r="I24" s="148"/>
      <c r="J24" s="176" t="s">
        <v>243</v>
      </c>
      <c r="K24" s="176"/>
      <c r="L24" s="148" t="s">
        <v>215</v>
      </c>
      <c r="M24" s="148" t="s">
        <v>244</v>
      </c>
    </row>
    <row r="26" spans="2:14" hidden="1" x14ac:dyDescent="0.2"/>
    <row r="27" spans="2:14" ht="25.5" customHeight="1" thickBot="1" x14ac:dyDescent="0.25">
      <c r="B27" s="95" t="str">
        <f>IF('3. Rate Classes'!Q24=1,'3. Rate Classes'!C24, 0)</f>
        <v>Residential</v>
      </c>
      <c r="C27" s="96"/>
      <c r="D27" s="97" t="str">
        <f>IF(OR(VLOOKUP($B27, '3. Rate Classes'!$C$24:$H$45,6,0)=0, ISERROR(VLOOKUP($B27, '3. Rate Classes'!$C$24:$H$45,6,0))), "", VLOOKUP($B27, '3. Rate Classes'!$C$24:$H$45,6,0))</f>
        <v>kWh</v>
      </c>
      <c r="F27" s="151">
        <v>161295429</v>
      </c>
      <c r="G27" s="151"/>
      <c r="H27" s="174">
        <v>1.0746</v>
      </c>
      <c r="I27" s="174"/>
      <c r="J27" s="175" t="str">
        <f t="shared" ref="J27:J32" si="0">IF(ISERROR(F27/(G27*30.4*24)), "", IF(D27="kW", F27/(G27*30.4*24), ""))</f>
        <v/>
      </c>
      <c r="K27" s="175"/>
      <c r="L27" s="98">
        <f>IF(OR(H27=0, OR(ISBLANK(H27), TRIM(H27)="")), F27, F27*H27)</f>
        <v>173328068.0034</v>
      </c>
      <c r="M27" s="98">
        <f>IF(OR(H27=0, OR(ISBLANK(H27), TRIM(H27)="")), G27, G27)</f>
        <v>0</v>
      </c>
      <c r="N27" s="13"/>
    </row>
    <row r="28" spans="2:14" ht="25.5" customHeight="1" thickBot="1" x14ac:dyDescent="0.25">
      <c r="B28" s="95" t="str">
        <f>IF('3. Rate Classes'!Q25=1,'3. Rate Classes'!C25, 0)</f>
        <v>General Service Less Than 50 kW</v>
      </c>
      <c r="C28" s="96"/>
      <c r="D28" s="97" t="str">
        <f>IF(OR(VLOOKUP($B28, '3. Rate Classes'!$C$24:$H$45,6,0)=0, ISERROR(VLOOKUP($B28, '3. Rate Classes'!$C$24:$H$45,6,0))), "", VLOOKUP($B28, '3. Rate Classes'!$C$24:$H$45,6,0))</f>
        <v>kWh</v>
      </c>
      <c r="F28" s="152">
        <v>32827628</v>
      </c>
      <c r="G28" s="152"/>
      <c r="H28" s="174">
        <v>1.0746</v>
      </c>
      <c r="I28" s="174"/>
      <c r="J28" s="175" t="str">
        <f t="shared" si="0"/>
        <v/>
      </c>
      <c r="K28" s="175"/>
      <c r="L28" s="98">
        <f t="shared" ref="L28:L48" si="1">IF(OR(H28=0, OR(ISBLANK(H28), TRIM(H28)="")), F28, F28*H28)</f>
        <v>35276569.048799999</v>
      </c>
      <c r="M28" s="98">
        <f t="shared" ref="M28:M48" si="2">IF(OR(H28=0, OR(ISBLANK(H28), TRIM(H28)="")), G28, G28)</f>
        <v>0</v>
      </c>
    </row>
    <row r="29" spans="2:14" ht="25.5" customHeight="1" thickBot="1" x14ac:dyDescent="0.25">
      <c r="B29" s="95" t="str">
        <f>IF('3. Rate Classes'!Q26=1,'3. Rate Classes'!C26, 0)</f>
        <v>General Service 50 to 4,999 kW</v>
      </c>
      <c r="C29" s="96"/>
      <c r="D29" s="97" t="str">
        <f>IF(OR(VLOOKUP($B29, '3. Rate Classes'!$C$24:$H$45,6,0)=0, ISERROR(VLOOKUP($B29, '3. Rate Classes'!$C$24:$H$45,6,0))), "", VLOOKUP($B29, '3. Rate Classes'!$C$24:$H$45,6,0))</f>
        <v>kW</v>
      </c>
      <c r="F29" s="152"/>
      <c r="G29" s="151">
        <v>75952</v>
      </c>
      <c r="H29" s="173"/>
      <c r="I29" s="173"/>
      <c r="J29" s="175">
        <f t="shared" si="0"/>
        <v>0</v>
      </c>
      <c r="K29" s="175"/>
      <c r="L29" s="98">
        <f t="shared" si="1"/>
        <v>0</v>
      </c>
      <c r="M29" s="98">
        <f t="shared" si="2"/>
        <v>75952</v>
      </c>
    </row>
    <row r="30" spans="2:14" ht="25.5" customHeight="1" thickBot="1" x14ac:dyDescent="0.25">
      <c r="B30" s="95" t="str">
        <f>IF('3. Rate Classes'!Q27=1,'3. Rate Classes'!C27, 0)</f>
        <v>General Service 50 to 4,999 kW – Interval Metered</v>
      </c>
      <c r="C30" s="96"/>
      <c r="D30" s="97" t="str">
        <f>IF(OR(VLOOKUP($B30, '3. Rate Classes'!$C$24:$H$45,6,0)=0, ISERROR(VLOOKUP($B30, '3. Rate Classes'!$C$24:$H$45,6,0))), "", VLOOKUP($B30, '3. Rate Classes'!$C$24:$H$45,6,0))</f>
        <v>kW</v>
      </c>
      <c r="F30" s="152"/>
      <c r="G30" s="152">
        <v>73874</v>
      </c>
      <c r="H30" s="173"/>
      <c r="I30" s="173"/>
      <c r="J30" s="175">
        <f t="shared" si="0"/>
        <v>0</v>
      </c>
      <c r="K30" s="175"/>
      <c r="L30" s="98">
        <f t="shared" si="1"/>
        <v>0</v>
      </c>
      <c r="M30" s="98">
        <f t="shared" si="2"/>
        <v>73874</v>
      </c>
    </row>
    <row r="31" spans="2:14" ht="25.5" customHeight="1" thickBot="1" x14ac:dyDescent="0.25">
      <c r="B31" s="95" t="str">
        <f>IF('3. Rate Classes'!Q28=1,'3. Rate Classes'!C28, 0)</f>
        <v>Unmetered Scattered Load</v>
      </c>
      <c r="C31" s="96"/>
      <c r="D31" s="97" t="str">
        <f>IF(OR(VLOOKUP($B31, '3. Rate Classes'!$C$24:$H$45,6,0)=0, ISERROR(VLOOKUP($B31, '3. Rate Classes'!$C$24:$H$45,6,0))), "", VLOOKUP($B31, '3. Rate Classes'!$C$24:$H$45,6,0))</f>
        <v>kWh</v>
      </c>
      <c r="F31" s="152">
        <v>525815</v>
      </c>
      <c r="G31" s="151"/>
      <c r="H31" s="174">
        <v>1.0746</v>
      </c>
      <c r="I31" s="174"/>
      <c r="J31" s="175" t="str">
        <f t="shared" si="0"/>
        <v/>
      </c>
      <c r="K31" s="175"/>
      <c r="L31" s="98">
        <f t="shared" si="1"/>
        <v>565040.799</v>
      </c>
      <c r="M31" s="98">
        <f t="shared" si="2"/>
        <v>0</v>
      </c>
    </row>
    <row r="32" spans="2:14" ht="25.5" customHeight="1" thickBot="1" x14ac:dyDescent="0.25">
      <c r="B32" s="95" t="str">
        <f>IF('3. Rate Classes'!Q29=1,'3. Rate Classes'!C29, 0)</f>
        <v>Sentinel Lighting</v>
      </c>
      <c r="C32" s="96"/>
      <c r="D32" s="97" t="str">
        <f>IF(OR(VLOOKUP($B32, '3. Rate Classes'!$C$24:$H$45,6,0)=0, ISERROR(VLOOKUP($B32, '3. Rate Classes'!$C$24:$H$45,6,0))), "", VLOOKUP($B32, '3. Rate Classes'!$C$24:$H$45,6,0))</f>
        <v>kW</v>
      </c>
      <c r="F32" s="162" t="s">
        <v>256</v>
      </c>
      <c r="G32" s="152">
        <v>329</v>
      </c>
      <c r="H32" s="173"/>
      <c r="I32" s="173"/>
      <c r="J32" s="175" t="str">
        <f t="shared" si="0"/>
        <v/>
      </c>
      <c r="K32" s="175"/>
      <c r="L32" s="98" t="str">
        <f t="shared" si="1"/>
        <v xml:space="preserve"> </v>
      </c>
      <c r="M32" s="98">
        <f t="shared" si="2"/>
        <v>329</v>
      </c>
    </row>
    <row r="33" spans="2:13" ht="25.5" customHeight="1" thickBot="1" x14ac:dyDescent="0.25">
      <c r="B33" s="95" t="str">
        <f>IF('3. Rate Classes'!Q30=1,'3. Rate Classes'!C30, 0)</f>
        <v>Street Lighting</v>
      </c>
      <c r="C33" s="96"/>
      <c r="D33" s="97" t="str">
        <f>IF(OR(VLOOKUP($B33, '3. Rate Classes'!$C$24:$H$45,6,0)=0, ISERROR(VLOOKUP($B33, '3. Rate Classes'!$C$24:$H$45,6,0))), "", VLOOKUP($B33, '3. Rate Classes'!$C$24:$H$45,6,0))</f>
        <v>kW</v>
      </c>
      <c r="F33" s="162" t="s">
        <v>256</v>
      </c>
      <c r="G33" s="151">
        <v>4745</v>
      </c>
      <c r="H33" s="173"/>
      <c r="I33" s="173"/>
      <c r="J33" s="175" t="str">
        <f t="shared" ref="J33:J48" si="3">IF(ISERROR(F33/(G33*30.4*24)), "", IF(D33="kW", F33/(G33*30.4*24), ""))</f>
        <v/>
      </c>
      <c r="K33" s="175"/>
      <c r="L33" s="98" t="str">
        <f t="shared" si="1"/>
        <v xml:space="preserve"> </v>
      </c>
      <c r="M33" s="98">
        <f t="shared" si="2"/>
        <v>4745</v>
      </c>
    </row>
    <row r="34" spans="2:13" ht="25.5" hidden="1" customHeight="1" thickBot="1" x14ac:dyDescent="0.25">
      <c r="B34" s="95">
        <f>IF('3. Rate Classes'!Q31=1,'3. Rate Classes'!C31, 0)</f>
        <v>0</v>
      </c>
      <c r="C34" s="96"/>
      <c r="D34" s="97" t="e">
        <f>IF(OR(VLOOKUP($B34, '3. Rate Classes'!$C$24:$H$45,6,0)=0, ISERROR(VLOOKUP($B34, '3. Rate Classes'!$C$24:$H$45,6,0))), "", VLOOKUP($B34, '3. Rate Classes'!$C$24:$H$45,6,0))</f>
        <v>#N/A</v>
      </c>
      <c r="F34" s="152"/>
      <c r="G34" s="152"/>
      <c r="H34" s="173"/>
      <c r="I34" s="173"/>
      <c r="J34" s="175" t="str">
        <f t="shared" si="3"/>
        <v/>
      </c>
      <c r="K34" s="175"/>
      <c r="L34" s="98">
        <f t="shared" si="1"/>
        <v>0</v>
      </c>
      <c r="M34" s="98">
        <f t="shared" si="2"/>
        <v>0</v>
      </c>
    </row>
    <row r="35" spans="2:13" ht="25.5" hidden="1" customHeight="1" thickBot="1" x14ac:dyDescent="0.25">
      <c r="B35" s="95">
        <f>IF('3. Rate Classes'!Q32=1,'3. Rate Classes'!C32, 0)</f>
        <v>0</v>
      </c>
      <c r="C35" s="96"/>
      <c r="D35" s="97" t="e">
        <f>IF(OR(VLOOKUP($B35, '3. Rate Classes'!$C$24:$H$45,6,0)=0, ISERROR(VLOOKUP($B35, '3. Rate Classes'!$C$24:$H$45,6,0))), "", VLOOKUP($B35, '3. Rate Classes'!$C$24:$H$45,6,0))</f>
        <v>#N/A</v>
      </c>
      <c r="F35" s="152"/>
      <c r="G35" s="151"/>
      <c r="H35" s="173"/>
      <c r="I35" s="173"/>
      <c r="J35" s="175" t="str">
        <f t="shared" si="3"/>
        <v/>
      </c>
      <c r="K35" s="175"/>
      <c r="L35" s="98">
        <f t="shared" si="1"/>
        <v>0</v>
      </c>
      <c r="M35" s="98">
        <f t="shared" si="2"/>
        <v>0</v>
      </c>
    </row>
    <row r="36" spans="2:13" ht="25.5" hidden="1" customHeight="1" thickBot="1" x14ac:dyDescent="0.25">
      <c r="B36" s="95">
        <f>IF('3. Rate Classes'!Q33=1,'3. Rate Classes'!C33, 0)</f>
        <v>0</v>
      </c>
      <c r="C36" s="96"/>
      <c r="D36" s="97" t="e">
        <f>IF(OR(VLOOKUP($B36, '3. Rate Classes'!$C$24:$H$45,6,0)=0, ISERROR(VLOOKUP($B36, '3. Rate Classes'!$C$24:$H$45,6,0))), "", VLOOKUP($B36, '3. Rate Classes'!$C$24:$H$45,6,0))</f>
        <v>#N/A</v>
      </c>
      <c r="F36" s="152"/>
      <c r="G36" s="152"/>
      <c r="H36" s="173"/>
      <c r="I36" s="173"/>
      <c r="J36" s="175" t="str">
        <f t="shared" si="3"/>
        <v/>
      </c>
      <c r="K36" s="175"/>
      <c r="L36" s="98">
        <f t="shared" si="1"/>
        <v>0</v>
      </c>
      <c r="M36" s="98">
        <f t="shared" si="2"/>
        <v>0</v>
      </c>
    </row>
    <row r="37" spans="2:13" ht="25.5" hidden="1" customHeight="1" thickBot="1" x14ac:dyDescent="0.25">
      <c r="B37" s="95">
        <f>IF('3. Rate Classes'!Q34=1,'3. Rate Classes'!C34, 0)</f>
        <v>0</v>
      </c>
      <c r="C37" s="96"/>
      <c r="D37" s="97" t="e">
        <f>IF(OR(VLOOKUP($B37, '3. Rate Classes'!$C$24:$H$45,6,0)=0, ISERROR(VLOOKUP($B37, '3. Rate Classes'!$C$24:$H$45,6,0))), "", VLOOKUP($B37, '3. Rate Classes'!$C$24:$H$45,6,0))</f>
        <v>#N/A</v>
      </c>
      <c r="F37" s="152"/>
      <c r="G37" s="151"/>
      <c r="H37" s="173"/>
      <c r="I37" s="173"/>
      <c r="J37" s="175" t="str">
        <f t="shared" si="3"/>
        <v/>
      </c>
      <c r="K37" s="175"/>
      <c r="L37" s="98">
        <f t="shared" si="1"/>
        <v>0</v>
      </c>
      <c r="M37" s="98">
        <f t="shared" si="2"/>
        <v>0</v>
      </c>
    </row>
    <row r="38" spans="2:13" ht="25.5" hidden="1" customHeight="1" thickBot="1" x14ac:dyDescent="0.25">
      <c r="B38" s="95">
        <f>IF('3. Rate Classes'!Q35=1,'3. Rate Classes'!C35, 0)</f>
        <v>0</v>
      </c>
      <c r="C38" s="96"/>
      <c r="D38" s="97" t="e">
        <f>IF(OR(VLOOKUP($B38, '3. Rate Classes'!$C$24:$H$45,6,0)=0, ISERROR(VLOOKUP($B38, '3. Rate Classes'!$C$24:$H$45,6,0))), "", VLOOKUP($B38, '3. Rate Classes'!$C$24:$H$45,6,0))</f>
        <v>#N/A</v>
      </c>
      <c r="F38" s="152"/>
      <c r="G38" s="152"/>
      <c r="H38" s="173"/>
      <c r="I38" s="173"/>
      <c r="J38" s="175" t="str">
        <f t="shared" si="3"/>
        <v/>
      </c>
      <c r="K38" s="175"/>
      <c r="L38" s="98">
        <f t="shared" si="1"/>
        <v>0</v>
      </c>
      <c r="M38" s="98">
        <f t="shared" si="2"/>
        <v>0</v>
      </c>
    </row>
    <row r="39" spans="2:13" ht="25.5" hidden="1" customHeight="1" thickBot="1" x14ac:dyDescent="0.25">
      <c r="B39" s="95">
        <f>IF('3. Rate Classes'!Q36=1,'3. Rate Classes'!C36, 0)</f>
        <v>0</v>
      </c>
      <c r="C39" s="96"/>
      <c r="D39" s="97" t="e">
        <f>IF(OR(VLOOKUP($B39, '3. Rate Classes'!$C$24:$H$45,6,0)=0, ISERROR(VLOOKUP($B39, '3. Rate Classes'!$C$24:$H$45,6,0))), "", VLOOKUP($B39, '3. Rate Classes'!$C$24:$H$45,6,0))</f>
        <v>#N/A</v>
      </c>
      <c r="F39" s="152"/>
      <c r="G39" s="151"/>
      <c r="H39" s="173"/>
      <c r="I39" s="173"/>
      <c r="J39" s="175" t="str">
        <f t="shared" si="3"/>
        <v/>
      </c>
      <c r="K39" s="175"/>
      <c r="L39" s="98">
        <f t="shared" si="1"/>
        <v>0</v>
      </c>
      <c r="M39" s="98">
        <f t="shared" si="2"/>
        <v>0</v>
      </c>
    </row>
    <row r="40" spans="2:13" ht="25.5" hidden="1" customHeight="1" thickBot="1" x14ac:dyDescent="0.25">
      <c r="B40" s="95">
        <f>IF('3. Rate Classes'!Q37=1,'3. Rate Classes'!C37, 0)</f>
        <v>0</v>
      </c>
      <c r="C40" s="96"/>
      <c r="D40" s="97" t="e">
        <f>IF(OR(VLOOKUP($B40, '3. Rate Classes'!$C$24:$H$45,6,0)=0, ISERROR(VLOOKUP($B40, '3. Rate Classes'!$C$24:$H$45,6,0))), "", VLOOKUP($B40, '3. Rate Classes'!$C$24:$H$45,6,0))</f>
        <v>#N/A</v>
      </c>
      <c r="F40" s="152"/>
      <c r="G40" s="152"/>
      <c r="H40" s="173"/>
      <c r="I40" s="173"/>
      <c r="J40" s="175" t="str">
        <f t="shared" si="3"/>
        <v/>
      </c>
      <c r="K40" s="175"/>
      <c r="L40" s="98">
        <f t="shared" si="1"/>
        <v>0</v>
      </c>
      <c r="M40" s="98">
        <f t="shared" si="2"/>
        <v>0</v>
      </c>
    </row>
    <row r="41" spans="2:13" ht="25.5" hidden="1" customHeight="1" thickBot="1" x14ac:dyDescent="0.25">
      <c r="B41" s="95">
        <f>IF('3. Rate Classes'!Q38=1,'3. Rate Classes'!C38, 0)</f>
        <v>0</v>
      </c>
      <c r="C41" s="96"/>
      <c r="D41" s="97" t="e">
        <f>IF(OR(VLOOKUP($B41, '3. Rate Classes'!$C$24:$H$45,6,0)=0, ISERROR(VLOOKUP($B41, '3. Rate Classes'!$C$24:$H$45,6,0))), "", VLOOKUP($B41, '3. Rate Classes'!$C$24:$H$45,6,0))</f>
        <v>#N/A</v>
      </c>
      <c r="F41" s="152"/>
      <c r="G41" s="151"/>
      <c r="H41" s="173"/>
      <c r="I41" s="173"/>
      <c r="J41" s="175" t="str">
        <f t="shared" si="3"/>
        <v/>
      </c>
      <c r="K41" s="175"/>
      <c r="L41" s="98">
        <f t="shared" si="1"/>
        <v>0</v>
      </c>
      <c r="M41" s="98">
        <f t="shared" si="2"/>
        <v>0</v>
      </c>
    </row>
    <row r="42" spans="2:13" ht="25.5" hidden="1" customHeight="1" thickBot="1" x14ac:dyDescent="0.25">
      <c r="B42" s="95">
        <f>IF('3. Rate Classes'!Q39=1,'3. Rate Classes'!C39, 0)</f>
        <v>0</v>
      </c>
      <c r="C42" s="96"/>
      <c r="D42" s="97" t="e">
        <f>IF(OR(VLOOKUP($B42, '3. Rate Classes'!$C$24:$H$45,6,0)=0, ISERROR(VLOOKUP($B42, '3. Rate Classes'!$C$24:$H$45,6,0))), "", VLOOKUP($B42, '3. Rate Classes'!$C$24:$H$45,6,0))</f>
        <v>#N/A</v>
      </c>
      <c r="F42" s="152"/>
      <c r="G42" s="152"/>
      <c r="H42" s="173"/>
      <c r="I42" s="173"/>
      <c r="J42" s="175" t="str">
        <f t="shared" si="3"/>
        <v/>
      </c>
      <c r="K42" s="175"/>
      <c r="L42" s="98">
        <f t="shared" si="1"/>
        <v>0</v>
      </c>
      <c r="M42" s="98">
        <f t="shared" si="2"/>
        <v>0</v>
      </c>
    </row>
    <row r="43" spans="2:13" ht="25.5" hidden="1" customHeight="1" thickBot="1" x14ac:dyDescent="0.25">
      <c r="B43" s="95">
        <f>IF('3. Rate Classes'!Q40=1,'3. Rate Classes'!C40, 0)</f>
        <v>0</v>
      </c>
      <c r="C43" s="96"/>
      <c r="D43" s="97" t="e">
        <f>IF(OR(VLOOKUP($B43, '3. Rate Classes'!$C$24:$H$45,6,0)=0, ISERROR(VLOOKUP($B43, '3. Rate Classes'!$C$24:$H$45,6,0))), "", VLOOKUP($B43, '3. Rate Classes'!$C$24:$H$45,6,0))</f>
        <v>#N/A</v>
      </c>
      <c r="F43" s="152"/>
      <c r="G43" s="151"/>
      <c r="H43" s="173"/>
      <c r="I43" s="173"/>
      <c r="J43" s="175" t="str">
        <f t="shared" si="3"/>
        <v/>
      </c>
      <c r="K43" s="175"/>
      <c r="L43" s="98">
        <f t="shared" si="1"/>
        <v>0</v>
      </c>
      <c r="M43" s="98">
        <f t="shared" si="2"/>
        <v>0</v>
      </c>
    </row>
    <row r="44" spans="2:13" ht="25.5" hidden="1" customHeight="1" thickBot="1" x14ac:dyDescent="0.25">
      <c r="B44" s="95">
        <f>IF('3. Rate Classes'!Q41=1,'3. Rate Classes'!C41, 0)</f>
        <v>0</v>
      </c>
      <c r="C44" s="96"/>
      <c r="D44" s="97" t="e">
        <f>IF(OR(VLOOKUP($B44, '3. Rate Classes'!$C$24:$H$45,6,0)=0, ISERROR(VLOOKUP($B44, '3. Rate Classes'!$C$24:$H$45,6,0))), "", VLOOKUP($B44, '3. Rate Classes'!$C$24:$H$45,6,0))</f>
        <v>#N/A</v>
      </c>
      <c r="F44" s="152"/>
      <c r="G44" s="152"/>
      <c r="H44" s="173"/>
      <c r="I44" s="173"/>
      <c r="J44" s="175" t="str">
        <f t="shared" si="3"/>
        <v/>
      </c>
      <c r="K44" s="175"/>
      <c r="L44" s="98">
        <f t="shared" si="1"/>
        <v>0</v>
      </c>
      <c r="M44" s="98">
        <f t="shared" si="2"/>
        <v>0</v>
      </c>
    </row>
    <row r="45" spans="2:13" ht="25.5" hidden="1" customHeight="1" thickBot="1" x14ac:dyDescent="0.25">
      <c r="B45" s="95">
        <f>IF('3. Rate Classes'!Q42=1,'3. Rate Classes'!C42, 0)</f>
        <v>0</v>
      </c>
      <c r="C45" s="96"/>
      <c r="D45" s="97" t="e">
        <f>IF(OR(VLOOKUP($B45, '3. Rate Classes'!$C$24:$H$45,6,0)=0, ISERROR(VLOOKUP($B45, '3. Rate Classes'!$C$24:$H$45,6,0))), "", VLOOKUP($B45, '3. Rate Classes'!$C$24:$H$45,6,0))</f>
        <v>#N/A</v>
      </c>
      <c r="F45" s="152"/>
      <c r="G45" s="151"/>
      <c r="H45" s="173"/>
      <c r="I45" s="173"/>
      <c r="J45" s="175" t="str">
        <f t="shared" si="3"/>
        <v/>
      </c>
      <c r="K45" s="175"/>
      <c r="L45" s="98">
        <f t="shared" si="1"/>
        <v>0</v>
      </c>
      <c r="M45" s="98">
        <f t="shared" si="2"/>
        <v>0</v>
      </c>
    </row>
    <row r="46" spans="2:13" ht="25.5" hidden="1" customHeight="1" thickBot="1" x14ac:dyDescent="0.25">
      <c r="B46" s="95">
        <f>IF('3. Rate Classes'!Q43=1,'3. Rate Classes'!C43, 0)</f>
        <v>0</v>
      </c>
      <c r="C46" s="96"/>
      <c r="D46" s="97" t="e">
        <f>IF(OR(VLOOKUP($B46, '3. Rate Classes'!$C$24:$H$45,6,0)=0, ISERROR(VLOOKUP($B46, '3. Rate Classes'!$C$24:$H$45,6,0))), "", VLOOKUP($B46, '3. Rate Classes'!$C$24:$H$45,6,0))</f>
        <v>#N/A</v>
      </c>
      <c r="F46" s="152"/>
      <c r="G46" s="152"/>
      <c r="H46" s="173"/>
      <c r="I46" s="173"/>
      <c r="J46" s="175" t="str">
        <f t="shared" si="3"/>
        <v/>
      </c>
      <c r="K46" s="175"/>
      <c r="L46" s="98">
        <f t="shared" si="1"/>
        <v>0</v>
      </c>
      <c r="M46" s="98">
        <f t="shared" si="2"/>
        <v>0</v>
      </c>
    </row>
    <row r="47" spans="2:13" ht="25.5" hidden="1" customHeight="1" thickBot="1" x14ac:dyDescent="0.25">
      <c r="B47" s="95">
        <f>IF('3. Rate Classes'!Q44=1,'3. Rate Classes'!C44, 0)</f>
        <v>0</v>
      </c>
      <c r="C47" s="96"/>
      <c r="D47" s="97" t="e">
        <f>IF(OR(VLOOKUP($B47, '3. Rate Classes'!$C$24:$H$45,6,0)=0, ISERROR(VLOOKUP($B47, '3. Rate Classes'!$C$24:$H$45,6,0))), "", VLOOKUP($B47, '3. Rate Classes'!$C$24:$H$45,6,0))</f>
        <v>#N/A</v>
      </c>
      <c r="F47" s="152"/>
      <c r="G47" s="151"/>
      <c r="H47" s="173"/>
      <c r="I47" s="173"/>
      <c r="J47" s="175" t="str">
        <f t="shared" si="3"/>
        <v/>
      </c>
      <c r="K47" s="175"/>
      <c r="L47" s="98">
        <f t="shared" si="1"/>
        <v>0</v>
      </c>
      <c r="M47" s="98">
        <f t="shared" si="2"/>
        <v>0</v>
      </c>
    </row>
    <row r="48" spans="2:13" ht="25.5" hidden="1" customHeight="1" thickBot="1" x14ac:dyDescent="0.25">
      <c r="B48" s="95">
        <f>IF('3. Rate Classes'!Q45=1,'3. Rate Classes'!C45, 0)</f>
        <v>0</v>
      </c>
      <c r="C48" s="96"/>
      <c r="D48" s="97" t="e">
        <f>IF(OR(VLOOKUP($B48, '3. Rate Classes'!$C$24:$H$45,6,0)=0, ISERROR(VLOOKUP($B48, '3. Rate Classes'!$C$24:$H$45,6,0))), "", VLOOKUP($B48, '3. Rate Classes'!$C$24:$H$45,6,0))</f>
        <v>#N/A</v>
      </c>
      <c r="F48" s="152"/>
      <c r="G48" s="152"/>
      <c r="H48" s="173"/>
      <c r="I48" s="173"/>
      <c r="J48" s="175" t="str">
        <f t="shared" si="3"/>
        <v/>
      </c>
      <c r="K48" s="175"/>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rintOptions horizontalCentered="1"/>
  <pageMargins left="0.35433070866141736" right="0.35433070866141736" top="0.39370078740157483" bottom="0.39370078740157483" header="0.51181102362204722" footer="0.51181102362204722"/>
  <pageSetup scale="81" fitToHeight="2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58"/>
  <sheetViews>
    <sheetView showGridLines="0" workbookViewId="0">
      <pane ySplit="16" topLeftCell="A17" activePane="bottomLeft" state="frozenSplit"/>
      <selection activeCell="O16" sqref="O16"/>
      <selection pane="bottomLeft" activeCell="O16" sqref="O16"/>
    </sheetView>
  </sheetViews>
  <sheetFormatPr defaultRowHeight="12.75" x14ac:dyDescent="0.2"/>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x14ac:dyDescent="0.2">
      <c r="B15" s="146"/>
      <c r="C15" s="147"/>
      <c r="D15" s="5"/>
      <c r="E15" s="147"/>
      <c r="F15" s="5"/>
      <c r="G15" s="147"/>
      <c r="H15" s="5"/>
      <c r="I15" s="147"/>
    </row>
    <row r="17" spans="2:9" ht="15.75" x14ac:dyDescent="0.25">
      <c r="B17" s="17"/>
      <c r="C17" s="17"/>
      <c r="D17" s="18"/>
      <c r="E17" s="21"/>
      <c r="F17" s="17"/>
      <c r="G17" s="21"/>
      <c r="H17" s="17"/>
    </row>
    <row r="18" spans="2:9" ht="25.5" x14ac:dyDescent="0.2">
      <c r="B18" s="145" t="s">
        <v>235</v>
      </c>
      <c r="C18" s="144" t="s">
        <v>210</v>
      </c>
      <c r="E18" s="144" t="s">
        <v>236</v>
      </c>
      <c r="G18" s="144" t="s">
        <v>237</v>
      </c>
      <c r="I18" s="144" t="s">
        <v>238</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3.22</v>
      </c>
      <c r="F22" s="31"/>
      <c r="G22" s="32">
        <v>3.57</v>
      </c>
      <c r="H22" s="30"/>
      <c r="I22" s="100">
        <v>3.57</v>
      </c>
    </row>
    <row r="23" spans="2:9" ht="17.25" x14ac:dyDescent="0.3">
      <c r="B23" s="31"/>
      <c r="C23" s="31"/>
      <c r="D23" s="36"/>
      <c r="E23" s="32"/>
      <c r="F23" s="31"/>
      <c r="G23" s="32"/>
      <c r="H23" s="30"/>
      <c r="I23" s="32"/>
    </row>
    <row r="24" spans="2:9" ht="17.25" x14ac:dyDescent="0.3">
      <c r="B24" s="35" t="s">
        <v>117</v>
      </c>
      <c r="C24" s="33" t="s">
        <v>113</v>
      </c>
      <c r="D24" s="36"/>
      <c r="E24" s="32">
        <v>0.79</v>
      </c>
      <c r="F24" s="31"/>
      <c r="G24" s="32">
        <v>0.8</v>
      </c>
      <c r="H24" s="30"/>
      <c r="I24" s="100">
        <v>0.8</v>
      </c>
    </row>
    <row r="25" spans="2:9" ht="17.25" x14ac:dyDescent="0.3">
      <c r="B25" s="31"/>
      <c r="C25" s="31"/>
      <c r="D25" s="36"/>
      <c r="E25" s="32"/>
      <c r="F25" s="31"/>
      <c r="G25" s="32"/>
      <c r="H25" s="30"/>
      <c r="I25" s="32"/>
    </row>
    <row r="26" spans="2:9" ht="17.25" x14ac:dyDescent="0.3">
      <c r="B26" s="35" t="s">
        <v>118</v>
      </c>
      <c r="C26" s="33" t="s">
        <v>113</v>
      </c>
      <c r="D26" s="36"/>
      <c r="E26" s="32">
        <v>1.77</v>
      </c>
      <c r="F26" s="31"/>
      <c r="G26" s="32">
        <v>1.86</v>
      </c>
      <c r="H26" s="30"/>
      <c r="I26" s="100">
        <v>1.86</v>
      </c>
    </row>
    <row r="27" spans="2:9" x14ac:dyDescent="0.2">
      <c r="B27" s="19"/>
      <c r="C27" s="19"/>
      <c r="E27" s="19"/>
      <c r="F27" s="19"/>
      <c r="G27" s="19"/>
      <c r="H27" s="19"/>
    </row>
    <row r="28" spans="2:9" x14ac:dyDescent="0.2">
      <c r="B28" s="19"/>
      <c r="C28" s="19"/>
      <c r="E28" s="19"/>
      <c r="F28" s="19"/>
      <c r="G28" s="19"/>
      <c r="H28" s="19"/>
    </row>
    <row r="29" spans="2:9" ht="25.5" x14ac:dyDescent="0.2">
      <c r="B29" s="145" t="s">
        <v>239</v>
      </c>
      <c r="C29" s="144" t="s">
        <v>210</v>
      </c>
      <c r="E29" s="144" t="s">
        <v>236</v>
      </c>
      <c r="G29" s="144" t="s">
        <v>237</v>
      </c>
      <c r="I29" s="144" t="s">
        <v>238</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2.65</v>
      </c>
      <c r="H35" s="17"/>
      <c r="I35" s="100">
        <v>2.65</v>
      </c>
    </row>
    <row r="36" spans="2:9" ht="15.75" x14ac:dyDescent="0.25">
      <c r="B36" s="17"/>
      <c r="C36" s="17"/>
      <c r="D36" s="37"/>
      <c r="E36" s="22"/>
      <c r="F36" s="17"/>
      <c r="G36" s="22"/>
      <c r="H36" s="17"/>
      <c r="I36" s="22"/>
    </row>
    <row r="37" spans="2:9" ht="17.25" x14ac:dyDescent="0.3">
      <c r="B37" s="35" t="s">
        <v>117</v>
      </c>
      <c r="C37" s="33" t="s">
        <v>113</v>
      </c>
      <c r="D37" s="36"/>
      <c r="E37" s="32">
        <v>0.64</v>
      </c>
      <c r="F37" s="31"/>
      <c r="G37" s="32">
        <v>0.64</v>
      </c>
      <c r="H37" s="17"/>
      <c r="I37" s="100">
        <v>0.64</v>
      </c>
    </row>
    <row r="38" spans="2:9" ht="15.75" x14ac:dyDescent="0.25">
      <c r="B38" s="17"/>
      <c r="C38" s="17"/>
      <c r="D38" s="37"/>
      <c r="E38" s="22"/>
      <c r="F38" s="17"/>
      <c r="G38" s="22"/>
      <c r="H38" s="17"/>
      <c r="I38" s="22"/>
    </row>
    <row r="39" spans="2:9" ht="17.25" x14ac:dyDescent="0.3">
      <c r="B39" s="35" t="s">
        <v>118</v>
      </c>
      <c r="C39" s="33" t="s">
        <v>113</v>
      </c>
      <c r="D39" s="36"/>
      <c r="E39" s="32">
        <v>1.5</v>
      </c>
      <c r="F39" s="31"/>
      <c r="G39" s="32">
        <v>1.5</v>
      </c>
      <c r="H39" s="17"/>
      <c r="I39" s="100">
        <v>1.5</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2.14</v>
      </c>
      <c r="H41" s="17"/>
      <c r="I41" s="100">
        <f>I39+I37</f>
        <v>2.14</v>
      </c>
    </row>
    <row r="42" spans="2:9" ht="15.75" x14ac:dyDescent="0.25">
      <c r="B42" s="17"/>
      <c r="C42" s="17"/>
      <c r="E42" s="22"/>
      <c r="F42" s="19"/>
      <c r="G42" s="22"/>
      <c r="H42" s="19"/>
    </row>
    <row r="43" spans="2:9" x14ac:dyDescent="0.2">
      <c r="C43" s="19"/>
      <c r="E43" s="19"/>
      <c r="F43" s="19"/>
      <c r="G43" s="19"/>
      <c r="H43" s="19"/>
    </row>
    <row r="44" spans="2:9" ht="15.75" x14ac:dyDescent="0.25">
      <c r="B44" s="20"/>
      <c r="C44" s="19"/>
      <c r="E44" s="19"/>
      <c r="F44" s="19"/>
      <c r="G44" s="19"/>
      <c r="H44" s="19"/>
    </row>
    <row r="45" spans="2:9" ht="25.5" x14ac:dyDescent="0.2">
      <c r="B45" s="145" t="s">
        <v>120</v>
      </c>
      <c r="C45" s="144" t="s">
        <v>210</v>
      </c>
      <c r="E45" s="144" t="s">
        <v>236</v>
      </c>
      <c r="G45" s="144" t="s">
        <v>237</v>
      </c>
      <c r="I45" s="144" t="s">
        <v>238</v>
      </c>
    </row>
    <row r="46" spans="2:9" x14ac:dyDescent="0.2">
      <c r="B46" s="19"/>
      <c r="C46" s="19"/>
      <c r="E46" s="19"/>
      <c r="F46" s="19"/>
      <c r="G46" s="19"/>
      <c r="H46" s="19"/>
    </row>
    <row r="47" spans="2:9" ht="16.5" x14ac:dyDescent="0.3">
      <c r="B47" s="1" t="s">
        <v>114</v>
      </c>
      <c r="C47" s="1"/>
      <c r="D47" s="26"/>
      <c r="E47" s="27" t="s">
        <v>115</v>
      </c>
      <c r="F47" s="28"/>
      <c r="G47" s="27" t="s">
        <v>115</v>
      </c>
      <c r="H47" s="19"/>
      <c r="I47" s="27" t="s">
        <v>115</v>
      </c>
    </row>
    <row r="48" spans="2:9" x14ac:dyDescent="0.2">
      <c r="B48" s="19"/>
      <c r="C48" s="19"/>
      <c r="E48" s="19"/>
      <c r="F48" s="19"/>
      <c r="G48" s="19"/>
      <c r="H48" s="19"/>
    </row>
    <row r="49" spans="2:9" ht="17.25" x14ac:dyDescent="0.3">
      <c r="B49" s="35" t="s">
        <v>121</v>
      </c>
      <c r="C49" s="33" t="s">
        <v>113</v>
      </c>
      <c r="D49" s="36"/>
      <c r="E49" s="38">
        <v>4.7E-2</v>
      </c>
      <c r="F49" s="31"/>
      <c r="G49" s="38">
        <v>0</v>
      </c>
      <c r="H49" s="23"/>
      <c r="I49" s="38">
        <v>0</v>
      </c>
    </row>
    <row r="50" spans="2:9" ht="15.75" x14ac:dyDescent="0.25">
      <c r="B50" s="17"/>
      <c r="C50" s="17"/>
      <c r="D50" s="37"/>
      <c r="E50" s="24"/>
      <c r="F50" s="25"/>
      <c r="G50" s="24"/>
      <c r="H50" s="23"/>
      <c r="I50" s="24"/>
    </row>
    <row r="51" spans="2:9" ht="17.25" x14ac:dyDescent="0.3">
      <c r="B51" s="35" t="s">
        <v>122</v>
      </c>
      <c r="C51" s="33" t="s">
        <v>113</v>
      </c>
      <c r="D51" s="36"/>
      <c r="E51" s="38">
        <v>-2.5000000000000001E-2</v>
      </c>
      <c r="F51" s="31"/>
      <c r="G51" s="38">
        <v>0</v>
      </c>
      <c r="H51" s="23"/>
      <c r="I51" s="38">
        <v>0</v>
      </c>
    </row>
    <row r="52" spans="2:9" ht="15.75" x14ac:dyDescent="0.25">
      <c r="B52" s="17"/>
      <c r="C52" s="17"/>
      <c r="D52" s="37"/>
      <c r="E52" s="24"/>
      <c r="F52" s="25"/>
      <c r="G52" s="24"/>
      <c r="H52" s="23"/>
      <c r="I52" s="24"/>
    </row>
    <row r="53" spans="2:9" ht="17.25" x14ac:dyDescent="0.3">
      <c r="B53" s="35" t="s">
        <v>123</v>
      </c>
      <c r="C53" s="33" t="s">
        <v>113</v>
      </c>
      <c r="D53" s="36"/>
      <c r="E53" s="38">
        <v>5.8000000000000003E-2</v>
      </c>
      <c r="F53" s="34"/>
      <c r="G53" s="38">
        <v>0</v>
      </c>
      <c r="H53" s="23"/>
      <c r="I53" s="38">
        <v>0</v>
      </c>
    </row>
    <row r="54" spans="2:9" ht="17.25" x14ac:dyDescent="0.3">
      <c r="B54" s="31"/>
      <c r="C54" s="31"/>
      <c r="D54" s="36"/>
      <c r="E54" s="34"/>
      <c r="F54" s="34"/>
      <c r="G54" s="34"/>
      <c r="H54" s="23"/>
      <c r="I54" s="34"/>
    </row>
    <row r="55" spans="2:9" ht="17.25" x14ac:dyDescent="0.3">
      <c r="B55" s="35" t="s">
        <v>124</v>
      </c>
      <c r="C55" s="33" t="s">
        <v>113</v>
      </c>
      <c r="D55" s="36"/>
      <c r="E55" s="38">
        <v>-7.4999999999999997E-2</v>
      </c>
      <c r="F55" s="34"/>
      <c r="G55" s="38">
        <v>0</v>
      </c>
      <c r="H55" s="23"/>
      <c r="I55" s="38">
        <v>0</v>
      </c>
    </row>
    <row r="56" spans="2:9" ht="17.25" x14ac:dyDescent="0.3">
      <c r="B56" s="31"/>
      <c r="C56" s="33"/>
      <c r="D56" s="36"/>
      <c r="E56" s="34"/>
      <c r="F56" s="34"/>
      <c r="G56" s="34"/>
      <c r="H56" s="25"/>
      <c r="I56" s="34"/>
    </row>
    <row r="57" spans="2:9" ht="18" thickBot="1" x14ac:dyDescent="0.35">
      <c r="B57" s="35" t="s">
        <v>120</v>
      </c>
      <c r="C57" s="33" t="s">
        <v>113</v>
      </c>
      <c r="D57" s="36"/>
      <c r="E57" s="39">
        <f>SUM(E49:E55)</f>
        <v>5.0000000000000044E-3</v>
      </c>
      <c r="F57" s="34"/>
      <c r="G57" s="39">
        <f>SUM(G49:G55)</f>
        <v>0</v>
      </c>
      <c r="H57" s="23"/>
      <c r="I57" s="39">
        <f>SUM(I49:I55)</f>
        <v>0</v>
      </c>
    </row>
    <row r="58" spans="2:9" x14ac:dyDescent="0.2">
      <c r="B58" s="17"/>
      <c r="C58" s="17"/>
      <c r="D58" s="18"/>
      <c r="E58" s="17"/>
      <c r="F58" s="17"/>
      <c r="G58" s="17"/>
      <c r="H58" s="17"/>
    </row>
  </sheetData>
  <sheetProtection password="F8BD" sheet="1" objects="1" scenarios="1"/>
  <phoneticPr fontId="21" type="noConversion"/>
  <printOptions horizontalCentered="1"/>
  <pageMargins left="0.35433070866141736" right="0.35433070866141736" top="0.39370078740157483" bottom="0.39370078740157483" header="0.51181102362204722" footer="0.51181102362204722"/>
  <pageSetup scale="85" fitToHeight="2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9:Q75"/>
  <sheetViews>
    <sheetView showGridLines="0" topLeftCell="B1" zoomScaleNormal="100" workbookViewId="0">
      <pane ySplit="16" topLeftCell="A59" activePane="bottomLeft" state="frozenSplit"/>
      <selection activeCell="O16" sqref="O16"/>
      <selection pane="bottomLeft" activeCell="O16" sqref="O16"/>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3" t="s">
        <v>228</v>
      </c>
      <c r="C21" s="142"/>
      <c r="D21" s="178" t="s">
        <v>229</v>
      </c>
      <c r="E21" s="178"/>
      <c r="F21" s="178"/>
      <c r="G21" s="142"/>
      <c r="H21" s="178" t="s">
        <v>232</v>
      </c>
      <c r="I21" s="178"/>
      <c r="J21" s="178"/>
      <c r="K21" s="142"/>
      <c r="L21" s="178" t="s">
        <v>231</v>
      </c>
      <c r="M21" s="178"/>
      <c r="N21" s="178"/>
      <c r="O21" s="142"/>
      <c r="P21" s="143" t="s">
        <v>230</v>
      </c>
      <c r="Q21" s="41"/>
    </row>
    <row r="22" spans="2:17" ht="33"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156"/>
      <c r="E24" s="157">
        <f t="shared" ref="E24:E35" si="0">IF(D24&lt;&gt;0,F24/D24,0)</f>
        <v>0</v>
      </c>
      <c r="F24" s="158"/>
      <c r="G24" s="17"/>
      <c r="H24" s="156"/>
      <c r="I24" s="157">
        <f t="shared" ref="I24:I35" si="1">IF(H24&lt;&gt;0,J24/H24,0)</f>
        <v>0</v>
      </c>
      <c r="J24" s="159"/>
      <c r="K24" s="17"/>
      <c r="L24" s="156"/>
      <c r="M24" s="157">
        <f t="shared" ref="M24:M35" si="2">IF(L24&lt;&gt;0,N24/L24,0)</f>
        <v>0</v>
      </c>
      <c r="N24" s="158"/>
      <c r="O24" s="17"/>
      <c r="P24" s="47">
        <f t="shared" ref="P24:P35" si="3">J24+N24</f>
        <v>0</v>
      </c>
      <c r="Q24" s="17"/>
    </row>
    <row r="25" spans="2:17" ht="15.75" x14ac:dyDescent="0.25">
      <c r="B25" s="48" t="s">
        <v>129</v>
      </c>
      <c r="C25" s="17"/>
      <c r="D25" s="156"/>
      <c r="E25" s="157">
        <f t="shared" si="0"/>
        <v>0</v>
      </c>
      <c r="F25" s="158"/>
      <c r="G25" s="17"/>
      <c r="H25" s="156"/>
      <c r="I25" s="157">
        <f t="shared" si="1"/>
        <v>0</v>
      </c>
      <c r="J25" s="159"/>
      <c r="K25" s="17"/>
      <c r="L25" s="156"/>
      <c r="M25" s="157">
        <f t="shared" si="2"/>
        <v>0</v>
      </c>
      <c r="N25" s="158"/>
      <c r="O25" s="17"/>
      <c r="P25" s="47">
        <f t="shared" si="3"/>
        <v>0</v>
      </c>
      <c r="Q25" s="17"/>
    </row>
    <row r="26" spans="2:17" ht="15.75" x14ac:dyDescent="0.25">
      <c r="B26" s="48" t="s">
        <v>130</v>
      </c>
      <c r="C26" s="17"/>
      <c r="D26" s="156"/>
      <c r="E26" s="157">
        <f t="shared" si="0"/>
        <v>0</v>
      </c>
      <c r="F26" s="158"/>
      <c r="G26" s="17"/>
      <c r="H26" s="156"/>
      <c r="I26" s="157">
        <f t="shared" si="1"/>
        <v>0</v>
      </c>
      <c r="J26" s="159"/>
      <c r="K26" s="17"/>
      <c r="L26" s="156"/>
      <c r="M26" s="157">
        <f t="shared" si="2"/>
        <v>0</v>
      </c>
      <c r="N26" s="158"/>
      <c r="O26" s="17"/>
      <c r="P26" s="47">
        <f t="shared" si="3"/>
        <v>0</v>
      </c>
      <c r="Q26" s="17"/>
    </row>
    <row r="27" spans="2:17" ht="15.75" x14ac:dyDescent="0.25">
      <c r="B27" s="48" t="s">
        <v>131</v>
      </c>
      <c r="C27" s="17"/>
      <c r="D27" s="156"/>
      <c r="E27" s="157">
        <f t="shared" si="0"/>
        <v>0</v>
      </c>
      <c r="F27" s="158"/>
      <c r="G27" s="17"/>
      <c r="H27" s="156"/>
      <c r="I27" s="157">
        <f t="shared" si="1"/>
        <v>0</v>
      </c>
      <c r="J27" s="159"/>
      <c r="K27" s="17"/>
      <c r="L27" s="156"/>
      <c r="M27" s="157">
        <f t="shared" si="2"/>
        <v>0</v>
      </c>
      <c r="N27" s="158"/>
      <c r="O27" s="17"/>
      <c r="P27" s="47">
        <f t="shared" si="3"/>
        <v>0</v>
      </c>
      <c r="Q27" s="17"/>
    </row>
    <row r="28" spans="2:17" ht="15.75" x14ac:dyDescent="0.25">
      <c r="B28" s="48" t="s">
        <v>132</v>
      </c>
      <c r="C28" s="17"/>
      <c r="D28" s="156"/>
      <c r="E28" s="157">
        <f t="shared" si="0"/>
        <v>0</v>
      </c>
      <c r="F28" s="158"/>
      <c r="G28" s="17"/>
      <c r="H28" s="156"/>
      <c r="I28" s="157">
        <f t="shared" si="1"/>
        <v>0</v>
      </c>
      <c r="J28" s="159"/>
      <c r="K28" s="17"/>
      <c r="L28" s="156"/>
      <c r="M28" s="157">
        <f t="shared" si="2"/>
        <v>0</v>
      </c>
      <c r="N28" s="158"/>
      <c r="O28" s="17"/>
      <c r="P28" s="47">
        <f t="shared" si="3"/>
        <v>0</v>
      </c>
      <c r="Q28" s="17"/>
    </row>
    <row r="29" spans="2:17" ht="15.75" x14ac:dyDescent="0.25">
      <c r="B29" s="48" t="s">
        <v>133</v>
      </c>
      <c r="C29" s="17"/>
      <c r="D29" s="156"/>
      <c r="E29" s="157">
        <f t="shared" si="0"/>
        <v>0</v>
      </c>
      <c r="F29" s="158"/>
      <c r="G29" s="17"/>
      <c r="H29" s="156"/>
      <c r="I29" s="157">
        <f t="shared" si="1"/>
        <v>0</v>
      </c>
      <c r="J29" s="159"/>
      <c r="K29" s="17"/>
      <c r="L29" s="156"/>
      <c r="M29" s="157">
        <f t="shared" si="2"/>
        <v>0</v>
      </c>
      <c r="N29" s="158"/>
      <c r="O29" s="17"/>
      <c r="P29" s="47">
        <f t="shared" si="3"/>
        <v>0</v>
      </c>
      <c r="Q29" s="17"/>
    </row>
    <row r="30" spans="2:17" ht="15.75" x14ac:dyDescent="0.25">
      <c r="B30" s="48" t="s">
        <v>134</v>
      </c>
      <c r="C30" s="17"/>
      <c r="D30" s="156"/>
      <c r="E30" s="157">
        <f t="shared" si="0"/>
        <v>0</v>
      </c>
      <c r="F30" s="158"/>
      <c r="G30" s="17"/>
      <c r="H30" s="156"/>
      <c r="I30" s="157">
        <f t="shared" si="1"/>
        <v>0</v>
      </c>
      <c r="J30" s="159"/>
      <c r="K30" s="17"/>
      <c r="L30" s="156"/>
      <c r="M30" s="157">
        <f t="shared" si="2"/>
        <v>0</v>
      </c>
      <c r="N30" s="158"/>
      <c r="O30" s="17"/>
      <c r="P30" s="47">
        <f t="shared" si="3"/>
        <v>0</v>
      </c>
      <c r="Q30" s="17"/>
    </row>
    <row r="31" spans="2:17" ht="15.75" x14ac:dyDescent="0.25">
      <c r="B31" s="48" t="s">
        <v>135</v>
      </c>
      <c r="C31" s="17"/>
      <c r="D31" s="156"/>
      <c r="E31" s="157">
        <f t="shared" si="0"/>
        <v>0</v>
      </c>
      <c r="F31" s="158"/>
      <c r="G31" s="17"/>
      <c r="H31" s="156"/>
      <c r="I31" s="157">
        <f t="shared" si="1"/>
        <v>0</v>
      </c>
      <c r="J31" s="159"/>
      <c r="K31" s="17"/>
      <c r="L31" s="156"/>
      <c r="M31" s="157">
        <f t="shared" si="2"/>
        <v>0</v>
      </c>
      <c r="N31" s="158"/>
      <c r="O31" s="17"/>
      <c r="P31" s="47">
        <f t="shared" si="3"/>
        <v>0</v>
      </c>
      <c r="Q31" s="17"/>
    </row>
    <row r="32" spans="2:17" ht="15.75" x14ac:dyDescent="0.25">
      <c r="B32" s="48" t="s">
        <v>136</v>
      </c>
      <c r="C32" s="17"/>
      <c r="D32" s="156"/>
      <c r="E32" s="157">
        <f t="shared" si="0"/>
        <v>0</v>
      </c>
      <c r="F32" s="158"/>
      <c r="G32" s="17"/>
      <c r="H32" s="156"/>
      <c r="I32" s="157">
        <f t="shared" si="1"/>
        <v>0</v>
      </c>
      <c r="J32" s="159"/>
      <c r="K32" s="17"/>
      <c r="L32" s="156"/>
      <c r="M32" s="157">
        <f t="shared" si="2"/>
        <v>0</v>
      </c>
      <c r="N32" s="158"/>
      <c r="O32" s="17"/>
      <c r="P32" s="47">
        <f t="shared" si="3"/>
        <v>0</v>
      </c>
      <c r="Q32" s="17"/>
    </row>
    <row r="33" spans="2:17" ht="15.75" x14ac:dyDescent="0.25">
      <c r="B33" s="48" t="s">
        <v>137</v>
      </c>
      <c r="C33" s="17"/>
      <c r="D33" s="156"/>
      <c r="E33" s="157">
        <f t="shared" si="0"/>
        <v>0</v>
      </c>
      <c r="F33" s="158"/>
      <c r="G33" s="17"/>
      <c r="H33" s="156"/>
      <c r="I33" s="157">
        <f t="shared" si="1"/>
        <v>0</v>
      </c>
      <c r="J33" s="159"/>
      <c r="K33" s="17"/>
      <c r="L33" s="156"/>
      <c r="M33" s="157">
        <f t="shared" si="2"/>
        <v>0</v>
      </c>
      <c r="N33" s="158"/>
      <c r="O33" s="17"/>
      <c r="P33" s="47">
        <f t="shared" si="3"/>
        <v>0</v>
      </c>
      <c r="Q33" s="17"/>
    </row>
    <row r="34" spans="2:17" ht="15.75" x14ac:dyDescent="0.25">
      <c r="B34" s="48" t="s">
        <v>138</v>
      </c>
      <c r="C34" s="17"/>
      <c r="D34" s="156"/>
      <c r="E34" s="157">
        <f t="shared" si="0"/>
        <v>0</v>
      </c>
      <c r="F34" s="158"/>
      <c r="G34" s="17"/>
      <c r="H34" s="156"/>
      <c r="I34" s="157">
        <f t="shared" si="1"/>
        <v>0</v>
      </c>
      <c r="J34" s="159"/>
      <c r="K34" s="17"/>
      <c r="L34" s="156"/>
      <c r="M34" s="157">
        <f t="shared" si="2"/>
        <v>0</v>
      </c>
      <c r="N34" s="158"/>
      <c r="O34" s="17"/>
      <c r="P34" s="47">
        <f t="shared" si="3"/>
        <v>0</v>
      </c>
      <c r="Q34" s="17"/>
    </row>
    <row r="35" spans="2:17" ht="15.75" x14ac:dyDescent="0.25">
      <c r="B35" s="48" t="s">
        <v>139</v>
      </c>
      <c r="C35" s="17"/>
      <c r="D35" s="156"/>
      <c r="E35" s="157">
        <f t="shared" si="0"/>
        <v>0</v>
      </c>
      <c r="F35" s="158"/>
      <c r="G35" s="17"/>
      <c r="H35" s="156"/>
      <c r="I35" s="157">
        <f t="shared" si="1"/>
        <v>0</v>
      </c>
      <c r="J35" s="159"/>
      <c r="K35" s="17"/>
      <c r="L35" s="156"/>
      <c r="M35" s="157">
        <f t="shared" si="2"/>
        <v>0</v>
      </c>
      <c r="N35" s="158"/>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8" t="s">
        <v>229</v>
      </c>
      <c r="E39" s="178"/>
      <c r="F39" s="178"/>
      <c r="G39" s="142"/>
      <c r="H39" s="178" t="s">
        <v>232</v>
      </c>
      <c r="I39" s="178"/>
      <c r="J39" s="178"/>
      <c r="K39" s="142"/>
      <c r="L39" s="178" t="s">
        <v>231</v>
      </c>
      <c r="M39" s="178"/>
      <c r="N39" s="178"/>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156">
        <v>48239</v>
      </c>
      <c r="E43" s="157">
        <v>2.65</v>
      </c>
      <c r="F43" s="158">
        <f>D43*E43</f>
        <v>127833.34999999999</v>
      </c>
      <c r="G43" s="17"/>
      <c r="H43" s="156">
        <v>49787</v>
      </c>
      <c r="I43" s="157">
        <v>0.64</v>
      </c>
      <c r="J43" s="158">
        <f>H43*I43</f>
        <v>31863.68</v>
      </c>
      <c r="K43" s="17"/>
      <c r="L43" s="156">
        <v>49787</v>
      </c>
      <c r="M43" s="157">
        <v>1.5</v>
      </c>
      <c r="N43" s="158">
        <f>L43*M43</f>
        <v>74680.5</v>
      </c>
      <c r="O43" s="17"/>
      <c r="P43" s="47">
        <f t="shared" ref="P43:P54" si="4">J43+N43</f>
        <v>106544.18</v>
      </c>
      <c r="Q43" s="17"/>
    </row>
    <row r="44" spans="2:17" ht="15.75" x14ac:dyDescent="0.25">
      <c r="B44" s="48" t="s">
        <v>129</v>
      </c>
      <c r="C44" s="17"/>
      <c r="D44" s="156">
        <v>51110</v>
      </c>
      <c r="E44" s="157">
        <v>2.65</v>
      </c>
      <c r="F44" s="158">
        <f t="shared" ref="F44:F50" si="5">D44*E44</f>
        <v>135441.5</v>
      </c>
      <c r="G44" s="17"/>
      <c r="H44" s="156">
        <v>53267</v>
      </c>
      <c r="I44" s="157">
        <v>0.64</v>
      </c>
      <c r="J44" s="158">
        <f t="shared" ref="J44:J50" si="6">H44*I44</f>
        <v>34090.879999999997</v>
      </c>
      <c r="K44" s="17"/>
      <c r="L44" s="156">
        <v>53267</v>
      </c>
      <c r="M44" s="157">
        <v>1.5</v>
      </c>
      <c r="N44" s="158">
        <f t="shared" ref="N44:N50" si="7">L44*M44</f>
        <v>79900.5</v>
      </c>
      <c r="O44" s="17"/>
      <c r="P44" s="47">
        <f t="shared" si="4"/>
        <v>113991.38</v>
      </c>
      <c r="Q44" s="17"/>
    </row>
    <row r="45" spans="2:17" ht="15.75" x14ac:dyDescent="0.25">
      <c r="B45" s="48" t="s">
        <v>130</v>
      </c>
      <c r="C45" s="17"/>
      <c r="D45" s="156">
        <v>41351</v>
      </c>
      <c r="E45" s="157">
        <v>2.65</v>
      </c>
      <c r="F45" s="158">
        <f t="shared" si="5"/>
        <v>109580.15</v>
      </c>
      <c r="G45" s="17"/>
      <c r="H45" s="156">
        <v>42265</v>
      </c>
      <c r="I45" s="157">
        <v>0.64</v>
      </c>
      <c r="J45" s="158">
        <f t="shared" si="6"/>
        <v>27049.600000000002</v>
      </c>
      <c r="K45" s="17"/>
      <c r="L45" s="156">
        <v>42265</v>
      </c>
      <c r="M45" s="157">
        <v>1.5</v>
      </c>
      <c r="N45" s="158">
        <f t="shared" si="7"/>
        <v>63397.5</v>
      </c>
      <c r="O45" s="17"/>
      <c r="P45" s="47">
        <f t="shared" si="4"/>
        <v>90447.1</v>
      </c>
      <c r="Q45" s="17"/>
    </row>
    <row r="46" spans="2:17" ht="15.75" x14ac:dyDescent="0.25">
      <c r="B46" s="48" t="s">
        <v>131</v>
      </c>
      <c r="C46" s="17"/>
      <c r="D46" s="156">
        <v>34529</v>
      </c>
      <c r="E46" s="157">
        <v>2.65</v>
      </c>
      <c r="F46" s="158">
        <f t="shared" si="5"/>
        <v>91501.849999999991</v>
      </c>
      <c r="G46" s="17"/>
      <c r="H46" s="156">
        <v>35235</v>
      </c>
      <c r="I46" s="157">
        <v>0.64</v>
      </c>
      <c r="J46" s="158">
        <f t="shared" si="6"/>
        <v>22550.400000000001</v>
      </c>
      <c r="K46" s="17"/>
      <c r="L46" s="156">
        <v>35235</v>
      </c>
      <c r="M46" s="157">
        <v>1.5</v>
      </c>
      <c r="N46" s="158">
        <f t="shared" si="7"/>
        <v>52852.5</v>
      </c>
      <c r="O46" s="17"/>
      <c r="P46" s="47">
        <f t="shared" si="4"/>
        <v>75402.899999999994</v>
      </c>
      <c r="Q46" s="17"/>
    </row>
    <row r="47" spans="2:17" ht="15.75" x14ac:dyDescent="0.25">
      <c r="B47" s="48" t="s">
        <v>132</v>
      </c>
      <c r="C47" s="17"/>
      <c r="D47" s="156">
        <v>38660</v>
      </c>
      <c r="E47" s="157">
        <v>2.65</v>
      </c>
      <c r="F47" s="158">
        <f t="shared" si="5"/>
        <v>102449</v>
      </c>
      <c r="G47" s="17"/>
      <c r="H47" s="156">
        <v>40016</v>
      </c>
      <c r="I47" s="157">
        <v>0.64</v>
      </c>
      <c r="J47" s="158">
        <f t="shared" si="6"/>
        <v>25610.240000000002</v>
      </c>
      <c r="K47" s="17"/>
      <c r="L47" s="156">
        <v>40016</v>
      </c>
      <c r="M47" s="157">
        <v>1.5</v>
      </c>
      <c r="N47" s="158">
        <f t="shared" si="7"/>
        <v>60024</v>
      </c>
      <c r="O47" s="17"/>
      <c r="P47" s="47">
        <f t="shared" si="4"/>
        <v>85634.240000000005</v>
      </c>
      <c r="Q47" s="17"/>
    </row>
    <row r="48" spans="2:17" ht="15.75" x14ac:dyDescent="0.25">
      <c r="B48" s="48" t="s">
        <v>133</v>
      </c>
      <c r="C48" s="17"/>
      <c r="D48" s="156">
        <v>38616</v>
      </c>
      <c r="E48" s="157">
        <v>2.65</v>
      </c>
      <c r="F48" s="158">
        <f t="shared" si="5"/>
        <v>102332.4</v>
      </c>
      <c r="G48" s="17"/>
      <c r="H48" s="156">
        <v>40241</v>
      </c>
      <c r="I48" s="157">
        <v>0.64</v>
      </c>
      <c r="J48" s="158">
        <f t="shared" si="6"/>
        <v>25754.240000000002</v>
      </c>
      <c r="K48" s="17"/>
      <c r="L48" s="156">
        <v>40241</v>
      </c>
      <c r="M48" s="157">
        <v>1.5</v>
      </c>
      <c r="N48" s="158">
        <f t="shared" si="7"/>
        <v>60361.5</v>
      </c>
      <c r="O48" s="17"/>
      <c r="P48" s="47">
        <f t="shared" si="4"/>
        <v>86115.74</v>
      </c>
      <c r="Q48" s="17"/>
    </row>
    <row r="49" spans="2:17" ht="15.75" x14ac:dyDescent="0.25">
      <c r="B49" s="48" t="s">
        <v>134</v>
      </c>
      <c r="C49" s="17"/>
      <c r="D49" s="156">
        <v>49285</v>
      </c>
      <c r="E49" s="157">
        <v>2.65</v>
      </c>
      <c r="F49" s="158">
        <f t="shared" si="5"/>
        <v>130605.25</v>
      </c>
      <c r="G49" s="17"/>
      <c r="H49" s="156">
        <v>49902</v>
      </c>
      <c r="I49" s="157">
        <v>0.64</v>
      </c>
      <c r="J49" s="158">
        <f t="shared" si="6"/>
        <v>31937.280000000002</v>
      </c>
      <c r="K49" s="17"/>
      <c r="L49" s="156">
        <v>49902</v>
      </c>
      <c r="M49" s="157">
        <v>1.5</v>
      </c>
      <c r="N49" s="158">
        <f t="shared" si="7"/>
        <v>74853</v>
      </c>
      <c r="O49" s="17"/>
      <c r="P49" s="47">
        <f t="shared" si="4"/>
        <v>106790.28</v>
      </c>
      <c r="Q49" s="17"/>
    </row>
    <row r="50" spans="2:17" ht="15.75" x14ac:dyDescent="0.25">
      <c r="B50" s="48" t="s">
        <v>135</v>
      </c>
      <c r="C50" s="17"/>
      <c r="D50" s="156">
        <v>38726</v>
      </c>
      <c r="E50" s="157">
        <v>2.65</v>
      </c>
      <c r="F50" s="158">
        <f t="shared" si="5"/>
        <v>102623.9</v>
      </c>
      <c r="G50" s="17"/>
      <c r="H50" s="156">
        <v>43230</v>
      </c>
      <c r="I50" s="157">
        <v>0.64</v>
      </c>
      <c r="J50" s="158">
        <f t="shared" si="6"/>
        <v>27667.200000000001</v>
      </c>
      <c r="K50" s="17"/>
      <c r="L50" s="156">
        <v>43230</v>
      </c>
      <c r="M50" s="157">
        <v>1.5</v>
      </c>
      <c r="N50" s="158">
        <f t="shared" si="7"/>
        <v>64845</v>
      </c>
      <c r="O50" s="17"/>
      <c r="P50" s="47">
        <f t="shared" si="4"/>
        <v>92512.2</v>
      </c>
      <c r="Q50" s="17"/>
    </row>
    <row r="51" spans="2:17" ht="15.75" x14ac:dyDescent="0.25">
      <c r="B51" s="48" t="s">
        <v>136</v>
      </c>
      <c r="C51" s="17"/>
      <c r="D51" s="156">
        <v>36240</v>
      </c>
      <c r="E51" s="157">
        <f t="shared" ref="E51:E54" si="8">IF(D51&lt;&gt;0,F51/D51,0)</f>
        <v>2.65</v>
      </c>
      <c r="F51" s="158">
        <v>96036</v>
      </c>
      <c r="G51" s="17"/>
      <c r="H51" s="156">
        <v>37500</v>
      </c>
      <c r="I51" s="157">
        <f t="shared" ref="I51:I54" si="9">IF(H51&lt;&gt;0,J51/H51,0)</f>
        <v>0.64</v>
      </c>
      <c r="J51" s="158">
        <v>24000</v>
      </c>
      <c r="K51" s="17"/>
      <c r="L51" s="156">
        <v>37500</v>
      </c>
      <c r="M51" s="157">
        <f t="shared" ref="M51:M54" si="10">IF(L51&lt;&gt;0,N51/L51,0)</f>
        <v>1.5</v>
      </c>
      <c r="N51" s="158">
        <v>56250</v>
      </c>
      <c r="O51" s="17"/>
      <c r="P51" s="47">
        <f t="shared" si="4"/>
        <v>80250</v>
      </c>
      <c r="Q51" s="17"/>
    </row>
    <row r="52" spans="2:17" ht="15.75" x14ac:dyDescent="0.25">
      <c r="B52" s="48" t="s">
        <v>137</v>
      </c>
      <c r="C52" s="17"/>
      <c r="D52" s="156">
        <v>33735</v>
      </c>
      <c r="E52" s="157">
        <f t="shared" si="8"/>
        <v>2.65</v>
      </c>
      <c r="F52" s="158">
        <v>89397.75</v>
      </c>
      <c r="G52" s="17"/>
      <c r="H52" s="156">
        <v>34880</v>
      </c>
      <c r="I52" s="157">
        <f t="shared" si="9"/>
        <v>0.64</v>
      </c>
      <c r="J52" s="158">
        <v>22323.200000000001</v>
      </c>
      <c r="K52" s="17"/>
      <c r="L52" s="156">
        <v>34880</v>
      </c>
      <c r="M52" s="157">
        <f t="shared" si="10"/>
        <v>1.5</v>
      </c>
      <c r="N52" s="158">
        <v>52320</v>
      </c>
      <c r="O52" s="17"/>
      <c r="P52" s="47">
        <f t="shared" si="4"/>
        <v>74643.199999999997</v>
      </c>
      <c r="Q52" s="17"/>
    </row>
    <row r="53" spans="2:17" ht="15.75" x14ac:dyDescent="0.25">
      <c r="B53" s="48" t="s">
        <v>138</v>
      </c>
      <c r="C53" s="17"/>
      <c r="D53" s="156">
        <v>37599</v>
      </c>
      <c r="E53" s="157">
        <f t="shared" si="8"/>
        <v>2.6500000000000004</v>
      </c>
      <c r="F53" s="158">
        <v>99637.35</v>
      </c>
      <c r="G53" s="17"/>
      <c r="H53" s="156">
        <v>38351</v>
      </c>
      <c r="I53" s="157">
        <f t="shared" si="9"/>
        <v>0.64</v>
      </c>
      <c r="J53" s="158">
        <v>24544.639999999999</v>
      </c>
      <c r="K53" s="17"/>
      <c r="L53" s="156">
        <v>38351</v>
      </c>
      <c r="M53" s="157">
        <f t="shared" si="10"/>
        <v>1.5</v>
      </c>
      <c r="N53" s="158">
        <v>57526.5</v>
      </c>
      <c r="O53" s="17"/>
      <c r="P53" s="47">
        <f t="shared" si="4"/>
        <v>82071.14</v>
      </c>
      <c r="Q53" s="17"/>
    </row>
    <row r="54" spans="2:17" ht="15.75" x14ac:dyDescent="0.25">
      <c r="B54" s="48" t="s">
        <v>139</v>
      </c>
      <c r="C54" s="17"/>
      <c r="D54" s="156">
        <v>50446</v>
      </c>
      <c r="E54" s="157">
        <f t="shared" si="8"/>
        <v>2.65</v>
      </c>
      <c r="F54" s="158">
        <v>133681.9</v>
      </c>
      <c r="G54" s="17"/>
      <c r="H54" s="156">
        <v>50527</v>
      </c>
      <c r="I54" s="157">
        <f t="shared" si="9"/>
        <v>0.64</v>
      </c>
      <c r="J54" s="158">
        <v>32337.279999999999</v>
      </c>
      <c r="K54" s="17"/>
      <c r="L54" s="156">
        <v>50527</v>
      </c>
      <c r="M54" s="157">
        <f t="shared" si="10"/>
        <v>1.5</v>
      </c>
      <c r="N54" s="158">
        <v>75790.5</v>
      </c>
      <c r="O54" s="17"/>
      <c r="P54" s="47">
        <f t="shared" si="4"/>
        <v>108127.78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498536</v>
      </c>
      <c r="E56" s="51">
        <f>IF(D56&lt;&gt;0,F56/D56,0)</f>
        <v>2.65</v>
      </c>
      <c r="F56" s="52">
        <f>SUM(F43:F54)</f>
        <v>1321120.3999999999</v>
      </c>
      <c r="G56" s="17"/>
      <c r="H56" s="50">
        <f>SUM(H43:H54)</f>
        <v>515201</v>
      </c>
      <c r="I56" s="51">
        <f>IF(H56&lt;&gt;0,J56/H56,0)</f>
        <v>0.64</v>
      </c>
      <c r="J56" s="52">
        <f>SUM(J43:J54)</f>
        <v>329728.64000000001</v>
      </c>
      <c r="K56" s="17"/>
      <c r="L56" s="50">
        <f>SUM(L43:L54)</f>
        <v>515201</v>
      </c>
      <c r="M56" s="51">
        <f>IF(L56&lt;&gt;0,N56/L56,0)</f>
        <v>1.5</v>
      </c>
      <c r="N56" s="52">
        <f>SUM(N43:N54)</f>
        <v>772801.5</v>
      </c>
      <c r="O56" s="17"/>
      <c r="P56" s="52">
        <f>SUM(P43:P54)</f>
        <v>1102530.1399999999</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8" t="s">
        <v>229</v>
      </c>
      <c r="E58" s="178"/>
      <c r="F58" s="178"/>
      <c r="G58" s="142"/>
      <c r="H58" s="178" t="s">
        <v>232</v>
      </c>
      <c r="I58" s="178"/>
      <c r="J58" s="178"/>
      <c r="K58" s="142"/>
      <c r="L58" s="178" t="s">
        <v>231</v>
      </c>
      <c r="M58" s="178"/>
      <c r="N58" s="178"/>
      <c r="O58" s="142"/>
      <c r="P58" s="143" t="s">
        <v>230</v>
      </c>
      <c r="Q58" s="17"/>
    </row>
    <row r="59" spans="2:17" ht="15.75" x14ac:dyDescent="0.25">
      <c r="B59" s="17"/>
      <c r="C59" s="17"/>
      <c r="D59" s="179"/>
      <c r="E59" s="179"/>
      <c r="F59" s="179"/>
      <c r="G59" s="44"/>
      <c r="H59" s="179"/>
      <c r="I59" s="179"/>
      <c r="J59" s="179"/>
      <c r="K59" s="44"/>
      <c r="L59" s="179"/>
      <c r="M59" s="179"/>
      <c r="N59" s="179"/>
      <c r="O59" s="44"/>
      <c r="P59" s="43"/>
      <c r="Q59" s="17"/>
    </row>
    <row r="60" spans="2:17" ht="33"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1">D24+D43</f>
        <v>48239</v>
      </c>
      <c r="E62" s="87">
        <f t="shared" ref="E62:E73" si="12">IF(D62&lt;&gt;0,F62/D62,0)</f>
        <v>2.65</v>
      </c>
      <c r="F62" s="47">
        <f t="shared" ref="F62:F73" si="13">F24+F43</f>
        <v>127833.34999999999</v>
      </c>
      <c r="G62" s="17"/>
      <c r="H62" s="53">
        <f t="shared" ref="H62:H73" si="14">H24+H43</f>
        <v>49787</v>
      </c>
      <c r="I62" s="87">
        <f t="shared" ref="I62:I73" si="15">IF(H62&lt;&gt;0,J62/H62,0)</f>
        <v>0.64</v>
      </c>
      <c r="J62" s="47">
        <f t="shared" ref="J62:J73" si="16">J24+J43</f>
        <v>31863.68</v>
      </c>
      <c r="K62" s="17"/>
      <c r="L62" s="53">
        <f t="shared" ref="L62:L73" si="17">L24+L43</f>
        <v>49787</v>
      </c>
      <c r="M62" s="87">
        <f t="shared" ref="M62:M73" si="18">IF(L62&lt;&gt;0,N62/L62,0)</f>
        <v>1.5</v>
      </c>
      <c r="N62" s="47">
        <f t="shared" ref="N62:N73" si="19">N24+N43</f>
        <v>74680.5</v>
      </c>
      <c r="O62" s="17"/>
      <c r="P62" s="47">
        <f t="shared" ref="P62:P73" si="20">J62+N62</f>
        <v>106544.18</v>
      </c>
      <c r="Q62" s="17"/>
    </row>
    <row r="63" spans="2:17" ht="15.75" x14ac:dyDescent="0.25">
      <c r="B63" s="48" t="s">
        <v>129</v>
      </c>
      <c r="C63" s="17"/>
      <c r="D63" s="53">
        <f t="shared" si="11"/>
        <v>51110</v>
      </c>
      <c r="E63" s="87">
        <f t="shared" si="12"/>
        <v>2.65</v>
      </c>
      <c r="F63" s="47">
        <f t="shared" si="13"/>
        <v>135441.5</v>
      </c>
      <c r="G63" s="17"/>
      <c r="H63" s="53">
        <f t="shared" si="14"/>
        <v>53267</v>
      </c>
      <c r="I63" s="87">
        <f t="shared" si="15"/>
        <v>0.6399999999999999</v>
      </c>
      <c r="J63" s="47">
        <f t="shared" si="16"/>
        <v>34090.879999999997</v>
      </c>
      <c r="K63" s="17"/>
      <c r="L63" s="53">
        <f t="shared" si="17"/>
        <v>53267</v>
      </c>
      <c r="M63" s="87">
        <f t="shared" si="18"/>
        <v>1.5</v>
      </c>
      <c r="N63" s="47">
        <f t="shared" si="19"/>
        <v>79900.5</v>
      </c>
      <c r="O63" s="17"/>
      <c r="P63" s="47">
        <f t="shared" si="20"/>
        <v>113991.38</v>
      </c>
      <c r="Q63" s="17"/>
    </row>
    <row r="64" spans="2:17" ht="15.75" x14ac:dyDescent="0.25">
      <c r="B64" s="48" t="s">
        <v>130</v>
      </c>
      <c r="C64" s="17"/>
      <c r="D64" s="53">
        <f t="shared" si="11"/>
        <v>41351</v>
      </c>
      <c r="E64" s="87">
        <f t="shared" si="12"/>
        <v>2.65</v>
      </c>
      <c r="F64" s="47">
        <f t="shared" si="13"/>
        <v>109580.15</v>
      </c>
      <c r="G64" s="17"/>
      <c r="H64" s="53">
        <f t="shared" si="14"/>
        <v>42265</v>
      </c>
      <c r="I64" s="87">
        <f t="shared" si="15"/>
        <v>0.64</v>
      </c>
      <c r="J64" s="47">
        <f t="shared" si="16"/>
        <v>27049.600000000002</v>
      </c>
      <c r="K64" s="17"/>
      <c r="L64" s="53">
        <f t="shared" si="17"/>
        <v>42265</v>
      </c>
      <c r="M64" s="87">
        <f t="shared" si="18"/>
        <v>1.5</v>
      </c>
      <c r="N64" s="47">
        <f t="shared" si="19"/>
        <v>63397.5</v>
      </c>
      <c r="O64" s="17"/>
      <c r="P64" s="47">
        <f t="shared" si="20"/>
        <v>90447.1</v>
      </c>
      <c r="Q64" s="17"/>
    </row>
    <row r="65" spans="2:17" ht="15.75" x14ac:dyDescent="0.25">
      <c r="B65" s="48" t="s">
        <v>131</v>
      </c>
      <c r="C65" s="17"/>
      <c r="D65" s="53">
        <f t="shared" si="11"/>
        <v>34529</v>
      </c>
      <c r="E65" s="87">
        <f t="shared" si="12"/>
        <v>2.65</v>
      </c>
      <c r="F65" s="47">
        <f t="shared" si="13"/>
        <v>91501.849999999991</v>
      </c>
      <c r="G65" s="17"/>
      <c r="H65" s="53">
        <f t="shared" si="14"/>
        <v>35235</v>
      </c>
      <c r="I65" s="87">
        <f t="shared" si="15"/>
        <v>0.64</v>
      </c>
      <c r="J65" s="47">
        <f t="shared" si="16"/>
        <v>22550.400000000001</v>
      </c>
      <c r="K65" s="17"/>
      <c r="L65" s="53">
        <f t="shared" si="17"/>
        <v>35235</v>
      </c>
      <c r="M65" s="87">
        <f t="shared" si="18"/>
        <v>1.5</v>
      </c>
      <c r="N65" s="47">
        <f t="shared" si="19"/>
        <v>52852.5</v>
      </c>
      <c r="O65" s="17"/>
      <c r="P65" s="47">
        <f t="shared" si="20"/>
        <v>75402.899999999994</v>
      </c>
      <c r="Q65" s="17"/>
    </row>
    <row r="66" spans="2:17" ht="15.75" x14ac:dyDescent="0.25">
      <c r="B66" s="48" t="s">
        <v>132</v>
      </c>
      <c r="C66" s="17"/>
      <c r="D66" s="53">
        <f t="shared" si="11"/>
        <v>38660</v>
      </c>
      <c r="E66" s="87">
        <f t="shared" si="12"/>
        <v>2.65</v>
      </c>
      <c r="F66" s="47">
        <f t="shared" si="13"/>
        <v>102449</v>
      </c>
      <c r="G66" s="17"/>
      <c r="H66" s="53">
        <f t="shared" si="14"/>
        <v>40016</v>
      </c>
      <c r="I66" s="87">
        <f t="shared" si="15"/>
        <v>0.64</v>
      </c>
      <c r="J66" s="47">
        <f t="shared" si="16"/>
        <v>25610.240000000002</v>
      </c>
      <c r="K66" s="17"/>
      <c r="L66" s="53">
        <f t="shared" si="17"/>
        <v>40016</v>
      </c>
      <c r="M66" s="87">
        <f t="shared" si="18"/>
        <v>1.5</v>
      </c>
      <c r="N66" s="47">
        <f t="shared" si="19"/>
        <v>60024</v>
      </c>
      <c r="O66" s="17"/>
      <c r="P66" s="47">
        <f t="shared" si="20"/>
        <v>85634.240000000005</v>
      </c>
      <c r="Q66" s="17"/>
    </row>
    <row r="67" spans="2:17" ht="15.75" x14ac:dyDescent="0.25">
      <c r="B67" s="48" t="s">
        <v>133</v>
      </c>
      <c r="C67" s="17"/>
      <c r="D67" s="53">
        <f t="shared" si="11"/>
        <v>38616</v>
      </c>
      <c r="E67" s="87">
        <f t="shared" si="12"/>
        <v>2.65</v>
      </c>
      <c r="F67" s="47">
        <f t="shared" si="13"/>
        <v>102332.4</v>
      </c>
      <c r="G67" s="17"/>
      <c r="H67" s="53">
        <f t="shared" si="14"/>
        <v>40241</v>
      </c>
      <c r="I67" s="87">
        <f t="shared" si="15"/>
        <v>0.64</v>
      </c>
      <c r="J67" s="47">
        <f t="shared" si="16"/>
        <v>25754.240000000002</v>
      </c>
      <c r="K67" s="17"/>
      <c r="L67" s="53">
        <f t="shared" si="17"/>
        <v>40241</v>
      </c>
      <c r="M67" s="87">
        <f t="shared" si="18"/>
        <v>1.5</v>
      </c>
      <c r="N67" s="47">
        <f t="shared" si="19"/>
        <v>60361.5</v>
      </c>
      <c r="O67" s="17"/>
      <c r="P67" s="47">
        <f t="shared" si="20"/>
        <v>86115.74</v>
      </c>
      <c r="Q67" s="17"/>
    </row>
    <row r="68" spans="2:17" ht="15.75" x14ac:dyDescent="0.25">
      <c r="B68" s="48" t="s">
        <v>134</v>
      </c>
      <c r="C68" s="17"/>
      <c r="D68" s="53">
        <f t="shared" si="11"/>
        <v>49285</v>
      </c>
      <c r="E68" s="87">
        <f t="shared" si="12"/>
        <v>2.65</v>
      </c>
      <c r="F68" s="47">
        <f t="shared" si="13"/>
        <v>130605.25</v>
      </c>
      <c r="G68" s="17"/>
      <c r="H68" s="53">
        <f t="shared" si="14"/>
        <v>49902</v>
      </c>
      <c r="I68" s="87">
        <f t="shared" si="15"/>
        <v>0.64</v>
      </c>
      <c r="J68" s="47">
        <f t="shared" si="16"/>
        <v>31937.280000000002</v>
      </c>
      <c r="K68" s="17"/>
      <c r="L68" s="53">
        <f t="shared" si="17"/>
        <v>49902</v>
      </c>
      <c r="M68" s="87">
        <f t="shared" si="18"/>
        <v>1.5</v>
      </c>
      <c r="N68" s="47">
        <f t="shared" si="19"/>
        <v>74853</v>
      </c>
      <c r="O68" s="17"/>
      <c r="P68" s="47">
        <f t="shared" si="20"/>
        <v>106790.28</v>
      </c>
      <c r="Q68" s="17"/>
    </row>
    <row r="69" spans="2:17" ht="15.75" x14ac:dyDescent="0.25">
      <c r="B69" s="48" t="s">
        <v>135</v>
      </c>
      <c r="C69" s="17"/>
      <c r="D69" s="53">
        <f t="shared" si="11"/>
        <v>38726</v>
      </c>
      <c r="E69" s="87">
        <f t="shared" si="12"/>
        <v>2.65</v>
      </c>
      <c r="F69" s="47">
        <f t="shared" si="13"/>
        <v>102623.9</v>
      </c>
      <c r="G69" s="17"/>
      <c r="H69" s="53">
        <f t="shared" si="14"/>
        <v>43230</v>
      </c>
      <c r="I69" s="87">
        <f t="shared" si="15"/>
        <v>0.64</v>
      </c>
      <c r="J69" s="47">
        <f t="shared" si="16"/>
        <v>27667.200000000001</v>
      </c>
      <c r="K69" s="17"/>
      <c r="L69" s="53">
        <f t="shared" si="17"/>
        <v>43230</v>
      </c>
      <c r="M69" s="87">
        <f t="shared" si="18"/>
        <v>1.5</v>
      </c>
      <c r="N69" s="47">
        <f t="shared" si="19"/>
        <v>64845</v>
      </c>
      <c r="O69" s="17"/>
      <c r="P69" s="47">
        <f t="shared" si="20"/>
        <v>92512.2</v>
      </c>
      <c r="Q69" s="17"/>
    </row>
    <row r="70" spans="2:17" ht="15.75" x14ac:dyDescent="0.25">
      <c r="B70" s="48" t="s">
        <v>136</v>
      </c>
      <c r="C70" s="17"/>
      <c r="D70" s="53">
        <f t="shared" si="11"/>
        <v>36240</v>
      </c>
      <c r="E70" s="87">
        <f t="shared" si="12"/>
        <v>2.65</v>
      </c>
      <c r="F70" s="47">
        <f t="shared" si="13"/>
        <v>96036</v>
      </c>
      <c r="G70" s="17"/>
      <c r="H70" s="53">
        <f t="shared" si="14"/>
        <v>37500</v>
      </c>
      <c r="I70" s="87">
        <f t="shared" si="15"/>
        <v>0.64</v>
      </c>
      <c r="J70" s="47">
        <f t="shared" si="16"/>
        <v>24000</v>
      </c>
      <c r="K70" s="17"/>
      <c r="L70" s="53">
        <f t="shared" si="17"/>
        <v>37500</v>
      </c>
      <c r="M70" s="87">
        <f t="shared" si="18"/>
        <v>1.5</v>
      </c>
      <c r="N70" s="47">
        <f t="shared" si="19"/>
        <v>56250</v>
      </c>
      <c r="O70" s="17"/>
      <c r="P70" s="47">
        <f t="shared" si="20"/>
        <v>80250</v>
      </c>
      <c r="Q70" s="17"/>
    </row>
    <row r="71" spans="2:17" ht="15.75" x14ac:dyDescent="0.25">
      <c r="B71" s="48" t="s">
        <v>137</v>
      </c>
      <c r="C71" s="17"/>
      <c r="D71" s="53">
        <f t="shared" si="11"/>
        <v>33735</v>
      </c>
      <c r="E71" s="87">
        <f t="shared" si="12"/>
        <v>2.65</v>
      </c>
      <c r="F71" s="47">
        <f t="shared" si="13"/>
        <v>89397.75</v>
      </c>
      <c r="G71" s="17"/>
      <c r="H71" s="53">
        <f t="shared" si="14"/>
        <v>34880</v>
      </c>
      <c r="I71" s="87">
        <f t="shared" si="15"/>
        <v>0.64</v>
      </c>
      <c r="J71" s="47">
        <f t="shared" si="16"/>
        <v>22323.200000000001</v>
      </c>
      <c r="K71" s="17"/>
      <c r="L71" s="53">
        <f t="shared" si="17"/>
        <v>34880</v>
      </c>
      <c r="M71" s="87">
        <f t="shared" si="18"/>
        <v>1.5</v>
      </c>
      <c r="N71" s="47">
        <f t="shared" si="19"/>
        <v>52320</v>
      </c>
      <c r="O71" s="17"/>
      <c r="P71" s="47">
        <f t="shared" si="20"/>
        <v>74643.199999999997</v>
      </c>
      <c r="Q71" s="17"/>
    </row>
    <row r="72" spans="2:17" ht="15.75" x14ac:dyDescent="0.25">
      <c r="B72" s="48" t="s">
        <v>138</v>
      </c>
      <c r="C72" s="17"/>
      <c r="D72" s="53">
        <f t="shared" si="11"/>
        <v>37599</v>
      </c>
      <c r="E72" s="87">
        <f t="shared" si="12"/>
        <v>2.6500000000000004</v>
      </c>
      <c r="F72" s="47">
        <f t="shared" si="13"/>
        <v>99637.35</v>
      </c>
      <c r="G72" s="17"/>
      <c r="H72" s="53">
        <f t="shared" si="14"/>
        <v>38351</v>
      </c>
      <c r="I72" s="87">
        <f t="shared" si="15"/>
        <v>0.64</v>
      </c>
      <c r="J72" s="47">
        <f t="shared" si="16"/>
        <v>24544.639999999999</v>
      </c>
      <c r="K72" s="17"/>
      <c r="L72" s="53">
        <f t="shared" si="17"/>
        <v>38351</v>
      </c>
      <c r="M72" s="87">
        <f t="shared" si="18"/>
        <v>1.5</v>
      </c>
      <c r="N72" s="47">
        <f t="shared" si="19"/>
        <v>57526.5</v>
      </c>
      <c r="O72" s="17"/>
      <c r="P72" s="47">
        <f t="shared" si="20"/>
        <v>82071.14</v>
      </c>
      <c r="Q72" s="17"/>
    </row>
    <row r="73" spans="2:17" ht="15.75" x14ac:dyDescent="0.25">
      <c r="B73" s="48" t="s">
        <v>139</v>
      </c>
      <c r="C73" s="17"/>
      <c r="D73" s="53">
        <f t="shared" si="11"/>
        <v>50446</v>
      </c>
      <c r="E73" s="87">
        <f t="shared" si="12"/>
        <v>2.65</v>
      </c>
      <c r="F73" s="47">
        <f t="shared" si="13"/>
        <v>133681.9</v>
      </c>
      <c r="G73" s="17"/>
      <c r="H73" s="53">
        <f t="shared" si="14"/>
        <v>50527</v>
      </c>
      <c r="I73" s="87">
        <f t="shared" si="15"/>
        <v>0.64</v>
      </c>
      <c r="J73" s="47">
        <f t="shared" si="16"/>
        <v>32337.279999999999</v>
      </c>
      <c r="K73" s="17"/>
      <c r="L73" s="53">
        <f t="shared" si="17"/>
        <v>50527</v>
      </c>
      <c r="M73" s="87">
        <f t="shared" si="18"/>
        <v>1.5</v>
      </c>
      <c r="N73" s="47">
        <f t="shared" si="19"/>
        <v>75790.5</v>
      </c>
      <c r="O73" s="17"/>
      <c r="P73" s="47">
        <f t="shared" si="20"/>
        <v>108127.78</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498536</v>
      </c>
      <c r="E75" s="51">
        <f>IF(D75&lt;&gt;0,F75/D75,0)</f>
        <v>2.65</v>
      </c>
      <c r="F75" s="52">
        <f>SUM(F62:F73)</f>
        <v>1321120.3999999999</v>
      </c>
      <c r="G75" s="17"/>
      <c r="H75" s="50">
        <f>SUM(H62:H73)</f>
        <v>515201</v>
      </c>
      <c r="I75" s="51">
        <f>IF(H75&lt;&gt;0,J75/H75,0)</f>
        <v>0.64</v>
      </c>
      <c r="J75" s="52">
        <f>SUM(J62:J73)</f>
        <v>329728.64000000001</v>
      </c>
      <c r="K75" s="17"/>
      <c r="L75" s="50">
        <f>SUM(L62:L73)</f>
        <v>515201</v>
      </c>
      <c r="M75" s="51">
        <f>IF(L75&lt;&gt;0,N75/L75,0)</f>
        <v>1.5</v>
      </c>
      <c r="N75" s="52">
        <f>SUM(N62:N73)</f>
        <v>772801.5</v>
      </c>
      <c r="O75" s="17"/>
      <c r="P75" s="52">
        <f>SUM(P62:P73)</f>
        <v>1102530.1399999999</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rintOptions horizontalCentered="1"/>
  <pageMargins left="0.35433070866141736" right="0.35433070866141736" top="0.39370078740157483" bottom="0.39370078740157483" header="0.51181102362204722" footer="0.51181102362204722"/>
  <pageSetup scale="78" fitToHeight="21" orientation="landscape"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Q75"/>
  <sheetViews>
    <sheetView showGridLines="0" topLeftCell="B1" zoomScaleNormal="100" workbookViewId="0">
      <pane ySplit="16" topLeftCell="A59" activePane="bottomLeft" state="frozenSplit"/>
      <selection activeCell="O16" sqref="O16"/>
      <selection pane="bottomLeft" activeCell="O16" sqref="O16"/>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180" t="s">
        <v>234</v>
      </c>
      <c r="C13" s="180"/>
      <c r="D13" s="180"/>
      <c r="E13" s="180"/>
      <c r="F13" s="180"/>
      <c r="G13" s="180"/>
      <c r="H13" s="180"/>
      <c r="I13" s="180"/>
      <c r="J13" s="180"/>
      <c r="K13" s="180"/>
      <c r="L13" s="180"/>
    </row>
    <row r="19" spans="2:17" ht="15.75" x14ac:dyDescent="0.25">
      <c r="B19" s="17"/>
      <c r="C19" s="17"/>
      <c r="D19" s="18"/>
      <c r="E19" s="21"/>
      <c r="F19" s="17"/>
      <c r="G19" s="21"/>
      <c r="H19" s="17"/>
    </row>
    <row r="20" spans="2:17" ht="15.75" x14ac:dyDescent="0.2">
      <c r="B20" s="143" t="s">
        <v>228</v>
      </c>
      <c r="C20" s="142"/>
      <c r="D20" s="178" t="s">
        <v>229</v>
      </c>
      <c r="E20" s="178"/>
      <c r="F20" s="178"/>
      <c r="G20" s="142"/>
      <c r="H20" s="178" t="s">
        <v>232</v>
      </c>
      <c r="I20" s="178"/>
      <c r="J20" s="178"/>
      <c r="K20" s="142"/>
      <c r="L20" s="178" t="s">
        <v>231</v>
      </c>
      <c r="M20" s="178"/>
      <c r="N20" s="178"/>
      <c r="O20" s="142"/>
      <c r="P20" s="143" t="s">
        <v>230</v>
      </c>
      <c r="Q20" s="17"/>
    </row>
    <row r="21" spans="2:17" ht="15.75" x14ac:dyDescent="0.25">
      <c r="B21" s="17"/>
      <c r="C21" s="17"/>
      <c r="D21" s="179"/>
      <c r="E21" s="179"/>
      <c r="F21" s="179"/>
      <c r="G21" s="44"/>
      <c r="H21" s="179"/>
      <c r="I21" s="179"/>
      <c r="J21" s="179"/>
      <c r="K21" s="44"/>
      <c r="L21" s="179"/>
      <c r="M21" s="179"/>
      <c r="N21" s="179"/>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0</v>
      </c>
      <c r="E24" s="89">
        <f>'5. UTRs and Sub-Transmission'!G22</f>
        <v>3.57</v>
      </c>
      <c r="F24" s="90">
        <f>D24*E24</f>
        <v>0</v>
      </c>
      <c r="G24" s="17"/>
      <c r="H24" s="88">
        <f>'6. Historical Wholesale'!H24</f>
        <v>0</v>
      </c>
      <c r="I24" s="89">
        <f>'5. UTRs and Sub-Transmission'!G24</f>
        <v>0.8</v>
      </c>
      <c r="J24" s="90">
        <f>H24*I24</f>
        <v>0</v>
      </c>
      <c r="K24" s="17"/>
      <c r="L24" s="88">
        <f>'6. Historical Wholesale'!L24</f>
        <v>0</v>
      </c>
      <c r="M24" s="89">
        <f>'5. UTRs and Sub-Transmission'!G26</f>
        <v>1.86</v>
      </c>
      <c r="N24" s="90">
        <f>L24*M24</f>
        <v>0</v>
      </c>
      <c r="O24" s="17"/>
      <c r="P24" s="47">
        <f t="shared" ref="P24:P35" si="0">J24+N24</f>
        <v>0</v>
      </c>
      <c r="Q24" s="17"/>
    </row>
    <row r="25" spans="2:17" ht="15.75" x14ac:dyDescent="0.25">
      <c r="B25" s="48" t="s">
        <v>129</v>
      </c>
      <c r="C25" s="17"/>
      <c r="D25" s="88">
        <f>'6. Historical Wholesale'!D25</f>
        <v>0</v>
      </c>
      <c r="E25" s="89">
        <f>E24</f>
        <v>3.57</v>
      </c>
      <c r="F25" s="90">
        <f t="shared" ref="F25:F35" si="1">D25*E25</f>
        <v>0</v>
      </c>
      <c r="G25" s="17"/>
      <c r="H25" s="88">
        <f>'6. Historical Wholesale'!H25</f>
        <v>0</v>
      </c>
      <c r="I25" s="89">
        <f>I24</f>
        <v>0.8</v>
      </c>
      <c r="J25" s="90">
        <f t="shared" ref="J25:J35" si="2">H25*I25</f>
        <v>0</v>
      </c>
      <c r="K25" s="17"/>
      <c r="L25" s="88">
        <f>'6. Historical Wholesale'!L25</f>
        <v>0</v>
      </c>
      <c r="M25" s="89">
        <f>M24</f>
        <v>1.86</v>
      </c>
      <c r="N25" s="90">
        <f t="shared" ref="N25:N35" si="3">L25*M25</f>
        <v>0</v>
      </c>
      <c r="O25" s="17"/>
      <c r="P25" s="47">
        <f t="shared" si="0"/>
        <v>0</v>
      </c>
      <c r="Q25" s="17"/>
    </row>
    <row r="26" spans="2:17" ht="15.75" x14ac:dyDescent="0.25">
      <c r="B26" s="48" t="s">
        <v>130</v>
      </c>
      <c r="C26" s="17"/>
      <c r="D26" s="88">
        <f>'6. Historical Wholesale'!D26</f>
        <v>0</v>
      </c>
      <c r="E26" s="89">
        <f t="shared" ref="E26:E35" si="4">E25</f>
        <v>3.57</v>
      </c>
      <c r="F26" s="90">
        <f t="shared" si="1"/>
        <v>0</v>
      </c>
      <c r="G26" s="17"/>
      <c r="H26" s="88">
        <f>'6. Historical Wholesale'!H26</f>
        <v>0</v>
      </c>
      <c r="I26" s="89">
        <f t="shared" ref="I26:I35" si="5">I25</f>
        <v>0.8</v>
      </c>
      <c r="J26" s="90">
        <f t="shared" si="2"/>
        <v>0</v>
      </c>
      <c r="K26" s="17"/>
      <c r="L26" s="88">
        <f>'6. Historical Wholesale'!L26</f>
        <v>0</v>
      </c>
      <c r="M26" s="89">
        <f t="shared" ref="M26:M35" si="6">M25</f>
        <v>1.86</v>
      </c>
      <c r="N26" s="90">
        <f t="shared" si="3"/>
        <v>0</v>
      </c>
      <c r="O26" s="17"/>
      <c r="P26" s="47">
        <f t="shared" si="0"/>
        <v>0</v>
      </c>
      <c r="Q26" s="17"/>
    </row>
    <row r="27" spans="2:17" ht="15.75" x14ac:dyDescent="0.25">
      <c r="B27" s="48" t="s">
        <v>131</v>
      </c>
      <c r="C27" s="17"/>
      <c r="D27" s="88">
        <f>'6. Historical Wholesale'!D27</f>
        <v>0</v>
      </c>
      <c r="E27" s="89">
        <f t="shared" si="4"/>
        <v>3.57</v>
      </c>
      <c r="F27" s="90">
        <f t="shared" si="1"/>
        <v>0</v>
      </c>
      <c r="G27" s="17"/>
      <c r="H27" s="88">
        <f>'6. Historical Wholesale'!H27</f>
        <v>0</v>
      </c>
      <c r="I27" s="89">
        <f t="shared" si="5"/>
        <v>0.8</v>
      </c>
      <c r="J27" s="90">
        <f t="shared" si="2"/>
        <v>0</v>
      </c>
      <c r="K27" s="17"/>
      <c r="L27" s="88">
        <f>'6. Historical Wholesale'!L27</f>
        <v>0</v>
      </c>
      <c r="M27" s="89">
        <f t="shared" si="6"/>
        <v>1.86</v>
      </c>
      <c r="N27" s="90">
        <f t="shared" si="3"/>
        <v>0</v>
      </c>
      <c r="O27" s="17"/>
      <c r="P27" s="47">
        <f t="shared" si="0"/>
        <v>0</v>
      </c>
      <c r="Q27" s="17"/>
    </row>
    <row r="28" spans="2:17" ht="15.75" x14ac:dyDescent="0.25">
      <c r="B28" s="48" t="s">
        <v>132</v>
      </c>
      <c r="C28" s="17"/>
      <c r="D28" s="88">
        <f>'6. Historical Wholesale'!D28</f>
        <v>0</v>
      </c>
      <c r="E28" s="89">
        <f t="shared" si="4"/>
        <v>3.57</v>
      </c>
      <c r="F28" s="90">
        <f t="shared" si="1"/>
        <v>0</v>
      </c>
      <c r="G28" s="17"/>
      <c r="H28" s="88">
        <f>'6. Historical Wholesale'!H28</f>
        <v>0</v>
      </c>
      <c r="I28" s="89">
        <f t="shared" si="5"/>
        <v>0.8</v>
      </c>
      <c r="J28" s="90">
        <f t="shared" si="2"/>
        <v>0</v>
      </c>
      <c r="K28" s="17"/>
      <c r="L28" s="88">
        <f>'6. Historical Wholesale'!L28</f>
        <v>0</v>
      </c>
      <c r="M28" s="89">
        <f t="shared" si="6"/>
        <v>1.86</v>
      </c>
      <c r="N28" s="90">
        <f t="shared" si="3"/>
        <v>0</v>
      </c>
      <c r="O28" s="17"/>
      <c r="P28" s="47">
        <f t="shared" si="0"/>
        <v>0</v>
      </c>
      <c r="Q28" s="17"/>
    </row>
    <row r="29" spans="2:17" ht="15.75" x14ac:dyDescent="0.25">
      <c r="B29" s="48" t="s">
        <v>133</v>
      </c>
      <c r="C29" s="17"/>
      <c r="D29" s="88">
        <f>'6. Historical Wholesale'!D29</f>
        <v>0</v>
      </c>
      <c r="E29" s="89">
        <f t="shared" si="4"/>
        <v>3.57</v>
      </c>
      <c r="F29" s="90">
        <f t="shared" si="1"/>
        <v>0</v>
      </c>
      <c r="G29" s="17"/>
      <c r="H29" s="88">
        <f>'6. Historical Wholesale'!H29</f>
        <v>0</v>
      </c>
      <c r="I29" s="89">
        <f t="shared" si="5"/>
        <v>0.8</v>
      </c>
      <c r="J29" s="90">
        <f t="shared" si="2"/>
        <v>0</v>
      </c>
      <c r="K29" s="17"/>
      <c r="L29" s="88">
        <f>'6. Historical Wholesale'!L29</f>
        <v>0</v>
      </c>
      <c r="M29" s="89">
        <f t="shared" si="6"/>
        <v>1.86</v>
      </c>
      <c r="N29" s="90">
        <f t="shared" si="3"/>
        <v>0</v>
      </c>
      <c r="O29" s="17"/>
      <c r="P29" s="47">
        <f t="shared" si="0"/>
        <v>0</v>
      </c>
      <c r="Q29" s="17"/>
    </row>
    <row r="30" spans="2:17" ht="15.75" x14ac:dyDescent="0.25">
      <c r="B30" s="48" t="s">
        <v>134</v>
      </c>
      <c r="C30" s="17"/>
      <c r="D30" s="88">
        <f>'6. Historical Wholesale'!D30</f>
        <v>0</v>
      </c>
      <c r="E30" s="89">
        <f t="shared" si="4"/>
        <v>3.57</v>
      </c>
      <c r="F30" s="90">
        <f t="shared" si="1"/>
        <v>0</v>
      </c>
      <c r="G30" s="17"/>
      <c r="H30" s="88">
        <f>'6. Historical Wholesale'!H30</f>
        <v>0</v>
      </c>
      <c r="I30" s="89">
        <f t="shared" si="5"/>
        <v>0.8</v>
      </c>
      <c r="J30" s="90">
        <f t="shared" si="2"/>
        <v>0</v>
      </c>
      <c r="K30" s="17"/>
      <c r="L30" s="88">
        <f>'6. Historical Wholesale'!L30</f>
        <v>0</v>
      </c>
      <c r="M30" s="89">
        <f t="shared" si="6"/>
        <v>1.86</v>
      </c>
      <c r="N30" s="90">
        <f t="shared" si="3"/>
        <v>0</v>
      </c>
      <c r="O30" s="17"/>
      <c r="P30" s="47">
        <f t="shared" si="0"/>
        <v>0</v>
      </c>
      <c r="Q30" s="17"/>
    </row>
    <row r="31" spans="2:17" ht="15.75" x14ac:dyDescent="0.25">
      <c r="B31" s="48" t="s">
        <v>135</v>
      </c>
      <c r="C31" s="17"/>
      <c r="D31" s="88">
        <f>'6. Historical Wholesale'!D31</f>
        <v>0</v>
      </c>
      <c r="E31" s="89">
        <f t="shared" si="4"/>
        <v>3.57</v>
      </c>
      <c r="F31" s="90">
        <f t="shared" si="1"/>
        <v>0</v>
      </c>
      <c r="G31" s="17"/>
      <c r="H31" s="88">
        <f>'6. Historical Wholesale'!H31</f>
        <v>0</v>
      </c>
      <c r="I31" s="89">
        <f t="shared" si="5"/>
        <v>0.8</v>
      </c>
      <c r="J31" s="90">
        <f t="shared" si="2"/>
        <v>0</v>
      </c>
      <c r="K31" s="17"/>
      <c r="L31" s="88">
        <f>'6. Historical Wholesale'!L31</f>
        <v>0</v>
      </c>
      <c r="M31" s="89">
        <f t="shared" si="6"/>
        <v>1.86</v>
      </c>
      <c r="N31" s="90">
        <f t="shared" si="3"/>
        <v>0</v>
      </c>
      <c r="O31" s="17"/>
      <c r="P31" s="47">
        <f t="shared" si="0"/>
        <v>0</v>
      </c>
      <c r="Q31" s="17"/>
    </row>
    <row r="32" spans="2:17" ht="15.75" x14ac:dyDescent="0.25">
      <c r="B32" s="48" t="s">
        <v>136</v>
      </c>
      <c r="C32" s="17"/>
      <c r="D32" s="88">
        <f>'6. Historical Wholesale'!D32</f>
        <v>0</v>
      </c>
      <c r="E32" s="89">
        <f t="shared" si="4"/>
        <v>3.57</v>
      </c>
      <c r="F32" s="90">
        <f t="shared" si="1"/>
        <v>0</v>
      </c>
      <c r="G32" s="17"/>
      <c r="H32" s="88">
        <f>'6. Historical Wholesale'!H32</f>
        <v>0</v>
      </c>
      <c r="I32" s="89">
        <f t="shared" si="5"/>
        <v>0.8</v>
      </c>
      <c r="J32" s="90">
        <f t="shared" si="2"/>
        <v>0</v>
      </c>
      <c r="K32" s="17"/>
      <c r="L32" s="88">
        <f>'6. Historical Wholesale'!L32</f>
        <v>0</v>
      </c>
      <c r="M32" s="89">
        <f t="shared" si="6"/>
        <v>1.86</v>
      </c>
      <c r="N32" s="90">
        <f t="shared" si="3"/>
        <v>0</v>
      </c>
      <c r="O32" s="17"/>
      <c r="P32" s="47">
        <f t="shared" si="0"/>
        <v>0</v>
      </c>
      <c r="Q32" s="17"/>
    </row>
    <row r="33" spans="2:17" ht="15.75" x14ac:dyDescent="0.25">
      <c r="B33" s="48" t="s">
        <v>137</v>
      </c>
      <c r="C33" s="17"/>
      <c r="D33" s="88">
        <f>'6. Historical Wholesale'!D33</f>
        <v>0</v>
      </c>
      <c r="E33" s="89">
        <f t="shared" si="4"/>
        <v>3.57</v>
      </c>
      <c r="F33" s="90">
        <f t="shared" si="1"/>
        <v>0</v>
      </c>
      <c r="G33" s="17"/>
      <c r="H33" s="88">
        <f>'6. Historical Wholesale'!H33</f>
        <v>0</v>
      </c>
      <c r="I33" s="89">
        <f t="shared" si="5"/>
        <v>0.8</v>
      </c>
      <c r="J33" s="90">
        <f t="shared" si="2"/>
        <v>0</v>
      </c>
      <c r="K33" s="17"/>
      <c r="L33" s="88">
        <f>'6. Historical Wholesale'!L33</f>
        <v>0</v>
      </c>
      <c r="M33" s="89">
        <f t="shared" si="6"/>
        <v>1.86</v>
      </c>
      <c r="N33" s="90">
        <f t="shared" si="3"/>
        <v>0</v>
      </c>
      <c r="O33" s="17"/>
      <c r="P33" s="47">
        <f t="shared" si="0"/>
        <v>0</v>
      </c>
      <c r="Q33" s="17"/>
    </row>
    <row r="34" spans="2:17" ht="15.75" x14ac:dyDescent="0.25">
      <c r="B34" s="48" t="s">
        <v>138</v>
      </c>
      <c r="C34" s="17"/>
      <c r="D34" s="88">
        <f>'6. Historical Wholesale'!D34</f>
        <v>0</v>
      </c>
      <c r="E34" s="89">
        <f t="shared" si="4"/>
        <v>3.57</v>
      </c>
      <c r="F34" s="90">
        <f t="shared" si="1"/>
        <v>0</v>
      </c>
      <c r="G34" s="17"/>
      <c r="H34" s="88">
        <f>'6. Historical Wholesale'!H34</f>
        <v>0</v>
      </c>
      <c r="I34" s="89">
        <f t="shared" si="5"/>
        <v>0.8</v>
      </c>
      <c r="J34" s="90">
        <f t="shared" si="2"/>
        <v>0</v>
      </c>
      <c r="K34" s="17"/>
      <c r="L34" s="88">
        <f>'6. Historical Wholesale'!L34</f>
        <v>0</v>
      </c>
      <c r="M34" s="89">
        <f t="shared" si="6"/>
        <v>1.86</v>
      </c>
      <c r="N34" s="90">
        <f t="shared" si="3"/>
        <v>0</v>
      </c>
      <c r="O34" s="17"/>
      <c r="P34" s="47">
        <f t="shared" si="0"/>
        <v>0</v>
      </c>
      <c r="Q34" s="17"/>
    </row>
    <row r="35" spans="2:17" ht="15.75" x14ac:dyDescent="0.25">
      <c r="B35" s="48" t="s">
        <v>139</v>
      </c>
      <c r="C35" s="17"/>
      <c r="D35" s="88">
        <f>'6. Historical Wholesale'!D35</f>
        <v>0</v>
      </c>
      <c r="E35" s="89">
        <f t="shared" si="4"/>
        <v>3.57</v>
      </c>
      <c r="F35" s="90">
        <f t="shared" si="1"/>
        <v>0</v>
      </c>
      <c r="G35" s="17"/>
      <c r="H35" s="88">
        <f>'6. Historical Wholesale'!H35</f>
        <v>0</v>
      </c>
      <c r="I35" s="89">
        <f t="shared" si="5"/>
        <v>0.8</v>
      </c>
      <c r="J35" s="90">
        <f t="shared" si="2"/>
        <v>0</v>
      </c>
      <c r="K35" s="17"/>
      <c r="L35" s="88">
        <f>'6. Historical Wholesale'!L35</f>
        <v>0</v>
      </c>
      <c r="M35" s="89">
        <f t="shared" si="6"/>
        <v>1.86</v>
      </c>
      <c r="N35" s="90">
        <f t="shared" si="3"/>
        <v>0</v>
      </c>
      <c r="O35" s="17"/>
      <c r="P35" s="47">
        <f t="shared" si="0"/>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8" t="s">
        <v>229</v>
      </c>
      <c r="E39" s="178"/>
      <c r="F39" s="178"/>
      <c r="G39" s="142"/>
      <c r="H39" s="178" t="s">
        <v>232</v>
      </c>
      <c r="I39" s="178"/>
      <c r="J39" s="178"/>
      <c r="K39" s="142"/>
      <c r="L39" s="178" t="s">
        <v>231</v>
      </c>
      <c r="M39" s="178"/>
      <c r="N39" s="178"/>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48239</v>
      </c>
      <c r="E43" s="89">
        <f>'5. UTRs and Sub-Transmission'!G35+'5. UTRs and Sub-Transmission'!G49</f>
        <v>2.65</v>
      </c>
      <c r="F43" s="90">
        <f>D43*E43</f>
        <v>127833.34999999999</v>
      </c>
      <c r="G43" s="17"/>
      <c r="H43" s="88">
        <f>'6. Historical Wholesale'!H43</f>
        <v>49787</v>
      </c>
      <c r="I43" s="89">
        <f>'5. UTRs and Sub-Transmission'!G37+'5. UTRs and Sub-Transmission'!G51</f>
        <v>0.64</v>
      </c>
      <c r="J43" s="90">
        <f>H43*I43</f>
        <v>31863.68</v>
      </c>
      <c r="K43" s="17"/>
      <c r="L43" s="88">
        <f>'6. Historical Wholesale'!L43</f>
        <v>49787</v>
      </c>
      <c r="M43" s="89">
        <f>'5. UTRs and Sub-Transmission'!G39</f>
        <v>1.5</v>
      </c>
      <c r="N43" s="90">
        <f>L43*M43</f>
        <v>74680.5</v>
      </c>
      <c r="O43" s="17"/>
      <c r="P43" s="47">
        <f t="shared" ref="P43:P54" si="7">J43+N43</f>
        <v>106544.18</v>
      </c>
      <c r="Q43" s="17"/>
    </row>
    <row r="44" spans="2:17" ht="15.75" x14ac:dyDescent="0.25">
      <c r="B44" s="48" t="s">
        <v>129</v>
      </c>
      <c r="C44" s="17"/>
      <c r="D44" s="88">
        <f>'6. Historical Wholesale'!D44</f>
        <v>51110</v>
      </c>
      <c r="E44" s="89">
        <f>E43</f>
        <v>2.65</v>
      </c>
      <c r="F44" s="90">
        <f t="shared" ref="F44:F54" si="8">D44*E44</f>
        <v>135441.5</v>
      </c>
      <c r="G44" s="17"/>
      <c r="H44" s="88">
        <f>'6. Historical Wholesale'!H44</f>
        <v>53267</v>
      </c>
      <c r="I44" s="89">
        <f>I43</f>
        <v>0.64</v>
      </c>
      <c r="J44" s="90">
        <f t="shared" ref="J44:J54" si="9">H44*I44</f>
        <v>34090.879999999997</v>
      </c>
      <c r="K44" s="17"/>
      <c r="L44" s="88">
        <f>'6. Historical Wholesale'!L44</f>
        <v>53267</v>
      </c>
      <c r="M44" s="89">
        <f>M43</f>
        <v>1.5</v>
      </c>
      <c r="N44" s="90">
        <f t="shared" ref="N44:N54" si="10">L44*M44</f>
        <v>79900.5</v>
      </c>
      <c r="O44" s="17"/>
      <c r="P44" s="47">
        <f t="shared" si="7"/>
        <v>113991.38</v>
      </c>
      <c r="Q44" s="17"/>
    </row>
    <row r="45" spans="2:17" ht="15.75" x14ac:dyDescent="0.25">
      <c r="B45" s="48" t="s">
        <v>130</v>
      </c>
      <c r="C45" s="17"/>
      <c r="D45" s="88">
        <f>'6. Historical Wholesale'!D45</f>
        <v>41351</v>
      </c>
      <c r="E45" s="89">
        <f t="shared" ref="E45:E54" si="11">E44</f>
        <v>2.65</v>
      </c>
      <c r="F45" s="90">
        <f t="shared" si="8"/>
        <v>109580.15</v>
      </c>
      <c r="G45" s="17"/>
      <c r="H45" s="88">
        <f>'6. Historical Wholesale'!H45</f>
        <v>42265</v>
      </c>
      <c r="I45" s="89">
        <f t="shared" ref="I45:I54" si="12">I44</f>
        <v>0.64</v>
      </c>
      <c r="J45" s="90">
        <f t="shared" si="9"/>
        <v>27049.600000000002</v>
      </c>
      <c r="K45" s="17"/>
      <c r="L45" s="88">
        <f>'6. Historical Wholesale'!L45</f>
        <v>42265</v>
      </c>
      <c r="M45" s="89">
        <f>M44</f>
        <v>1.5</v>
      </c>
      <c r="N45" s="90">
        <f t="shared" si="10"/>
        <v>63397.5</v>
      </c>
      <c r="O45" s="17"/>
      <c r="P45" s="47">
        <f t="shared" si="7"/>
        <v>90447.1</v>
      </c>
      <c r="Q45" s="17"/>
    </row>
    <row r="46" spans="2:17" ht="15.75" x14ac:dyDescent="0.25">
      <c r="B46" s="48" t="s">
        <v>131</v>
      </c>
      <c r="C46" s="17"/>
      <c r="D46" s="88">
        <f>'6. Historical Wholesale'!D46</f>
        <v>34529</v>
      </c>
      <c r="E46" s="89">
        <f t="shared" si="11"/>
        <v>2.65</v>
      </c>
      <c r="F46" s="90">
        <f t="shared" si="8"/>
        <v>91501.849999999991</v>
      </c>
      <c r="G46" s="17"/>
      <c r="H46" s="88">
        <f>'6. Historical Wholesale'!H46</f>
        <v>35235</v>
      </c>
      <c r="I46" s="89">
        <f t="shared" si="12"/>
        <v>0.64</v>
      </c>
      <c r="J46" s="90">
        <f t="shared" si="9"/>
        <v>22550.400000000001</v>
      </c>
      <c r="K46" s="17"/>
      <c r="L46" s="88">
        <f>'6. Historical Wholesale'!L46</f>
        <v>35235</v>
      </c>
      <c r="M46" s="89">
        <f t="shared" ref="M46:M54" si="13">M45</f>
        <v>1.5</v>
      </c>
      <c r="N46" s="90">
        <f t="shared" si="10"/>
        <v>52852.5</v>
      </c>
      <c r="O46" s="17"/>
      <c r="P46" s="47">
        <f t="shared" si="7"/>
        <v>75402.899999999994</v>
      </c>
      <c r="Q46" s="17"/>
    </row>
    <row r="47" spans="2:17" ht="15.75" x14ac:dyDescent="0.25">
      <c r="B47" s="48" t="s">
        <v>132</v>
      </c>
      <c r="C47" s="17"/>
      <c r="D47" s="88">
        <f>'6. Historical Wholesale'!D47</f>
        <v>38660</v>
      </c>
      <c r="E47" s="89">
        <f t="shared" si="11"/>
        <v>2.65</v>
      </c>
      <c r="F47" s="90">
        <f t="shared" si="8"/>
        <v>102449</v>
      </c>
      <c r="G47" s="17"/>
      <c r="H47" s="88">
        <f>'6. Historical Wholesale'!H47</f>
        <v>40016</v>
      </c>
      <c r="I47" s="89">
        <f t="shared" si="12"/>
        <v>0.64</v>
      </c>
      <c r="J47" s="90">
        <f t="shared" si="9"/>
        <v>25610.240000000002</v>
      </c>
      <c r="K47" s="17"/>
      <c r="L47" s="88">
        <f>'6. Historical Wholesale'!L47</f>
        <v>40016</v>
      </c>
      <c r="M47" s="89">
        <f t="shared" si="13"/>
        <v>1.5</v>
      </c>
      <c r="N47" s="90">
        <f t="shared" si="10"/>
        <v>60024</v>
      </c>
      <c r="O47" s="17"/>
      <c r="P47" s="47">
        <f t="shared" si="7"/>
        <v>85634.240000000005</v>
      </c>
      <c r="Q47" s="17"/>
    </row>
    <row r="48" spans="2:17" ht="15.75" x14ac:dyDescent="0.25">
      <c r="B48" s="48" t="s">
        <v>133</v>
      </c>
      <c r="C48" s="17"/>
      <c r="D48" s="88">
        <f>'6. Historical Wholesale'!D48</f>
        <v>38616</v>
      </c>
      <c r="E48" s="89">
        <f t="shared" si="11"/>
        <v>2.65</v>
      </c>
      <c r="F48" s="90">
        <f t="shared" si="8"/>
        <v>102332.4</v>
      </c>
      <c r="G48" s="17"/>
      <c r="H48" s="88">
        <f>'6. Historical Wholesale'!H48</f>
        <v>40241</v>
      </c>
      <c r="I48" s="89">
        <f t="shared" si="12"/>
        <v>0.64</v>
      </c>
      <c r="J48" s="90">
        <f t="shared" si="9"/>
        <v>25754.240000000002</v>
      </c>
      <c r="K48" s="17"/>
      <c r="L48" s="88">
        <f>'6. Historical Wholesale'!L48</f>
        <v>40241</v>
      </c>
      <c r="M48" s="89">
        <f t="shared" si="13"/>
        <v>1.5</v>
      </c>
      <c r="N48" s="90">
        <f t="shared" si="10"/>
        <v>60361.5</v>
      </c>
      <c r="O48" s="17"/>
      <c r="P48" s="47">
        <f t="shared" si="7"/>
        <v>86115.74</v>
      </c>
      <c r="Q48" s="17"/>
    </row>
    <row r="49" spans="2:17" ht="15.75" x14ac:dyDescent="0.25">
      <c r="B49" s="48" t="s">
        <v>134</v>
      </c>
      <c r="C49" s="17"/>
      <c r="D49" s="88">
        <f>'6. Historical Wholesale'!D49</f>
        <v>49285</v>
      </c>
      <c r="E49" s="89">
        <f t="shared" si="11"/>
        <v>2.65</v>
      </c>
      <c r="F49" s="90">
        <f t="shared" si="8"/>
        <v>130605.25</v>
      </c>
      <c r="G49" s="17"/>
      <c r="H49" s="88">
        <f>'6. Historical Wholesale'!H49</f>
        <v>49902</v>
      </c>
      <c r="I49" s="89">
        <f t="shared" si="12"/>
        <v>0.64</v>
      </c>
      <c r="J49" s="90">
        <f t="shared" si="9"/>
        <v>31937.280000000002</v>
      </c>
      <c r="K49" s="17"/>
      <c r="L49" s="88">
        <f>'6. Historical Wholesale'!L49</f>
        <v>49902</v>
      </c>
      <c r="M49" s="89">
        <f t="shared" si="13"/>
        <v>1.5</v>
      </c>
      <c r="N49" s="90">
        <f t="shared" si="10"/>
        <v>74853</v>
      </c>
      <c r="O49" s="17"/>
      <c r="P49" s="47">
        <f t="shared" si="7"/>
        <v>106790.28</v>
      </c>
      <c r="Q49" s="17"/>
    </row>
    <row r="50" spans="2:17" ht="15.75" x14ac:dyDescent="0.25">
      <c r="B50" s="48" t="s">
        <v>135</v>
      </c>
      <c r="C50" s="17"/>
      <c r="D50" s="88">
        <f>'6. Historical Wholesale'!D50</f>
        <v>38726</v>
      </c>
      <c r="E50" s="89">
        <f t="shared" si="11"/>
        <v>2.65</v>
      </c>
      <c r="F50" s="90">
        <f t="shared" si="8"/>
        <v>102623.9</v>
      </c>
      <c r="G50" s="17"/>
      <c r="H50" s="88">
        <f>'6. Historical Wholesale'!H50</f>
        <v>43230</v>
      </c>
      <c r="I50" s="89">
        <f t="shared" si="12"/>
        <v>0.64</v>
      </c>
      <c r="J50" s="90">
        <f t="shared" si="9"/>
        <v>27667.200000000001</v>
      </c>
      <c r="K50" s="17"/>
      <c r="L50" s="88">
        <f>'6. Historical Wholesale'!L50</f>
        <v>43230</v>
      </c>
      <c r="M50" s="89">
        <f t="shared" si="13"/>
        <v>1.5</v>
      </c>
      <c r="N50" s="90">
        <f t="shared" si="10"/>
        <v>64845</v>
      </c>
      <c r="O50" s="17"/>
      <c r="P50" s="47">
        <f t="shared" si="7"/>
        <v>92512.2</v>
      </c>
      <c r="Q50" s="17"/>
    </row>
    <row r="51" spans="2:17" ht="15.75" x14ac:dyDescent="0.25">
      <c r="B51" s="48" t="s">
        <v>136</v>
      </c>
      <c r="C51" s="17"/>
      <c r="D51" s="88">
        <f>'6. Historical Wholesale'!D51</f>
        <v>36240</v>
      </c>
      <c r="E51" s="89">
        <f t="shared" si="11"/>
        <v>2.65</v>
      </c>
      <c r="F51" s="90">
        <f t="shared" si="8"/>
        <v>96036</v>
      </c>
      <c r="G51" s="17"/>
      <c r="H51" s="88">
        <f>'6. Historical Wholesale'!H51</f>
        <v>37500</v>
      </c>
      <c r="I51" s="89">
        <f t="shared" si="12"/>
        <v>0.64</v>
      </c>
      <c r="J51" s="90">
        <f t="shared" si="9"/>
        <v>24000</v>
      </c>
      <c r="K51" s="17"/>
      <c r="L51" s="88">
        <f>'6. Historical Wholesale'!L51</f>
        <v>37500</v>
      </c>
      <c r="M51" s="89">
        <f t="shared" si="13"/>
        <v>1.5</v>
      </c>
      <c r="N51" s="90">
        <f t="shared" si="10"/>
        <v>56250</v>
      </c>
      <c r="O51" s="17"/>
      <c r="P51" s="47">
        <f t="shared" si="7"/>
        <v>80250</v>
      </c>
      <c r="Q51" s="17"/>
    </row>
    <row r="52" spans="2:17" ht="15.75" x14ac:dyDescent="0.25">
      <c r="B52" s="48" t="s">
        <v>137</v>
      </c>
      <c r="C52" s="17"/>
      <c r="D52" s="88">
        <f>'6. Historical Wholesale'!D52</f>
        <v>33735</v>
      </c>
      <c r="E52" s="89">
        <f t="shared" si="11"/>
        <v>2.65</v>
      </c>
      <c r="F52" s="90">
        <f t="shared" si="8"/>
        <v>89397.75</v>
      </c>
      <c r="G52" s="17"/>
      <c r="H52" s="88">
        <f>'6. Historical Wholesale'!H52</f>
        <v>34880</v>
      </c>
      <c r="I52" s="89">
        <f t="shared" si="12"/>
        <v>0.64</v>
      </c>
      <c r="J52" s="90">
        <f t="shared" si="9"/>
        <v>22323.200000000001</v>
      </c>
      <c r="K52" s="17"/>
      <c r="L52" s="88">
        <f>'6. Historical Wholesale'!L52</f>
        <v>34880</v>
      </c>
      <c r="M52" s="89">
        <f t="shared" si="13"/>
        <v>1.5</v>
      </c>
      <c r="N52" s="90">
        <f t="shared" si="10"/>
        <v>52320</v>
      </c>
      <c r="O52" s="17"/>
      <c r="P52" s="47">
        <f t="shared" si="7"/>
        <v>74643.199999999997</v>
      </c>
      <c r="Q52" s="17"/>
    </row>
    <row r="53" spans="2:17" ht="15.75" x14ac:dyDescent="0.25">
      <c r="B53" s="48" t="s">
        <v>138</v>
      </c>
      <c r="C53" s="17"/>
      <c r="D53" s="88">
        <f>'6. Historical Wholesale'!D53</f>
        <v>37599</v>
      </c>
      <c r="E53" s="89">
        <f t="shared" si="11"/>
        <v>2.65</v>
      </c>
      <c r="F53" s="90">
        <f t="shared" si="8"/>
        <v>99637.349999999991</v>
      </c>
      <c r="G53" s="17"/>
      <c r="H53" s="88">
        <f>'6. Historical Wholesale'!H53</f>
        <v>38351</v>
      </c>
      <c r="I53" s="89">
        <f t="shared" si="12"/>
        <v>0.64</v>
      </c>
      <c r="J53" s="90">
        <f t="shared" si="9"/>
        <v>24544.639999999999</v>
      </c>
      <c r="K53" s="17"/>
      <c r="L53" s="88">
        <f>'6. Historical Wholesale'!L53</f>
        <v>38351</v>
      </c>
      <c r="M53" s="89">
        <f t="shared" si="13"/>
        <v>1.5</v>
      </c>
      <c r="N53" s="90">
        <f t="shared" si="10"/>
        <v>57526.5</v>
      </c>
      <c r="O53" s="17"/>
      <c r="P53" s="47">
        <f t="shared" si="7"/>
        <v>82071.14</v>
      </c>
      <c r="Q53" s="17"/>
    </row>
    <row r="54" spans="2:17" ht="15.75" x14ac:dyDescent="0.25">
      <c r="B54" s="48" t="s">
        <v>139</v>
      </c>
      <c r="C54" s="17"/>
      <c r="D54" s="88">
        <f>'6. Historical Wholesale'!D54</f>
        <v>50446</v>
      </c>
      <c r="E54" s="89">
        <f t="shared" si="11"/>
        <v>2.65</v>
      </c>
      <c r="F54" s="90">
        <f t="shared" si="8"/>
        <v>133681.9</v>
      </c>
      <c r="G54" s="17"/>
      <c r="H54" s="88">
        <f>'6. Historical Wholesale'!H54</f>
        <v>50527</v>
      </c>
      <c r="I54" s="89">
        <f t="shared" si="12"/>
        <v>0.64</v>
      </c>
      <c r="J54" s="90">
        <f t="shared" si="9"/>
        <v>32337.280000000002</v>
      </c>
      <c r="K54" s="17"/>
      <c r="L54" s="88">
        <f>'6. Historical Wholesale'!L54</f>
        <v>50527</v>
      </c>
      <c r="M54" s="89">
        <f t="shared" si="13"/>
        <v>1.5</v>
      </c>
      <c r="N54" s="90">
        <f t="shared" si="10"/>
        <v>75790.5</v>
      </c>
      <c r="O54" s="17"/>
      <c r="P54" s="47">
        <f t="shared" si="7"/>
        <v>108127.78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498536</v>
      </c>
      <c r="E56" s="51">
        <f>IF(D56&lt;&gt;0,F56/D56,0)</f>
        <v>2.65</v>
      </c>
      <c r="F56" s="52">
        <f>SUM(F43:F54)</f>
        <v>1321120.3999999999</v>
      </c>
      <c r="G56" s="17"/>
      <c r="H56" s="50">
        <f>SUM(H43:H54)</f>
        <v>515201</v>
      </c>
      <c r="I56" s="51">
        <f>IF(H56&lt;&gt;0,J56/H56,0)</f>
        <v>0.64</v>
      </c>
      <c r="J56" s="52">
        <f>SUM(J43:J54)</f>
        <v>329728.64000000001</v>
      </c>
      <c r="K56" s="17"/>
      <c r="L56" s="50">
        <f>SUM(L43:L54)</f>
        <v>515201</v>
      </c>
      <c r="M56" s="51">
        <f>IF(L56&lt;&gt;0,N56/L56,0)</f>
        <v>1.5</v>
      </c>
      <c r="N56" s="52">
        <f>SUM(N43:N54)</f>
        <v>772801.5</v>
      </c>
      <c r="O56" s="17"/>
      <c r="P56" s="52">
        <f>SUM(P43:P54)</f>
        <v>1102530.1399999999</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8" t="s">
        <v>229</v>
      </c>
      <c r="E58" s="178"/>
      <c r="F58" s="178"/>
      <c r="G58" s="142"/>
      <c r="H58" s="178" t="s">
        <v>232</v>
      </c>
      <c r="I58" s="178"/>
      <c r="J58" s="178"/>
      <c r="K58" s="142"/>
      <c r="L58" s="178" t="s">
        <v>231</v>
      </c>
      <c r="M58" s="178"/>
      <c r="N58" s="178"/>
      <c r="O58" s="142"/>
      <c r="P58" s="143" t="s">
        <v>230</v>
      </c>
      <c r="Q58" s="17"/>
    </row>
    <row r="59" spans="2:17" ht="15.75" x14ac:dyDescent="0.25">
      <c r="B59" s="17"/>
      <c r="C59" s="17"/>
      <c r="D59" s="179"/>
      <c r="E59" s="179"/>
      <c r="F59" s="179"/>
      <c r="G59" s="44"/>
      <c r="H59" s="179"/>
      <c r="I59" s="179"/>
      <c r="J59" s="179"/>
      <c r="K59" s="44"/>
      <c r="L59" s="179"/>
      <c r="M59" s="179"/>
      <c r="N59" s="179"/>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48239</v>
      </c>
      <c r="E62" s="54">
        <f t="shared" ref="E62:E73" si="15">IF(D62&lt;&gt;0,F62/D62,0)</f>
        <v>2.65</v>
      </c>
      <c r="F62" s="47">
        <f t="shared" ref="F62:F73" si="16">F24+F43</f>
        <v>127833.34999999999</v>
      </c>
      <c r="G62" s="17"/>
      <c r="H62" s="53">
        <f t="shared" ref="H62:H73" si="17">H24+H43</f>
        <v>49787</v>
      </c>
      <c r="I62" s="54">
        <f t="shared" ref="I62:I73" si="18">IF(H62&lt;&gt;0,J62/H62,0)</f>
        <v>0.64</v>
      </c>
      <c r="J62" s="47">
        <f t="shared" ref="J62:J73" si="19">J24+J43</f>
        <v>31863.68</v>
      </c>
      <c r="K62" s="17"/>
      <c r="L62" s="53">
        <f t="shared" ref="L62:L73" si="20">L24+L43</f>
        <v>49787</v>
      </c>
      <c r="M62" s="54">
        <f t="shared" ref="M62:M73" si="21">IF(L62&lt;&gt;0,N62/L62,0)</f>
        <v>1.5</v>
      </c>
      <c r="N62" s="47">
        <f t="shared" ref="N62:N73" si="22">N24+N43</f>
        <v>74680.5</v>
      </c>
      <c r="O62" s="17"/>
      <c r="P62" s="47">
        <f t="shared" ref="P62:P73" si="23">J62+N62</f>
        <v>106544.18</v>
      </c>
      <c r="Q62" s="17"/>
    </row>
    <row r="63" spans="2:17" ht="15.75" x14ac:dyDescent="0.25">
      <c r="B63" s="48" t="s">
        <v>129</v>
      </c>
      <c r="C63" s="17"/>
      <c r="D63" s="53">
        <f t="shared" si="14"/>
        <v>51110</v>
      </c>
      <c r="E63" s="54">
        <f t="shared" si="15"/>
        <v>2.65</v>
      </c>
      <c r="F63" s="47">
        <f t="shared" si="16"/>
        <v>135441.5</v>
      </c>
      <c r="G63" s="17"/>
      <c r="H63" s="53">
        <f t="shared" si="17"/>
        <v>53267</v>
      </c>
      <c r="I63" s="54">
        <f t="shared" si="18"/>
        <v>0.6399999999999999</v>
      </c>
      <c r="J63" s="47">
        <f t="shared" si="19"/>
        <v>34090.879999999997</v>
      </c>
      <c r="K63" s="17"/>
      <c r="L63" s="53">
        <f t="shared" si="20"/>
        <v>53267</v>
      </c>
      <c r="M63" s="54">
        <f t="shared" si="21"/>
        <v>1.5</v>
      </c>
      <c r="N63" s="47">
        <f t="shared" si="22"/>
        <v>79900.5</v>
      </c>
      <c r="O63" s="17"/>
      <c r="P63" s="47">
        <f t="shared" si="23"/>
        <v>113991.38</v>
      </c>
      <c r="Q63" s="17"/>
    </row>
    <row r="64" spans="2:17" ht="15.75" x14ac:dyDescent="0.25">
      <c r="B64" s="48" t="s">
        <v>130</v>
      </c>
      <c r="C64" s="17"/>
      <c r="D64" s="53">
        <f t="shared" si="14"/>
        <v>41351</v>
      </c>
      <c r="E64" s="54">
        <f t="shared" si="15"/>
        <v>2.65</v>
      </c>
      <c r="F64" s="47">
        <f t="shared" si="16"/>
        <v>109580.15</v>
      </c>
      <c r="G64" s="17"/>
      <c r="H64" s="53">
        <f t="shared" si="17"/>
        <v>42265</v>
      </c>
      <c r="I64" s="54">
        <f t="shared" si="18"/>
        <v>0.64</v>
      </c>
      <c r="J64" s="47">
        <f t="shared" si="19"/>
        <v>27049.600000000002</v>
      </c>
      <c r="K64" s="17"/>
      <c r="L64" s="53">
        <f t="shared" si="20"/>
        <v>42265</v>
      </c>
      <c r="M64" s="54">
        <f t="shared" si="21"/>
        <v>1.5</v>
      </c>
      <c r="N64" s="47">
        <f t="shared" si="22"/>
        <v>63397.5</v>
      </c>
      <c r="O64" s="17"/>
      <c r="P64" s="47">
        <f t="shared" si="23"/>
        <v>90447.1</v>
      </c>
      <c r="Q64" s="17"/>
    </row>
    <row r="65" spans="2:17" ht="15.75" x14ac:dyDescent="0.25">
      <c r="B65" s="48" t="s">
        <v>131</v>
      </c>
      <c r="C65" s="17"/>
      <c r="D65" s="53">
        <f t="shared" si="14"/>
        <v>34529</v>
      </c>
      <c r="E65" s="54">
        <f t="shared" si="15"/>
        <v>2.65</v>
      </c>
      <c r="F65" s="47">
        <f t="shared" si="16"/>
        <v>91501.849999999991</v>
      </c>
      <c r="G65" s="17"/>
      <c r="H65" s="53">
        <f t="shared" si="17"/>
        <v>35235</v>
      </c>
      <c r="I65" s="54">
        <f t="shared" si="18"/>
        <v>0.64</v>
      </c>
      <c r="J65" s="47">
        <f t="shared" si="19"/>
        <v>22550.400000000001</v>
      </c>
      <c r="K65" s="17"/>
      <c r="L65" s="53">
        <f t="shared" si="20"/>
        <v>35235</v>
      </c>
      <c r="M65" s="54">
        <f t="shared" si="21"/>
        <v>1.5</v>
      </c>
      <c r="N65" s="47">
        <f t="shared" si="22"/>
        <v>52852.5</v>
      </c>
      <c r="O65" s="17"/>
      <c r="P65" s="47">
        <f t="shared" si="23"/>
        <v>75402.899999999994</v>
      </c>
      <c r="Q65" s="17"/>
    </row>
    <row r="66" spans="2:17" ht="15.75" x14ac:dyDescent="0.25">
      <c r="B66" s="48" t="s">
        <v>132</v>
      </c>
      <c r="C66" s="17"/>
      <c r="D66" s="53">
        <f t="shared" si="14"/>
        <v>38660</v>
      </c>
      <c r="E66" s="54">
        <f t="shared" si="15"/>
        <v>2.65</v>
      </c>
      <c r="F66" s="47">
        <f t="shared" si="16"/>
        <v>102449</v>
      </c>
      <c r="G66" s="17"/>
      <c r="H66" s="53">
        <f t="shared" si="17"/>
        <v>40016</v>
      </c>
      <c r="I66" s="54">
        <f t="shared" si="18"/>
        <v>0.64</v>
      </c>
      <c r="J66" s="47">
        <f t="shared" si="19"/>
        <v>25610.240000000002</v>
      </c>
      <c r="K66" s="17"/>
      <c r="L66" s="53">
        <f t="shared" si="20"/>
        <v>40016</v>
      </c>
      <c r="M66" s="54">
        <f t="shared" si="21"/>
        <v>1.5</v>
      </c>
      <c r="N66" s="47">
        <f t="shared" si="22"/>
        <v>60024</v>
      </c>
      <c r="O66" s="17"/>
      <c r="P66" s="47">
        <f t="shared" si="23"/>
        <v>85634.240000000005</v>
      </c>
      <c r="Q66" s="17"/>
    </row>
    <row r="67" spans="2:17" ht="15.75" x14ac:dyDescent="0.25">
      <c r="B67" s="48" t="s">
        <v>133</v>
      </c>
      <c r="C67" s="17"/>
      <c r="D67" s="53">
        <f t="shared" si="14"/>
        <v>38616</v>
      </c>
      <c r="E67" s="54">
        <f t="shared" si="15"/>
        <v>2.65</v>
      </c>
      <c r="F67" s="47">
        <f t="shared" si="16"/>
        <v>102332.4</v>
      </c>
      <c r="G67" s="17"/>
      <c r="H67" s="53">
        <f t="shared" si="17"/>
        <v>40241</v>
      </c>
      <c r="I67" s="54">
        <f t="shared" si="18"/>
        <v>0.64</v>
      </c>
      <c r="J67" s="47">
        <f t="shared" si="19"/>
        <v>25754.240000000002</v>
      </c>
      <c r="K67" s="17"/>
      <c r="L67" s="53">
        <f t="shared" si="20"/>
        <v>40241</v>
      </c>
      <c r="M67" s="54">
        <f t="shared" si="21"/>
        <v>1.5</v>
      </c>
      <c r="N67" s="47">
        <f t="shared" si="22"/>
        <v>60361.5</v>
      </c>
      <c r="O67" s="17"/>
      <c r="P67" s="47">
        <f t="shared" si="23"/>
        <v>86115.74</v>
      </c>
      <c r="Q67" s="17"/>
    </row>
    <row r="68" spans="2:17" ht="15.75" x14ac:dyDescent="0.25">
      <c r="B68" s="48" t="s">
        <v>134</v>
      </c>
      <c r="C68" s="17"/>
      <c r="D68" s="53">
        <f t="shared" si="14"/>
        <v>49285</v>
      </c>
      <c r="E68" s="54">
        <f t="shared" si="15"/>
        <v>2.65</v>
      </c>
      <c r="F68" s="47">
        <f t="shared" si="16"/>
        <v>130605.25</v>
      </c>
      <c r="G68" s="17"/>
      <c r="H68" s="53">
        <f t="shared" si="17"/>
        <v>49902</v>
      </c>
      <c r="I68" s="54">
        <f t="shared" si="18"/>
        <v>0.64</v>
      </c>
      <c r="J68" s="47">
        <f t="shared" si="19"/>
        <v>31937.280000000002</v>
      </c>
      <c r="K68" s="17"/>
      <c r="L68" s="53">
        <f t="shared" si="20"/>
        <v>49902</v>
      </c>
      <c r="M68" s="54">
        <f t="shared" si="21"/>
        <v>1.5</v>
      </c>
      <c r="N68" s="47">
        <f t="shared" si="22"/>
        <v>74853</v>
      </c>
      <c r="O68" s="17"/>
      <c r="P68" s="47">
        <f t="shared" si="23"/>
        <v>106790.28</v>
      </c>
      <c r="Q68" s="17"/>
    </row>
    <row r="69" spans="2:17" ht="15.75" x14ac:dyDescent="0.25">
      <c r="B69" s="48" t="s">
        <v>135</v>
      </c>
      <c r="C69" s="17"/>
      <c r="D69" s="53">
        <f t="shared" si="14"/>
        <v>38726</v>
      </c>
      <c r="E69" s="54">
        <f t="shared" si="15"/>
        <v>2.65</v>
      </c>
      <c r="F69" s="47">
        <f t="shared" si="16"/>
        <v>102623.9</v>
      </c>
      <c r="G69" s="17"/>
      <c r="H69" s="53">
        <f t="shared" si="17"/>
        <v>43230</v>
      </c>
      <c r="I69" s="54">
        <f t="shared" si="18"/>
        <v>0.64</v>
      </c>
      <c r="J69" s="47">
        <f t="shared" si="19"/>
        <v>27667.200000000001</v>
      </c>
      <c r="K69" s="17"/>
      <c r="L69" s="53">
        <f t="shared" si="20"/>
        <v>43230</v>
      </c>
      <c r="M69" s="54">
        <f t="shared" si="21"/>
        <v>1.5</v>
      </c>
      <c r="N69" s="47">
        <f t="shared" si="22"/>
        <v>64845</v>
      </c>
      <c r="O69" s="17"/>
      <c r="P69" s="47">
        <f t="shared" si="23"/>
        <v>92512.2</v>
      </c>
      <c r="Q69" s="17"/>
    </row>
    <row r="70" spans="2:17" ht="15.75" x14ac:dyDescent="0.25">
      <c r="B70" s="48" t="s">
        <v>136</v>
      </c>
      <c r="C70" s="17"/>
      <c r="D70" s="53">
        <f t="shared" si="14"/>
        <v>36240</v>
      </c>
      <c r="E70" s="54">
        <f t="shared" si="15"/>
        <v>2.65</v>
      </c>
      <c r="F70" s="47">
        <f t="shared" si="16"/>
        <v>96036</v>
      </c>
      <c r="G70" s="17"/>
      <c r="H70" s="53">
        <f t="shared" si="17"/>
        <v>37500</v>
      </c>
      <c r="I70" s="54">
        <f t="shared" si="18"/>
        <v>0.64</v>
      </c>
      <c r="J70" s="47">
        <f t="shared" si="19"/>
        <v>24000</v>
      </c>
      <c r="K70" s="17"/>
      <c r="L70" s="53">
        <f t="shared" si="20"/>
        <v>37500</v>
      </c>
      <c r="M70" s="54">
        <f t="shared" si="21"/>
        <v>1.5</v>
      </c>
      <c r="N70" s="47">
        <f t="shared" si="22"/>
        <v>56250</v>
      </c>
      <c r="O70" s="17"/>
      <c r="P70" s="47">
        <f t="shared" si="23"/>
        <v>80250</v>
      </c>
      <c r="Q70" s="17"/>
    </row>
    <row r="71" spans="2:17" ht="15.75" x14ac:dyDescent="0.25">
      <c r="B71" s="48" t="s">
        <v>137</v>
      </c>
      <c r="C71" s="17"/>
      <c r="D71" s="53">
        <f t="shared" si="14"/>
        <v>33735</v>
      </c>
      <c r="E71" s="54">
        <f t="shared" si="15"/>
        <v>2.65</v>
      </c>
      <c r="F71" s="47">
        <f t="shared" si="16"/>
        <v>89397.75</v>
      </c>
      <c r="G71" s="17"/>
      <c r="H71" s="53">
        <f t="shared" si="17"/>
        <v>34880</v>
      </c>
      <c r="I71" s="54">
        <f t="shared" si="18"/>
        <v>0.64</v>
      </c>
      <c r="J71" s="47">
        <f t="shared" si="19"/>
        <v>22323.200000000001</v>
      </c>
      <c r="K71" s="17"/>
      <c r="L71" s="53">
        <f t="shared" si="20"/>
        <v>34880</v>
      </c>
      <c r="M71" s="54">
        <f t="shared" si="21"/>
        <v>1.5</v>
      </c>
      <c r="N71" s="47">
        <f t="shared" si="22"/>
        <v>52320</v>
      </c>
      <c r="O71" s="17"/>
      <c r="P71" s="47">
        <f t="shared" si="23"/>
        <v>74643.199999999997</v>
      </c>
      <c r="Q71" s="17"/>
    </row>
    <row r="72" spans="2:17" ht="15.75" x14ac:dyDescent="0.25">
      <c r="B72" s="48" t="s">
        <v>138</v>
      </c>
      <c r="C72" s="17"/>
      <c r="D72" s="53">
        <f t="shared" si="14"/>
        <v>37599</v>
      </c>
      <c r="E72" s="54">
        <f t="shared" si="15"/>
        <v>2.65</v>
      </c>
      <c r="F72" s="47">
        <f t="shared" si="16"/>
        <v>99637.349999999991</v>
      </c>
      <c r="G72" s="17"/>
      <c r="H72" s="53">
        <f t="shared" si="17"/>
        <v>38351</v>
      </c>
      <c r="I72" s="54">
        <f t="shared" si="18"/>
        <v>0.64</v>
      </c>
      <c r="J72" s="47">
        <f t="shared" si="19"/>
        <v>24544.639999999999</v>
      </c>
      <c r="K72" s="17"/>
      <c r="L72" s="53">
        <f t="shared" si="20"/>
        <v>38351</v>
      </c>
      <c r="M72" s="54">
        <f t="shared" si="21"/>
        <v>1.5</v>
      </c>
      <c r="N72" s="47">
        <f t="shared" si="22"/>
        <v>57526.5</v>
      </c>
      <c r="O72" s="17"/>
      <c r="P72" s="47">
        <f t="shared" si="23"/>
        <v>82071.14</v>
      </c>
      <c r="Q72" s="17"/>
    </row>
    <row r="73" spans="2:17" ht="15.75" x14ac:dyDescent="0.25">
      <c r="B73" s="48" t="s">
        <v>139</v>
      </c>
      <c r="C73" s="17"/>
      <c r="D73" s="53">
        <f t="shared" si="14"/>
        <v>50446</v>
      </c>
      <c r="E73" s="54">
        <f t="shared" si="15"/>
        <v>2.65</v>
      </c>
      <c r="F73" s="47">
        <f t="shared" si="16"/>
        <v>133681.9</v>
      </c>
      <c r="G73" s="17"/>
      <c r="H73" s="53">
        <f t="shared" si="17"/>
        <v>50527</v>
      </c>
      <c r="I73" s="54">
        <f t="shared" si="18"/>
        <v>0.64</v>
      </c>
      <c r="J73" s="47">
        <f t="shared" si="19"/>
        <v>32337.280000000002</v>
      </c>
      <c r="K73" s="17"/>
      <c r="L73" s="53">
        <f t="shared" si="20"/>
        <v>50527</v>
      </c>
      <c r="M73" s="54">
        <f t="shared" si="21"/>
        <v>1.5</v>
      </c>
      <c r="N73" s="47">
        <f t="shared" si="22"/>
        <v>75790.5</v>
      </c>
      <c r="O73" s="17"/>
      <c r="P73" s="47">
        <f t="shared" si="23"/>
        <v>108127.78</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498536</v>
      </c>
      <c r="E75" s="51">
        <f>IF(D75&lt;&gt;0,F75/D75,0)</f>
        <v>2.65</v>
      </c>
      <c r="F75" s="52">
        <f>SUM(F62:F73)</f>
        <v>1321120.3999999999</v>
      </c>
      <c r="G75" s="17"/>
      <c r="H75" s="50">
        <f>SUM(H62:H73)</f>
        <v>515201</v>
      </c>
      <c r="I75" s="51">
        <f>IF(H75&lt;&gt;0,J75/H75,0)</f>
        <v>0.64</v>
      </c>
      <c r="J75" s="52">
        <f>SUM(J62:J73)</f>
        <v>329728.64000000001</v>
      </c>
      <c r="K75" s="17"/>
      <c r="L75" s="50">
        <f>SUM(L62:L73)</f>
        <v>515201</v>
      </c>
      <c r="M75" s="51">
        <f>IF(L75&lt;&gt;0,N75/L75,0)</f>
        <v>1.5</v>
      </c>
      <c r="N75" s="52">
        <f>SUM(N62:N73)</f>
        <v>772801.5</v>
      </c>
      <c r="O75" s="17"/>
      <c r="P75" s="52">
        <f>SUM(P62:P73)</f>
        <v>1102530.1399999999</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rintOptions horizontalCentered="1"/>
  <pageMargins left="0.35433070866141736" right="0.35433070866141736" top="0.39370078740157483" bottom="0.39370078740157483" header="0.51181102362204722" footer="0.51181102362204722"/>
  <pageSetup scale="76" fitToHeight="21" orientation="landscape"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3:Q75"/>
  <sheetViews>
    <sheetView showGridLines="0" topLeftCell="B1" zoomScaleNormal="100" workbookViewId="0">
      <pane ySplit="16" topLeftCell="A59" activePane="bottomLeft" state="frozenSplit"/>
      <selection activeCell="O16" sqref="O16"/>
      <selection pane="bottomLeft" activeCell="O16" sqref="O16"/>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177" t="s">
        <v>227</v>
      </c>
      <c r="C13" s="177"/>
      <c r="D13" s="177"/>
      <c r="E13" s="177"/>
      <c r="F13" s="177"/>
      <c r="G13" s="177"/>
      <c r="H13" s="177"/>
      <c r="I13" s="177"/>
      <c r="J13" s="177"/>
      <c r="K13" s="177"/>
      <c r="L13" s="177"/>
      <c r="M13" s="177"/>
    </row>
    <row r="19" spans="2:17" ht="15.75" x14ac:dyDescent="0.25">
      <c r="B19" s="17"/>
      <c r="C19" s="17"/>
      <c r="D19" s="18"/>
      <c r="E19" s="21"/>
      <c r="F19" s="17"/>
      <c r="G19" s="21"/>
      <c r="H19" s="17"/>
    </row>
    <row r="20" spans="2:17" ht="15.75" x14ac:dyDescent="0.2">
      <c r="B20" s="143" t="s">
        <v>228</v>
      </c>
      <c r="C20" s="142"/>
      <c r="D20" s="178" t="s">
        <v>229</v>
      </c>
      <c r="E20" s="178"/>
      <c r="F20" s="178"/>
      <c r="G20" s="142"/>
      <c r="H20" s="178" t="s">
        <v>232</v>
      </c>
      <c r="I20" s="178"/>
      <c r="J20" s="178"/>
      <c r="K20" s="142"/>
      <c r="L20" s="178" t="s">
        <v>231</v>
      </c>
      <c r="M20" s="178"/>
      <c r="N20" s="178"/>
      <c r="O20" s="142"/>
      <c r="P20" s="143" t="s">
        <v>230</v>
      </c>
      <c r="Q20" s="17"/>
    </row>
    <row r="21" spans="2:17" ht="15.75" x14ac:dyDescent="0.25">
      <c r="B21" s="17"/>
      <c r="C21" s="17"/>
      <c r="D21" s="179"/>
      <c r="E21" s="179"/>
      <c r="F21" s="179"/>
      <c r="G21" s="44"/>
      <c r="H21" s="179"/>
      <c r="I21" s="179"/>
      <c r="J21" s="179"/>
      <c r="K21" s="44"/>
      <c r="L21" s="179"/>
      <c r="M21" s="179"/>
      <c r="N21" s="179"/>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0</v>
      </c>
      <c r="E24" s="89">
        <f>'5. UTRs and Sub-Transmission'!I22</f>
        <v>3.57</v>
      </c>
      <c r="F24" s="90">
        <f t="shared" ref="F24:F35" si="0">D24*E24</f>
        <v>0</v>
      </c>
      <c r="G24" s="17"/>
      <c r="H24" s="88">
        <f>'6. Historical Wholesale'!H24</f>
        <v>0</v>
      </c>
      <c r="I24" s="89">
        <f>'5. UTRs and Sub-Transmission'!I24</f>
        <v>0.8</v>
      </c>
      <c r="J24" s="90">
        <f t="shared" ref="J24:J35" si="1">H24*I24</f>
        <v>0</v>
      </c>
      <c r="K24" s="17"/>
      <c r="L24" s="88">
        <f>'6. Historical Wholesale'!L24</f>
        <v>0</v>
      </c>
      <c r="M24" s="89">
        <f>'5. UTRs and Sub-Transmission'!I26</f>
        <v>1.86</v>
      </c>
      <c r="N24" s="90">
        <f t="shared" ref="N24:N35" si="2">L24*M24</f>
        <v>0</v>
      </c>
      <c r="O24" s="17"/>
      <c r="P24" s="47">
        <f t="shared" ref="P24:P35" si="3">J24+N24</f>
        <v>0</v>
      </c>
      <c r="Q24" s="17"/>
    </row>
    <row r="25" spans="2:17" ht="15.75" x14ac:dyDescent="0.25">
      <c r="B25" s="48" t="s">
        <v>129</v>
      </c>
      <c r="C25" s="17"/>
      <c r="D25" s="88">
        <f>'6. Historical Wholesale'!D25</f>
        <v>0</v>
      </c>
      <c r="E25" s="89">
        <f t="shared" ref="E25:E35" si="4">E24</f>
        <v>3.57</v>
      </c>
      <c r="F25" s="90">
        <f t="shared" si="0"/>
        <v>0</v>
      </c>
      <c r="G25" s="17"/>
      <c r="H25" s="88">
        <f>'6. Historical Wholesale'!H25</f>
        <v>0</v>
      </c>
      <c r="I25" s="89">
        <f t="shared" ref="I25:I35" si="5">I24</f>
        <v>0.8</v>
      </c>
      <c r="J25" s="90">
        <f t="shared" si="1"/>
        <v>0</v>
      </c>
      <c r="K25" s="17"/>
      <c r="L25" s="88">
        <f>'6. Historical Wholesale'!L25</f>
        <v>0</v>
      </c>
      <c r="M25" s="89">
        <f t="shared" ref="M25:M35" si="6">M24</f>
        <v>1.86</v>
      </c>
      <c r="N25" s="90">
        <f t="shared" si="2"/>
        <v>0</v>
      </c>
      <c r="O25" s="17"/>
      <c r="P25" s="47">
        <f t="shared" si="3"/>
        <v>0</v>
      </c>
      <c r="Q25" s="17"/>
    </row>
    <row r="26" spans="2:17" ht="15.75" x14ac:dyDescent="0.25">
      <c r="B26" s="48" t="s">
        <v>130</v>
      </c>
      <c r="C26" s="17"/>
      <c r="D26" s="88">
        <f>'6. Historical Wholesale'!D26</f>
        <v>0</v>
      </c>
      <c r="E26" s="89">
        <f t="shared" si="4"/>
        <v>3.57</v>
      </c>
      <c r="F26" s="90">
        <f t="shared" si="0"/>
        <v>0</v>
      </c>
      <c r="G26" s="17"/>
      <c r="H26" s="88">
        <f>'6. Historical Wholesale'!H26</f>
        <v>0</v>
      </c>
      <c r="I26" s="89">
        <f t="shared" si="5"/>
        <v>0.8</v>
      </c>
      <c r="J26" s="90">
        <f t="shared" si="1"/>
        <v>0</v>
      </c>
      <c r="K26" s="17"/>
      <c r="L26" s="88">
        <f>'6. Historical Wholesale'!L26</f>
        <v>0</v>
      </c>
      <c r="M26" s="89">
        <f t="shared" si="6"/>
        <v>1.86</v>
      </c>
      <c r="N26" s="90">
        <f t="shared" si="2"/>
        <v>0</v>
      </c>
      <c r="O26" s="17"/>
      <c r="P26" s="47">
        <f t="shared" si="3"/>
        <v>0</v>
      </c>
      <c r="Q26" s="17"/>
    </row>
    <row r="27" spans="2:17" ht="15.75" x14ac:dyDescent="0.25">
      <c r="B27" s="48" t="s">
        <v>131</v>
      </c>
      <c r="C27" s="17"/>
      <c r="D27" s="88">
        <f>'6. Historical Wholesale'!D27</f>
        <v>0</v>
      </c>
      <c r="E27" s="89">
        <f t="shared" si="4"/>
        <v>3.57</v>
      </c>
      <c r="F27" s="90">
        <f t="shared" si="0"/>
        <v>0</v>
      </c>
      <c r="G27" s="17"/>
      <c r="H27" s="88">
        <f>'6. Historical Wholesale'!H27</f>
        <v>0</v>
      </c>
      <c r="I27" s="89">
        <f t="shared" si="5"/>
        <v>0.8</v>
      </c>
      <c r="J27" s="90">
        <f t="shared" si="1"/>
        <v>0</v>
      </c>
      <c r="K27" s="17"/>
      <c r="L27" s="88">
        <f>'6. Historical Wholesale'!L27</f>
        <v>0</v>
      </c>
      <c r="M27" s="89">
        <f t="shared" si="6"/>
        <v>1.86</v>
      </c>
      <c r="N27" s="90">
        <f t="shared" si="2"/>
        <v>0</v>
      </c>
      <c r="O27" s="17"/>
      <c r="P27" s="47">
        <f t="shared" si="3"/>
        <v>0</v>
      </c>
      <c r="Q27" s="17"/>
    </row>
    <row r="28" spans="2:17" ht="15.75" x14ac:dyDescent="0.25">
      <c r="B28" s="48" t="s">
        <v>132</v>
      </c>
      <c r="C28" s="17"/>
      <c r="D28" s="88">
        <f>'6. Historical Wholesale'!D28</f>
        <v>0</v>
      </c>
      <c r="E28" s="89">
        <f t="shared" si="4"/>
        <v>3.57</v>
      </c>
      <c r="F28" s="90">
        <f t="shared" si="0"/>
        <v>0</v>
      </c>
      <c r="G28" s="17"/>
      <c r="H28" s="88">
        <f>'6. Historical Wholesale'!H28</f>
        <v>0</v>
      </c>
      <c r="I28" s="89">
        <f t="shared" si="5"/>
        <v>0.8</v>
      </c>
      <c r="J28" s="90">
        <f t="shared" si="1"/>
        <v>0</v>
      </c>
      <c r="K28" s="17"/>
      <c r="L28" s="88">
        <f>'6. Historical Wholesale'!L28</f>
        <v>0</v>
      </c>
      <c r="M28" s="89">
        <f t="shared" si="6"/>
        <v>1.86</v>
      </c>
      <c r="N28" s="90">
        <f t="shared" si="2"/>
        <v>0</v>
      </c>
      <c r="O28" s="17"/>
      <c r="P28" s="47">
        <f t="shared" si="3"/>
        <v>0</v>
      </c>
      <c r="Q28" s="17"/>
    </row>
    <row r="29" spans="2:17" ht="15.75" x14ac:dyDescent="0.25">
      <c r="B29" s="48" t="s">
        <v>133</v>
      </c>
      <c r="C29" s="17"/>
      <c r="D29" s="88">
        <f>'6. Historical Wholesale'!D29</f>
        <v>0</v>
      </c>
      <c r="E29" s="89">
        <f t="shared" si="4"/>
        <v>3.57</v>
      </c>
      <c r="F29" s="90">
        <f t="shared" si="0"/>
        <v>0</v>
      </c>
      <c r="G29" s="17"/>
      <c r="H29" s="88">
        <f>'6. Historical Wholesale'!H29</f>
        <v>0</v>
      </c>
      <c r="I29" s="89">
        <f t="shared" si="5"/>
        <v>0.8</v>
      </c>
      <c r="J29" s="90">
        <f t="shared" si="1"/>
        <v>0</v>
      </c>
      <c r="K29" s="17"/>
      <c r="L29" s="88">
        <f>'6. Historical Wholesale'!L29</f>
        <v>0</v>
      </c>
      <c r="M29" s="89">
        <f t="shared" si="6"/>
        <v>1.86</v>
      </c>
      <c r="N29" s="90">
        <f t="shared" si="2"/>
        <v>0</v>
      </c>
      <c r="O29" s="17"/>
      <c r="P29" s="47">
        <f t="shared" si="3"/>
        <v>0</v>
      </c>
      <c r="Q29" s="17"/>
    </row>
    <row r="30" spans="2:17" ht="15.75" x14ac:dyDescent="0.25">
      <c r="B30" s="48" t="s">
        <v>134</v>
      </c>
      <c r="C30" s="17"/>
      <c r="D30" s="88">
        <f>'6. Historical Wholesale'!D30</f>
        <v>0</v>
      </c>
      <c r="E30" s="89">
        <f t="shared" si="4"/>
        <v>3.57</v>
      </c>
      <c r="F30" s="90">
        <f t="shared" si="0"/>
        <v>0</v>
      </c>
      <c r="G30" s="17"/>
      <c r="H30" s="88">
        <f>'6. Historical Wholesale'!H30</f>
        <v>0</v>
      </c>
      <c r="I30" s="89">
        <f t="shared" si="5"/>
        <v>0.8</v>
      </c>
      <c r="J30" s="90">
        <f t="shared" si="1"/>
        <v>0</v>
      </c>
      <c r="K30" s="17"/>
      <c r="L30" s="88">
        <f>'6. Historical Wholesale'!L30</f>
        <v>0</v>
      </c>
      <c r="M30" s="89">
        <f t="shared" si="6"/>
        <v>1.86</v>
      </c>
      <c r="N30" s="90">
        <f t="shared" si="2"/>
        <v>0</v>
      </c>
      <c r="O30" s="17"/>
      <c r="P30" s="47">
        <f t="shared" si="3"/>
        <v>0</v>
      </c>
      <c r="Q30" s="17"/>
    </row>
    <row r="31" spans="2:17" ht="15.75" x14ac:dyDescent="0.25">
      <c r="B31" s="48" t="s">
        <v>135</v>
      </c>
      <c r="C31" s="17"/>
      <c r="D31" s="88">
        <f>'6. Historical Wholesale'!D31</f>
        <v>0</v>
      </c>
      <c r="E31" s="89">
        <f t="shared" si="4"/>
        <v>3.57</v>
      </c>
      <c r="F31" s="90">
        <f t="shared" si="0"/>
        <v>0</v>
      </c>
      <c r="G31" s="17"/>
      <c r="H31" s="88">
        <f>'6. Historical Wholesale'!H31</f>
        <v>0</v>
      </c>
      <c r="I31" s="89">
        <f t="shared" si="5"/>
        <v>0.8</v>
      </c>
      <c r="J31" s="90">
        <f t="shared" si="1"/>
        <v>0</v>
      </c>
      <c r="K31" s="17"/>
      <c r="L31" s="88">
        <f>'6. Historical Wholesale'!L31</f>
        <v>0</v>
      </c>
      <c r="M31" s="89">
        <f t="shared" si="6"/>
        <v>1.86</v>
      </c>
      <c r="N31" s="90">
        <f t="shared" si="2"/>
        <v>0</v>
      </c>
      <c r="O31" s="17"/>
      <c r="P31" s="47">
        <f t="shared" si="3"/>
        <v>0</v>
      </c>
      <c r="Q31" s="17"/>
    </row>
    <row r="32" spans="2:17" ht="15.75" x14ac:dyDescent="0.25">
      <c r="B32" s="48" t="s">
        <v>136</v>
      </c>
      <c r="C32" s="17"/>
      <c r="D32" s="88">
        <f>'6. Historical Wholesale'!D32</f>
        <v>0</v>
      </c>
      <c r="E32" s="89">
        <f t="shared" si="4"/>
        <v>3.57</v>
      </c>
      <c r="F32" s="90">
        <f t="shared" si="0"/>
        <v>0</v>
      </c>
      <c r="G32" s="17"/>
      <c r="H32" s="88">
        <f>'6. Historical Wholesale'!H32</f>
        <v>0</v>
      </c>
      <c r="I32" s="89">
        <f t="shared" si="5"/>
        <v>0.8</v>
      </c>
      <c r="J32" s="90">
        <f t="shared" si="1"/>
        <v>0</v>
      </c>
      <c r="K32" s="17"/>
      <c r="L32" s="88">
        <f>'6. Historical Wholesale'!L32</f>
        <v>0</v>
      </c>
      <c r="M32" s="89">
        <f t="shared" si="6"/>
        <v>1.86</v>
      </c>
      <c r="N32" s="90">
        <f t="shared" si="2"/>
        <v>0</v>
      </c>
      <c r="O32" s="17"/>
      <c r="P32" s="47">
        <f t="shared" si="3"/>
        <v>0</v>
      </c>
      <c r="Q32" s="17"/>
    </row>
    <row r="33" spans="2:17" ht="15.75" x14ac:dyDescent="0.25">
      <c r="B33" s="48" t="s">
        <v>137</v>
      </c>
      <c r="C33" s="17"/>
      <c r="D33" s="88">
        <f>'6. Historical Wholesale'!D33</f>
        <v>0</v>
      </c>
      <c r="E33" s="89">
        <f t="shared" si="4"/>
        <v>3.57</v>
      </c>
      <c r="F33" s="90">
        <f t="shared" si="0"/>
        <v>0</v>
      </c>
      <c r="G33" s="17"/>
      <c r="H33" s="88">
        <f>'6. Historical Wholesale'!H33</f>
        <v>0</v>
      </c>
      <c r="I33" s="89">
        <f t="shared" si="5"/>
        <v>0.8</v>
      </c>
      <c r="J33" s="90">
        <f t="shared" si="1"/>
        <v>0</v>
      </c>
      <c r="K33" s="17"/>
      <c r="L33" s="88">
        <f>'6. Historical Wholesale'!L33</f>
        <v>0</v>
      </c>
      <c r="M33" s="89">
        <f t="shared" si="6"/>
        <v>1.86</v>
      </c>
      <c r="N33" s="90">
        <f t="shared" si="2"/>
        <v>0</v>
      </c>
      <c r="O33" s="17"/>
      <c r="P33" s="47">
        <f t="shared" si="3"/>
        <v>0</v>
      </c>
      <c r="Q33" s="17"/>
    </row>
    <row r="34" spans="2:17" ht="15.75" x14ac:dyDescent="0.25">
      <c r="B34" s="48" t="s">
        <v>138</v>
      </c>
      <c r="C34" s="17"/>
      <c r="D34" s="88">
        <f>'6. Historical Wholesale'!D34</f>
        <v>0</v>
      </c>
      <c r="E34" s="89">
        <f t="shared" si="4"/>
        <v>3.57</v>
      </c>
      <c r="F34" s="90">
        <f t="shared" si="0"/>
        <v>0</v>
      </c>
      <c r="G34" s="17"/>
      <c r="H34" s="88">
        <f>'6. Historical Wholesale'!H34</f>
        <v>0</v>
      </c>
      <c r="I34" s="89">
        <f t="shared" si="5"/>
        <v>0.8</v>
      </c>
      <c r="J34" s="90">
        <f t="shared" si="1"/>
        <v>0</v>
      </c>
      <c r="K34" s="17"/>
      <c r="L34" s="88">
        <f>'6. Historical Wholesale'!L34</f>
        <v>0</v>
      </c>
      <c r="M34" s="89">
        <f t="shared" si="6"/>
        <v>1.86</v>
      </c>
      <c r="N34" s="90">
        <f t="shared" si="2"/>
        <v>0</v>
      </c>
      <c r="O34" s="17"/>
      <c r="P34" s="47">
        <f t="shared" si="3"/>
        <v>0</v>
      </c>
      <c r="Q34" s="17"/>
    </row>
    <row r="35" spans="2:17" ht="15.75" x14ac:dyDescent="0.25">
      <c r="B35" s="48" t="s">
        <v>139</v>
      </c>
      <c r="C35" s="17"/>
      <c r="D35" s="88">
        <f>'6. Historical Wholesale'!D35</f>
        <v>0</v>
      </c>
      <c r="E35" s="89">
        <f t="shared" si="4"/>
        <v>3.57</v>
      </c>
      <c r="F35" s="90">
        <f t="shared" si="0"/>
        <v>0</v>
      </c>
      <c r="G35" s="17"/>
      <c r="H35" s="88">
        <f>'6. Historical Wholesale'!H35</f>
        <v>0</v>
      </c>
      <c r="I35" s="89">
        <f t="shared" si="5"/>
        <v>0.8</v>
      </c>
      <c r="J35" s="90">
        <f t="shared" si="1"/>
        <v>0</v>
      </c>
      <c r="K35" s="17"/>
      <c r="L35" s="88">
        <f>'6. Historical Wholesale'!L35</f>
        <v>0</v>
      </c>
      <c r="M35" s="89">
        <f t="shared" si="6"/>
        <v>1.86</v>
      </c>
      <c r="N35" s="90">
        <f t="shared" si="2"/>
        <v>0</v>
      </c>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7"/>
      <c r="D39" s="178" t="s">
        <v>229</v>
      </c>
      <c r="E39" s="178"/>
      <c r="F39" s="178"/>
      <c r="G39" s="142"/>
      <c r="H39" s="178" t="s">
        <v>232</v>
      </c>
      <c r="I39" s="178"/>
      <c r="J39" s="178"/>
      <c r="K39" s="142"/>
      <c r="L39" s="178" t="s">
        <v>231</v>
      </c>
      <c r="M39" s="178"/>
      <c r="N39" s="178"/>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48239</v>
      </c>
      <c r="E43" s="89">
        <f>'5. UTRs and Sub-Transmission'!I35+'5. UTRs and Sub-Transmission'!I49</f>
        <v>2.65</v>
      </c>
      <c r="F43" s="90">
        <f t="shared" ref="F43:F54" si="7">D43*E43</f>
        <v>127833.34999999999</v>
      </c>
      <c r="G43" s="17"/>
      <c r="H43" s="88">
        <f>'6. Historical Wholesale'!H43</f>
        <v>49787</v>
      </c>
      <c r="I43" s="89">
        <f>'5. UTRs and Sub-Transmission'!I37+'5. UTRs and Sub-Transmission'!I51</f>
        <v>0.64</v>
      </c>
      <c r="J43" s="90">
        <f t="shared" ref="J43:J54" si="8">H43*I43</f>
        <v>31863.68</v>
      </c>
      <c r="K43" s="17"/>
      <c r="L43" s="88">
        <f>'6. Historical Wholesale'!L43</f>
        <v>49787</v>
      </c>
      <c r="M43" s="89">
        <f>'5. UTRs and Sub-Transmission'!I39</f>
        <v>1.5</v>
      </c>
      <c r="N43" s="90">
        <f t="shared" ref="N43:N54" si="9">L43*M43</f>
        <v>74680.5</v>
      </c>
      <c r="O43" s="17"/>
      <c r="P43" s="47">
        <f t="shared" ref="P43:P54" si="10">J43+N43</f>
        <v>106544.18</v>
      </c>
      <c r="Q43" s="17"/>
    </row>
    <row r="44" spans="2:17" ht="15.75" x14ac:dyDescent="0.25">
      <c r="B44" s="48" t="s">
        <v>129</v>
      </c>
      <c r="C44" s="17"/>
      <c r="D44" s="88">
        <f>'6. Historical Wholesale'!D44</f>
        <v>51110</v>
      </c>
      <c r="E44" s="89">
        <f t="shared" ref="E44:E54" si="11">E43</f>
        <v>2.65</v>
      </c>
      <c r="F44" s="90">
        <f t="shared" si="7"/>
        <v>135441.5</v>
      </c>
      <c r="G44" s="17"/>
      <c r="H44" s="88">
        <f>'6. Historical Wholesale'!H44</f>
        <v>53267</v>
      </c>
      <c r="I44" s="89">
        <f t="shared" ref="I44:I54" si="12">I43</f>
        <v>0.64</v>
      </c>
      <c r="J44" s="90">
        <f t="shared" si="8"/>
        <v>34090.879999999997</v>
      </c>
      <c r="K44" s="17"/>
      <c r="L44" s="88">
        <f>'6. Historical Wholesale'!L44</f>
        <v>53267</v>
      </c>
      <c r="M44" s="89">
        <f t="shared" ref="M44:M54" si="13">M43</f>
        <v>1.5</v>
      </c>
      <c r="N44" s="90">
        <f t="shared" si="9"/>
        <v>79900.5</v>
      </c>
      <c r="O44" s="17"/>
      <c r="P44" s="47">
        <f t="shared" si="10"/>
        <v>113991.38</v>
      </c>
      <c r="Q44" s="17"/>
    </row>
    <row r="45" spans="2:17" ht="15.75" x14ac:dyDescent="0.25">
      <c r="B45" s="48" t="s">
        <v>130</v>
      </c>
      <c r="C45" s="17"/>
      <c r="D45" s="88">
        <f>'6. Historical Wholesale'!D45</f>
        <v>41351</v>
      </c>
      <c r="E45" s="89">
        <f t="shared" si="11"/>
        <v>2.65</v>
      </c>
      <c r="F45" s="90">
        <f t="shared" si="7"/>
        <v>109580.15</v>
      </c>
      <c r="G45" s="17"/>
      <c r="H45" s="88">
        <f>'6. Historical Wholesale'!H45</f>
        <v>42265</v>
      </c>
      <c r="I45" s="89">
        <f t="shared" si="12"/>
        <v>0.64</v>
      </c>
      <c r="J45" s="90">
        <f t="shared" si="8"/>
        <v>27049.600000000002</v>
      </c>
      <c r="K45" s="17"/>
      <c r="L45" s="88">
        <f>'6. Historical Wholesale'!L45</f>
        <v>42265</v>
      </c>
      <c r="M45" s="89">
        <f t="shared" si="13"/>
        <v>1.5</v>
      </c>
      <c r="N45" s="90">
        <f t="shared" si="9"/>
        <v>63397.5</v>
      </c>
      <c r="O45" s="17"/>
      <c r="P45" s="47">
        <f t="shared" si="10"/>
        <v>90447.1</v>
      </c>
      <c r="Q45" s="17"/>
    </row>
    <row r="46" spans="2:17" ht="15.75" x14ac:dyDescent="0.25">
      <c r="B46" s="48" t="s">
        <v>131</v>
      </c>
      <c r="C46" s="17"/>
      <c r="D46" s="88">
        <f>'6. Historical Wholesale'!D46</f>
        <v>34529</v>
      </c>
      <c r="E46" s="89">
        <f t="shared" si="11"/>
        <v>2.65</v>
      </c>
      <c r="F46" s="90">
        <f t="shared" si="7"/>
        <v>91501.849999999991</v>
      </c>
      <c r="G46" s="17"/>
      <c r="H46" s="88">
        <f>'6. Historical Wholesale'!H46</f>
        <v>35235</v>
      </c>
      <c r="I46" s="89">
        <f t="shared" si="12"/>
        <v>0.64</v>
      </c>
      <c r="J46" s="90">
        <f t="shared" si="8"/>
        <v>22550.400000000001</v>
      </c>
      <c r="K46" s="17"/>
      <c r="L46" s="88">
        <f>'6. Historical Wholesale'!L46</f>
        <v>35235</v>
      </c>
      <c r="M46" s="89">
        <f t="shared" si="13"/>
        <v>1.5</v>
      </c>
      <c r="N46" s="90">
        <f t="shared" si="9"/>
        <v>52852.5</v>
      </c>
      <c r="O46" s="17"/>
      <c r="P46" s="47">
        <f t="shared" si="10"/>
        <v>75402.899999999994</v>
      </c>
      <c r="Q46" s="17"/>
    </row>
    <row r="47" spans="2:17" ht="15.75" x14ac:dyDescent="0.25">
      <c r="B47" s="48" t="s">
        <v>132</v>
      </c>
      <c r="C47" s="17"/>
      <c r="D47" s="88">
        <f>'6. Historical Wholesale'!D47</f>
        <v>38660</v>
      </c>
      <c r="E47" s="89">
        <f t="shared" si="11"/>
        <v>2.65</v>
      </c>
      <c r="F47" s="90">
        <f t="shared" si="7"/>
        <v>102449</v>
      </c>
      <c r="G47" s="17"/>
      <c r="H47" s="88">
        <f>'6. Historical Wholesale'!H47</f>
        <v>40016</v>
      </c>
      <c r="I47" s="89">
        <f t="shared" si="12"/>
        <v>0.64</v>
      </c>
      <c r="J47" s="90">
        <f t="shared" si="8"/>
        <v>25610.240000000002</v>
      </c>
      <c r="K47" s="17"/>
      <c r="L47" s="88">
        <f>'6. Historical Wholesale'!L47</f>
        <v>40016</v>
      </c>
      <c r="M47" s="89">
        <f t="shared" si="13"/>
        <v>1.5</v>
      </c>
      <c r="N47" s="90">
        <f t="shared" si="9"/>
        <v>60024</v>
      </c>
      <c r="O47" s="17"/>
      <c r="P47" s="47">
        <f t="shared" si="10"/>
        <v>85634.240000000005</v>
      </c>
      <c r="Q47" s="17"/>
    </row>
    <row r="48" spans="2:17" ht="15.75" x14ac:dyDescent="0.25">
      <c r="B48" s="48" t="s">
        <v>133</v>
      </c>
      <c r="C48" s="17"/>
      <c r="D48" s="88">
        <f>'6. Historical Wholesale'!D48</f>
        <v>38616</v>
      </c>
      <c r="E48" s="89">
        <f t="shared" si="11"/>
        <v>2.65</v>
      </c>
      <c r="F48" s="90">
        <f t="shared" si="7"/>
        <v>102332.4</v>
      </c>
      <c r="G48" s="17"/>
      <c r="H48" s="88">
        <f>'6. Historical Wholesale'!H48</f>
        <v>40241</v>
      </c>
      <c r="I48" s="89">
        <f t="shared" si="12"/>
        <v>0.64</v>
      </c>
      <c r="J48" s="90">
        <f t="shared" si="8"/>
        <v>25754.240000000002</v>
      </c>
      <c r="K48" s="17"/>
      <c r="L48" s="88">
        <f>'6. Historical Wholesale'!L48</f>
        <v>40241</v>
      </c>
      <c r="M48" s="89">
        <f t="shared" si="13"/>
        <v>1.5</v>
      </c>
      <c r="N48" s="90">
        <f t="shared" si="9"/>
        <v>60361.5</v>
      </c>
      <c r="O48" s="17"/>
      <c r="P48" s="47">
        <f t="shared" si="10"/>
        <v>86115.74</v>
      </c>
      <c r="Q48" s="17"/>
    </row>
    <row r="49" spans="2:17" ht="15.75" x14ac:dyDescent="0.25">
      <c r="B49" s="48" t="s">
        <v>134</v>
      </c>
      <c r="C49" s="17"/>
      <c r="D49" s="88">
        <f>'6. Historical Wholesale'!D49</f>
        <v>49285</v>
      </c>
      <c r="E49" s="89">
        <f t="shared" si="11"/>
        <v>2.65</v>
      </c>
      <c r="F49" s="90">
        <f t="shared" si="7"/>
        <v>130605.25</v>
      </c>
      <c r="G49" s="17"/>
      <c r="H49" s="88">
        <f>'6. Historical Wholesale'!H49</f>
        <v>49902</v>
      </c>
      <c r="I49" s="89">
        <f t="shared" si="12"/>
        <v>0.64</v>
      </c>
      <c r="J49" s="90">
        <f t="shared" si="8"/>
        <v>31937.280000000002</v>
      </c>
      <c r="K49" s="17"/>
      <c r="L49" s="88">
        <f>'6. Historical Wholesale'!L49</f>
        <v>49902</v>
      </c>
      <c r="M49" s="89">
        <f t="shared" si="13"/>
        <v>1.5</v>
      </c>
      <c r="N49" s="90">
        <f t="shared" si="9"/>
        <v>74853</v>
      </c>
      <c r="O49" s="17"/>
      <c r="P49" s="47">
        <f t="shared" si="10"/>
        <v>106790.28</v>
      </c>
      <c r="Q49" s="17"/>
    </row>
    <row r="50" spans="2:17" ht="15.75" x14ac:dyDescent="0.25">
      <c r="B50" s="48" t="s">
        <v>135</v>
      </c>
      <c r="C50" s="17"/>
      <c r="D50" s="88">
        <f>'6. Historical Wholesale'!D50</f>
        <v>38726</v>
      </c>
      <c r="E50" s="89">
        <f t="shared" si="11"/>
        <v>2.65</v>
      </c>
      <c r="F50" s="90">
        <f t="shared" si="7"/>
        <v>102623.9</v>
      </c>
      <c r="G50" s="17"/>
      <c r="H50" s="88">
        <f>'6. Historical Wholesale'!H50</f>
        <v>43230</v>
      </c>
      <c r="I50" s="89">
        <f t="shared" si="12"/>
        <v>0.64</v>
      </c>
      <c r="J50" s="90">
        <f t="shared" si="8"/>
        <v>27667.200000000001</v>
      </c>
      <c r="K50" s="17"/>
      <c r="L50" s="88">
        <f>'6. Historical Wholesale'!L50</f>
        <v>43230</v>
      </c>
      <c r="M50" s="89">
        <f t="shared" si="13"/>
        <v>1.5</v>
      </c>
      <c r="N50" s="90">
        <f t="shared" si="9"/>
        <v>64845</v>
      </c>
      <c r="O50" s="17"/>
      <c r="P50" s="47">
        <f t="shared" si="10"/>
        <v>92512.2</v>
      </c>
      <c r="Q50" s="17"/>
    </row>
    <row r="51" spans="2:17" ht="15.75" x14ac:dyDescent="0.25">
      <c r="B51" s="48" t="s">
        <v>136</v>
      </c>
      <c r="C51" s="17"/>
      <c r="D51" s="88">
        <f>'6. Historical Wholesale'!D51</f>
        <v>36240</v>
      </c>
      <c r="E51" s="89">
        <f t="shared" si="11"/>
        <v>2.65</v>
      </c>
      <c r="F51" s="90">
        <f t="shared" si="7"/>
        <v>96036</v>
      </c>
      <c r="G51" s="17"/>
      <c r="H51" s="88">
        <f>'6. Historical Wholesale'!H51</f>
        <v>37500</v>
      </c>
      <c r="I51" s="89">
        <f t="shared" si="12"/>
        <v>0.64</v>
      </c>
      <c r="J51" s="90">
        <f t="shared" si="8"/>
        <v>24000</v>
      </c>
      <c r="K51" s="17"/>
      <c r="L51" s="88">
        <f>'6. Historical Wholesale'!L51</f>
        <v>37500</v>
      </c>
      <c r="M51" s="89">
        <f t="shared" si="13"/>
        <v>1.5</v>
      </c>
      <c r="N51" s="90">
        <f t="shared" si="9"/>
        <v>56250</v>
      </c>
      <c r="O51" s="17"/>
      <c r="P51" s="47">
        <f t="shared" si="10"/>
        <v>80250</v>
      </c>
      <c r="Q51" s="17"/>
    </row>
    <row r="52" spans="2:17" ht="15.75" x14ac:dyDescent="0.25">
      <c r="B52" s="48" t="s">
        <v>137</v>
      </c>
      <c r="C52" s="17"/>
      <c r="D52" s="88">
        <f>'6. Historical Wholesale'!D52</f>
        <v>33735</v>
      </c>
      <c r="E52" s="89">
        <f t="shared" si="11"/>
        <v>2.65</v>
      </c>
      <c r="F52" s="90">
        <f t="shared" si="7"/>
        <v>89397.75</v>
      </c>
      <c r="G52" s="17"/>
      <c r="H52" s="88">
        <f>'6. Historical Wholesale'!H52</f>
        <v>34880</v>
      </c>
      <c r="I52" s="89">
        <f t="shared" si="12"/>
        <v>0.64</v>
      </c>
      <c r="J52" s="90">
        <f t="shared" si="8"/>
        <v>22323.200000000001</v>
      </c>
      <c r="K52" s="17"/>
      <c r="L52" s="88">
        <f>'6. Historical Wholesale'!L52</f>
        <v>34880</v>
      </c>
      <c r="M52" s="89">
        <f t="shared" si="13"/>
        <v>1.5</v>
      </c>
      <c r="N52" s="90">
        <f t="shared" si="9"/>
        <v>52320</v>
      </c>
      <c r="O52" s="17"/>
      <c r="P52" s="47">
        <f t="shared" si="10"/>
        <v>74643.199999999997</v>
      </c>
      <c r="Q52" s="17"/>
    </row>
    <row r="53" spans="2:17" ht="15.75" x14ac:dyDescent="0.25">
      <c r="B53" s="48" t="s">
        <v>138</v>
      </c>
      <c r="C53" s="17"/>
      <c r="D53" s="88">
        <f>'6. Historical Wholesale'!D53</f>
        <v>37599</v>
      </c>
      <c r="E53" s="89">
        <f t="shared" si="11"/>
        <v>2.65</v>
      </c>
      <c r="F53" s="90">
        <f t="shared" si="7"/>
        <v>99637.349999999991</v>
      </c>
      <c r="G53" s="17"/>
      <c r="H53" s="88">
        <f>'6. Historical Wholesale'!H53</f>
        <v>38351</v>
      </c>
      <c r="I53" s="89">
        <f t="shared" si="12"/>
        <v>0.64</v>
      </c>
      <c r="J53" s="90">
        <f t="shared" si="8"/>
        <v>24544.639999999999</v>
      </c>
      <c r="K53" s="17"/>
      <c r="L53" s="88">
        <f>'6. Historical Wholesale'!L53</f>
        <v>38351</v>
      </c>
      <c r="M53" s="89">
        <f t="shared" si="13"/>
        <v>1.5</v>
      </c>
      <c r="N53" s="90">
        <f t="shared" si="9"/>
        <v>57526.5</v>
      </c>
      <c r="O53" s="17"/>
      <c r="P53" s="47">
        <f t="shared" si="10"/>
        <v>82071.14</v>
      </c>
      <c r="Q53" s="17"/>
    </row>
    <row r="54" spans="2:17" ht="15.75" x14ac:dyDescent="0.25">
      <c r="B54" s="48" t="s">
        <v>139</v>
      </c>
      <c r="C54" s="17"/>
      <c r="D54" s="88">
        <f>'6. Historical Wholesale'!D54</f>
        <v>50446</v>
      </c>
      <c r="E54" s="89">
        <f t="shared" si="11"/>
        <v>2.65</v>
      </c>
      <c r="F54" s="90">
        <f t="shared" si="7"/>
        <v>133681.9</v>
      </c>
      <c r="G54" s="17"/>
      <c r="H54" s="88">
        <f>'6. Historical Wholesale'!H54</f>
        <v>50527</v>
      </c>
      <c r="I54" s="89">
        <f t="shared" si="12"/>
        <v>0.64</v>
      </c>
      <c r="J54" s="90">
        <f t="shared" si="8"/>
        <v>32337.280000000002</v>
      </c>
      <c r="K54" s="17"/>
      <c r="L54" s="88">
        <f>'6. Historical Wholesale'!L54</f>
        <v>50527</v>
      </c>
      <c r="M54" s="89">
        <f t="shared" si="13"/>
        <v>1.5</v>
      </c>
      <c r="N54" s="90">
        <f t="shared" si="9"/>
        <v>75790.5</v>
      </c>
      <c r="O54" s="17"/>
      <c r="P54" s="47">
        <f t="shared" si="10"/>
        <v>108127.78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498536</v>
      </c>
      <c r="E56" s="51">
        <f>IF(D56&lt;&gt;0,F56/D56,0)</f>
        <v>2.65</v>
      </c>
      <c r="F56" s="52">
        <f>SUM(F43:F54)</f>
        <v>1321120.3999999999</v>
      </c>
      <c r="G56" s="17"/>
      <c r="H56" s="50">
        <f>SUM(H43:H54)</f>
        <v>515201</v>
      </c>
      <c r="I56" s="51">
        <f>IF(H56&lt;&gt;0,J56/H56,0)</f>
        <v>0.64</v>
      </c>
      <c r="J56" s="52">
        <f>SUM(J43:J54)</f>
        <v>329728.64000000001</v>
      </c>
      <c r="K56" s="17"/>
      <c r="L56" s="50">
        <f>SUM(L43:L54)</f>
        <v>515201</v>
      </c>
      <c r="M56" s="51">
        <f>IF(L56&lt;&gt;0,N56/L56,0)</f>
        <v>1.5</v>
      </c>
      <c r="N56" s="52">
        <f>SUM(N43:N54)</f>
        <v>772801.5</v>
      </c>
      <c r="O56" s="17"/>
      <c r="P56" s="52">
        <f>SUM(P43:P54)</f>
        <v>1102530.1399999999</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7"/>
      <c r="D58" s="178" t="s">
        <v>229</v>
      </c>
      <c r="E58" s="178"/>
      <c r="F58" s="178"/>
      <c r="G58" s="142"/>
      <c r="H58" s="178" t="s">
        <v>232</v>
      </c>
      <c r="I58" s="178"/>
      <c r="J58" s="178"/>
      <c r="K58" s="142"/>
      <c r="L58" s="178" t="s">
        <v>231</v>
      </c>
      <c r="M58" s="178"/>
      <c r="N58" s="178"/>
      <c r="O58" s="142"/>
      <c r="P58" s="143" t="s">
        <v>230</v>
      </c>
      <c r="Q58" s="17"/>
    </row>
    <row r="59" spans="2:17" ht="15.75" x14ac:dyDescent="0.25">
      <c r="B59" s="17"/>
      <c r="C59" s="17"/>
      <c r="D59" s="179"/>
      <c r="E59" s="179"/>
      <c r="F59" s="179"/>
      <c r="G59" s="44"/>
      <c r="H59" s="179"/>
      <c r="I59" s="179"/>
      <c r="J59" s="179"/>
      <c r="K59" s="44"/>
      <c r="L59" s="179"/>
      <c r="M59" s="179"/>
      <c r="N59" s="179"/>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48239</v>
      </c>
      <c r="E62" s="54">
        <f t="shared" ref="E62:E73" si="15">IF(D62&lt;&gt;0,F62/D62,0)</f>
        <v>2.65</v>
      </c>
      <c r="F62" s="47">
        <f t="shared" ref="F62:F73" si="16">F24+F43</f>
        <v>127833.34999999999</v>
      </c>
      <c r="G62" s="17"/>
      <c r="H62" s="53">
        <f t="shared" ref="H62:H73" si="17">H24+H43</f>
        <v>49787</v>
      </c>
      <c r="I62" s="54">
        <f t="shared" ref="I62:I73" si="18">IF(H62&lt;&gt;0,J62/H62,0)</f>
        <v>0.64</v>
      </c>
      <c r="J62" s="47">
        <f t="shared" ref="J62:J73" si="19">J24+J43</f>
        <v>31863.68</v>
      </c>
      <c r="K62" s="17"/>
      <c r="L62" s="53">
        <f t="shared" ref="L62:L73" si="20">L24+L43</f>
        <v>49787</v>
      </c>
      <c r="M62" s="54">
        <f t="shared" ref="M62:M73" si="21">IF(L62&lt;&gt;0,N62/L62,0)</f>
        <v>1.5</v>
      </c>
      <c r="N62" s="47">
        <f t="shared" ref="N62:N73" si="22">N24+N43</f>
        <v>74680.5</v>
      </c>
      <c r="O62" s="17"/>
      <c r="P62" s="47">
        <f t="shared" ref="P62:P73" si="23">J62+N62</f>
        <v>106544.18</v>
      </c>
      <c r="Q62" s="17"/>
    </row>
    <row r="63" spans="2:17" ht="15.75" x14ac:dyDescent="0.25">
      <c r="B63" s="48" t="s">
        <v>129</v>
      </c>
      <c r="C63" s="17"/>
      <c r="D63" s="53">
        <f t="shared" si="14"/>
        <v>51110</v>
      </c>
      <c r="E63" s="54">
        <f t="shared" si="15"/>
        <v>2.65</v>
      </c>
      <c r="F63" s="47">
        <f t="shared" si="16"/>
        <v>135441.5</v>
      </c>
      <c r="G63" s="17"/>
      <c r="H63" s="53">
        <f t="shared" si="17"/>
        <v>53267</v>
      </c>
      <c r="I63" s="54">
        <f t="shared" si="18"/>
        <v>0.6399999999999999</v>
      </c>
      <c r="J63" s="47">
        <f t="shared" si="19"/>
        <v>34090.879999999997</v>
      </c>
      <c r="K63" s="17"/>
      <c r="L63" s="53">
        <f t="shared" si="20"/>
        <v>53267</v>
      </c>
      <c r="M63" s="54">
        <f t="shared" si="21"/>
        <v>1.5</v>
      </c>
      <c r="N63" s="47">
        <f t="shared" si="22"/>
        <v>79900.5</v>
      </c>
      <c r="O63" s="17"/>
      <c r="P63" s="47">
        <f t="shared" si="23"/>
        <v>113991.38</v>
      </c>
      <c r="Q63" s="17"/>
    </row>
    <row r="64" spans="2:17" ht="15.75" x14ac:dyDescent="0.25">
      <c r="B64" s="48" t="s">
        <v>130</v>
      </c>
      <c r="C64" s="17"/>
      <c r="D64" s="53">
        <f t="shared" si="14"/>
        <v>41351</v>
      </c>
      <c r="E64" s="54">
        <f t="shared" si="15"/>
        <v>2.65</v>
      </c>
      <c r="F64" s="47">
        <f t="shared" si="16"/>
        <v>109580.15</v>
      </c>
      <c r="G64" s="17"/>
      <c r="H64" s="53">
        <f t="shared" si="17"/>
        <v>42265</v>
      </c>
      <c r="I64" s="54">
        <f t="shared" si="18"/>
        <v>0.64</v>
      </c>
      <c r="J64" s="47">
        <f t="shared" si="19"/>
        <v>27049.600000000002</v>
      </c>
      <c r="K64" s="17"/>
      <c r="L64" s="53">
        <f t="shared" si="20"/>
        <v>42265</v>
      </c>
      <c r="M64" s="54">
        <f t="shared" si="21"/>
        <v>1.5</v>
      </c>
      <c r="N64" s="47">
        <f t="shared" si="22"/>
        <v>63397.5</v>
      </c>
      <c r="O64" s="17"/>
      <c r="P64" s="47">
        <f t="shared" si="23"/>
        <v>90447.1</v>
      </c>
      <c r="Q64" s="17"/>
    </row>
    <row r="65" spans="2:17" ht="15.75" x14ac:dyDescent="0.25">
      <c r="B65" s="48" t="s">
        <v>131</v>
      </c>
      <c r="C65" s="17"/>
      <c r="D65" s="53">
        <f t="shared" si="14"/>
        <v>34529</v>
      </c>
      <c r="E65" s="54">
        <f t="shared" si="15"/>
        <v>2.65</v>
      </c>
      <c r="F65" s="47">
        <f t="shared" si="16"/>
        <v>91501.849999999991</v>
      </c>
      <c r="G65" s="17"/>
      <c r="H65" s="53">
        <f t="shared" si="17"/>
        <v>35235</v>
      </c>
      <c r="I65" s="54">
        <f t="shared" si="18"/>
        <v>0.64</v>
      </c>
      <c r="J65" s="47">
        <f t="shared" si="19"/>
        <v>22550.400000000001</v>
      </c>
      <c r="K65" s="17"/>
      <c r="L65" s="53">
        <f t="shared" si="20"/>
        <v>35235</v>
      </c>
      <c r="M65" s="54">
        <f t="shared" si="21"/>
        <v>1.5</v>
      </c>
      <c r="N65" s="47">
        <f t="shared" si="22"/>
        <v>52852.5</v>
      </c>
      <c r="O65" s="17"/>
      <c r="P65" s="47">
        <f t="shared" si="23"/>
        <v>75402.899999999994</v>
      </c>
      <c r="Q65" s="17"/>
    </row>
    <row r="66" spans="2:17" ht="15.75" x14ac:dyDescent="0.25">
      <c r="B66" s="48" t="s">
        <v>132</v>
      </c>
      <c r="C66" s="17"/>
      <c r="D66" s="53">
        <f t="shared" si="14"/>
        <v>38660</v>
      </c>
      <c r="E66" s="54">
        <f t="shared" si="15"/>
        <v>2.65</v>
      </c>
      <c r="F66" s="47">
        <f t="shared" si="16"/>
        <v>102449</v>
      </c>
      <c r="G66" s="17"/>
      <c r="H66" s="53">
        <f t="shared" si="17"/>
        <v>40016</v>
      </c>
      <c r="I66" s="54">
        <f t="shared" si="18"/>
        <v>0.64</v>
      </c>
      <c r="J66" s="47">
        <f t="shared" si="19"/>
        <v>25610.240000000002</v>
      </c>
      <c r="K66" s="17"/>
      <c r="L66" s="53">
        <f t="shared" si="20"/>
        <v>40016</v>
      </c>
      <c r="M66" s="54">
        <f t="shared" si="21"/>
        <v>1.5</v>
      </c>
      <c r="N66" s="47">
        <f t="shared" si="22"/>
        <v>60024</v>
      </c>
      <c r="O66" s="17"/>
      <c r="P66" s="47">
        <f t="shared" si="23"/>
        <v>85634.240000000005</v>
      </c>
      <c r="Q66" s="17"/>
    </row>
    <row r="67" spans="2:17" ht="15.75" x14ac:dyDescent="0.25">
      <c r="B67" s="48" t="s">
        <v>133</v>
      </c>
      <c r="C67" s="17"/>
      <c r="D67" s="53">
        <f t="shared" si="14"/>
        <v>38616</v>
      </c>
      <c r="E67" s="54">
        <f t="shared" si="15"/>
        <v>2.65</v>
      </c>
      <c r="F67" s="47">
        <f t="shared" si="16"/>
        <v>102332.4</v>
      </c>
      <c r="G67" s="17"/>
      <c r="H67" s="53">
        <f t="shared" si="17"/>
        <v>40241</v>
      </c>
      <c r="I67" s="54">
        <f t="shared" si="18"/>
        <v>0.64</v>
      </c>
      <c r="J67" s="47">
        <f t="shared" si="19"/>
        <v>25754.240000000002</v>
      </c>
      <c r="K67" s="17"/>
      <c r="L67" s="53">
        <f t="shared" si="20"/>
        <v>40241</v>
      </c>
      <c r="M67" s="54">
        <f t="shared" si="21"/>
        <v>1.5</v>
      </c>
      <c r="N67" s="47">
        <f t="shared" si="22"/>
        <v>60361.5</v>
      </c>
      <c r="O67" s="17"/>
      <c r="P67" s="47">
        <f t="shared" si="23"/>
        <v>86115.74</v>
      </c>
      <c r="Q67" s="17"/>
    </row>
    <row r="68" spans="2:17" ht="15.75" x14ac:dyDescent="0.25">
      <c r="B68" s="48" t="s">
        <v>134</v>
      </c>
      <c r="C68" s="17"/>
      <c r="D68" s="53">
        <f t="shared" si="14"/>
        <v>49285</v>
      </c>
      <c r="E68" s="54">
        <f t="shared" si="15"/>
        <v>2.65</v>
      </c>
      <c r="F68" s="47">
        <f t="shared" si="16"/>
        <v>130605.25</v>
      </c>
      <c r="G68" s="17"/>
      <c r="H68" s="53">
        <f t="shared" si="17"/>
        <v>49902</v>
      </c>
      <c r="I68" s="54">
        <f t="shared" si="18"/>
        <v>0.64</v>
      </c>
      <c r="J68" s="47">
        <f t="shared" si="19"/>
        <v>31937.280000000002</v>
      </c>
      <c r="K68" s="17"/>
      <c r="L68" s="53">
        <f t="shared" si="20"/>
        <v>49902</v>
      </c>
      <c r="M68" s="54">
        <f t="shared" si="21"/>
        <v>1.5</v>
      </c>
      <c r="N68" s="47">
        <f t="shared" si="22"/>
        <v>74853</v>
      </c>
      <c r="O68" s="17"/>
      <c r="P68" s="47">
        <f t="shared" si="23"/>
        <v>106790.28</v>
      </c>
      <c r="Q68" s="17"/>
    </row>
    <row r="69" spans="2:17" ht="15.75" x14ac:dyDescent="0.25">
      <c r="B69" s="48" t="s">
        <v>135</v>
      </c>
      <c r="C69" s="17"/>
      <c r="D69" s="53">
        <f t="shared" si="14"/>
        <v>38726</v>
      </c>
      <c r="E69" s="54">
        <f t="shared" si="15"/>
        <v>2.65</v>
      </c>
      <c r="F69" s="47">
        <f t="shared" si="16"/>
        <v>102623.9</v>
      </c>
      <c r="G69" s="17"/>
      <c r="H69" s="53">
        <f t="shared" si="17"/>
        <v>43230</v>
      </c>
      <c r="I69" s="54">
        <f t="shared" si="18"/>
        <v>0.64</v>
      </c>
      <c r="J69" s="47">
        <f t="shared" si="19"/>
        <v>27667.200000000001</v>
      </c>
      <c r="K69" s="17"/>
      <c r="L69" s="53">
        <f t="shared" si="20"/>
        <v>43230</v>
      </c>
      <c r="M69" s="54">
        <f t="shared" si="21"/>
        <v>1.5</v>
      </c>
      <c r="N69" s="47">
        <f t="shared" si="22"/>
        <v>64845</v>
      </c>
      <c r="O69" s="17"/>
      <c r="P69" s="47">
        <f t="shared" si="23"/>
        <v>92512.2</v>
      </c>
      <c r="Q69" s="17"/>
    </row>
    <row r="70" spans="2:17" ht="15.75" x14ac:dyDescent="0.25">
      <c r="B70" s="48" t="s">
        <v>136</v>
      </c>
      <c r="C70" s="17"/>
      <c r="D70" s="53">
        <f t="shared" si="14"/>
        <v>36240</v>
      </c>
      <c r="E70" s="54">
        <f t="shared" si="15"/>
        <v>2.65</v>
      </c>
      <c r="F70" s="47">
        <f t="shared" si="16"/>
        <v>96036</v>
      </c>
      <c r="G70" s="17"/>
      <c r="H70" s="53">
        <f t="shared" si="17"/>
        <v>37500</v>
      </c>
      <c r="I70" s="54">
        <f t="shared" si="18"/>
        <v>0.64</v>
      </c>
      <c r="J70" s="47">
        <f t="shared" si="19"/>
        <v>24000</v>
      </c>
      <c r="K70" s="17"/>
      <c r="L70" s="53">
        <f t="shared" si="20"/>
        <v>37500</v>
      </c>
      <c r="M70" s="54">
        <f t="shared" si="21"/>
        <v>1.5</v>
      </c>
      <c r="N70" s="47">
        <f t="shared" si="22"/>
        <v>56250</v>
      </c>
      <c r="O70" s="17"/>
      <c r="P70" s="47">
        <f t="shared" si="23"/>
        <v>80250</v>
      </c>
      <c r="Q70" s="17"/>
    </row>
    <row r="71" spans="2:17" ht="15.75" x14ac:dyDescent="0.25">
      <c r="B71" s="48" t="s">
        <v>137</v>
      </c>
      <c r="C71" s="17"/>
      <c r="D71" s="53">
        <f t="shared" si="14"/>
        <v>33735</v>
      </c>
      <c r="E71" s="54">
        <f t="shared" si="15"/>
        <v>2.65</v>
      </c>
      <c r="F71" s="47">
        <f t="shared" si="16"/>
        <v>89397.75</v>
      </c>
      <c r="G71" s="17"/>
      <c r="H71" s="53">
        <f t="shared" si="17"/>
        <v>34880</v>
      </c>
      <c r="I71" s="54">
        <f t="shared" si="18"/>
        <v>0.64</v>
      </c>
      <c r="J71" s="47">
        <f t="shared" si="19"/>
        <v>22323.200000000001</v>
      </c>
      <c r="K71" s="17"/>
      <c r="L71" s="53">
        <f t="shared" si="20"/>
        <v>34880</v>
      </c>
      <c r="M71" s="54">
        <f t="shared" si="21"/>
        <v>1.5</v>
      </c>
      <c r="N71" s="47">
        <f t="shared" si="22"/>
        <v>52320</v>
      </c>
      <c r="O71" s="17"/>
      <c r="P71" s="47">
        <f t="shared" si="23"/>
        <v>74643.199999999997</v>
      </c>
      <c r="Q71" s="17"/>
    </row>
    <row r="72" spans="2:17" ht="15.75" x14ac:dyDescent="0.25">
      <c r="B72" s="48" t="s">
        <v>138</v>
      </c>
      <c r="C72" s="17"/>
      <c r="D72" s="53">
        <f t="shared" si="14"/>
        <v>37599</v>
      </c>
      <c r="E72" s="54">
        <f t="shared" si="15"/>
        <v>2.65</v>
      </c>
      <c r="F72" s="47">
        <f t="shared" si="16"/>
        <v>99637.349999999991</v>
      </c>
      <c r="G72" s="17"/>
      <c r="H72" s="53">
        <f t="shared" si="17"/>
        <v>38351</v>
      </c>
      <c r="I72" s="54">
        <f t="shared" si="18"/>
        <v>0.64</v>
      </c>
      <c r="J72" s="47">
        <f t="shared" si="19"/>
        <v>24544.639999999999</v>
      </c>
      <c r="K72" s="17"/>
      <c r="L72" s="53">
        <f t="shared" si="20"/>
        <v>38351</v>
      </c>
      <c r="M72" s="54">
        <f t="shared" si="21"/>
        <v>1.5</v>
      </c>
      <c r="N72" s="47">
        <f t="shared" si="22"/>
        <v>57526.5</v>
      </c>
      <c r="O72" s="17"/>
      <c r="P72" s="47">
        <f t="shared" si="23"/>
        <v>82071.14</v>
      </c>
      <c r="Q72" s="17"/>
    </row>
    <row r="73" spans="2:17" ht="15.75" x14ac:dyDescent="0.25">
      <c r="B73" s="48" t="s">
        <v>139</v>
      </c>
      <c r="C73" s="17"/>
      <c r="D73" s="53">
        <f t="shared" si="14"/>
        <v>50446</v>
      </c>
      <c r="E73" s="54">
        <f t="shared" si="15"/>
        <v>2.65</v>
      </c>
      <c r="F73" s="47">
        <f t="shared" si="16"/>
        <v>133681.9</v>
      </c>
      <c r="G73" s="17"/>
      <c r="H73" s="53">
        <f t="shared" si="17"/>
        <v>50527</v>
      </c>
      <c r="I73" s="54">
        <f t="shared" si="18"/>
        <v>0.64</v>
      </c>
      <c r="J73" s="47">
        <f t="shared" si="19"/>
        <v>32337.280000000002</v>
      </c>
      <c r="K73" s="17"/>
      <c r="L73" s="53">
        <f t="shared" si="20"/>
        <v>50527</v>
      </c>
      <c r="M73" s="54">
        <f t="shared" si="21"/>
        <v>1.5</v>
      </c>
      <c r="N73" s="47">
        <f t="shared" si="22"/>
        <v>75790.5</v>
      </c>
      <c r="O73" s="17"/>
      <c r="P73" s="47">
        <f t="shared" si="23"/>
        <v>108127.78</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498536</v>
      </c>
      <c r="E75" s="51">
        <f>IF(D75&lt;&gt;0,F75/D75,0)</f>
        <v>2.65</v>
      </c>
      <c r="F75" s="52">
        <f>SUM(F62:F73)</f>
        <v>1321120.3999999999</v>
      </c>
      <c r="G75" s="17"/>
      <c r="H75" s="50">
        <f>SUM(H62:H73)</f>
        <v>515201</v>
      </c>
      <c r="I75" s="51">
        <f>IF(H75&lt;&gt;0,J75/H75,0)</f>
        <v>0.64</v>
      </c>
      <c r="J75" s="52">
        <f>SUM(J62:J73)</f>
        <v>329728.64000000001</v>
      </c>
      <c r="K75" s="17"/>
      <c r="L75" s="50">
        <f>SUM(L62:L73)</f>
        <v>515201</v>
      </c>
      <c r="M75" s="51">
        <f>IF(L75&lt;&gt;0,N75/L75,0)</f>
        <v>1.5</v>
      </c>
      <c r="N75" s="52">
        <f>SUM(N62:N73)</f>
        <v>772801.5</v>
      </c>
      <c r="O75" s="17"/>
      <c r="P75" s="52">
        <f>SUM(P62:P73)</f>
        <v>1102530.1399999999</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rintOptions horizontalCentered="1"/>
  <pageMargins left="0.35433070866141736" right="0.35433070866141736" top="0.39370078740157483" bottom="0.39370078740157483" header="0.51181102362204722" footer="0.51181102362204722"/>
  <pageSetup scale="76" fitToHeight="21" orientation="landscape"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4" activePane="bottomLeft" state="frozenSplit"/>
      <selection activeCell="O16" sqref="O16"/>
      <selection pane="bottomLeft" activeCell="O16" sqref="O1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1" t="s">
        <v>225</v>
      </c>
    </row>
    <row r="15" spans="2:18" ht="3" customHeight="1" x14ac:dyDescent="0.2"/>
    <row r="16" spans="2:18" ht="3" customHeight="1" x14ac:dyDescent="0.2">
      <c r="B16" s="132"/>
      <c r="C16" s="140"/>
      <c r="D16" s="140"/>
      <c r="E16" s="137"/>
      <c r="F16" s="140"/>
      <c r="G16" s="133"/>
      <c r="H16" s="140"/>
      <c r="I16" s="137"/>
      <c r="J16" s="140"/>
      <c r="K16" s="133"/>
      <c r="L16" s="140"/>
      <c r="M16" s="140"/>
      <c r="N16" s="140"/>
      <c r="O16" s="140"/>
      <c r="P16" s="140"/>
      <c r="Q16" s="140"/>
      <c r="R16" s="140"/>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5.1999999999999998E-3</v>
      </c>
      <c r="G25" s="64"/>
      <c r="H25" s="64">
        <f>VLOOKUP('9. Adj Network to Current WS'!$B25, '4. RRR Data'!$B$27:$M$49,11,0)</f>
        <v>173328068.0034</v>
      </c>
      <c r="I25" s="72"/>
      <c r="J25" s="64">
        <f>VLOOKUP('9. Adj Network to Current WS'!$B25, '4. RRR Data'!$B$27:$M$49,12,0)</f>
        <v>0</v>
      </c>
      <c r="K25" s="58"/>
      <c r="L25" s="60">
        <f>IF(F25="", "", IF(D25="kWh", F25*H25, F25*J25))</f>
        <v>901305.95361768</v>
      </c>
      <c r="M25" s="55"/>
      <c r="N25" s="61">
        <f>IF(ISERROR(L25/$L$49), "", L25/$L$49)</f>
        <v>0.66198416341386346</v>
      </c>
      <c r="O25" s="13"/>
      <c r="P25" s="62">
        <f>IF(ISERROR('7. Current Wholesale'!$F$75*N25), "", '7. Current Wholesale'!$F$75*N25)</f>
        <v>874560.78276298859</v>
      </c>
      <c r="R25" s="63">
        <f>IF(D25="","",IF(D25="kWh",IF(H25&lt;&gt;0,P25/H25,),IF(J25&lt;&gt;0,P25/J25,0)))</f>
        <v>5.045696250106666E-3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4.7000000000000002E-3</v>
      </c>
      <c r="G26" s="64"/>
      <c r="H26" s="64">
        <f>VLOOKUP('9. Adj Network to Current WS'!$B26, '4. RRR Data'!$B$27:$M$49,11,0)</f>
        <v>35276569.048799999</v>
      </c>
      <c r="I26" s="72"/>
      <c r="J26" s="64">
        <f>VLOOKUP('9. Adj Network to Current WS'!$B26, '4. RRR Data'!$B$27:$M$49,12,0)</f>
        <v>0</v>
      </c>
      <c r="K26" s="59"/>
      <c r="L26" s="60">
        <f t="shared" ref="L26:L46" si="0">IF(F26="", "", IF(D26="kWh", F26*H26, F26*J26))</f>
        <v>165799.87452936001</v>
      </c>
      <c r="M26" s="55"/>
      <c r="N26" s="61">
        <f t="shared" ref="N26:N46" si="1">IF(ISERROR(L26/$L$49), "", L26/$L$49)</f>
        <v>0.1217753980142897</v>
      </c>
      <c r="P26" s="62">
        <f>IF(ISERROR('7. Current Wholesale'!$F$75*N26), "", '7. Current Wholesale'!$F$75*N26)</f>
        <v>160879.96253479761</v>
      </c>
      <c r="R26" s="63">
        <f t="shared" ref="R26:R46" si="2">IF(D26="","",IF(D26="kWh",IF(H26&lt;&gt;0,P26/H26,),IF(J26&lt;&gt;0,P26/J26,0)))</f>
        <v>4.5605331491348723E-3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8,0)), "", VLOOKUP($B27,'3. Rate Classes'!$C$24:$N$45, 8,0))</f>
        <v>1.9279999999999999</v>
      </c>
      <c r="G27" s="64"/>
      <c r="H27" s="64">
        <f>VLOOKUP('9. Adj Network to Current WS'!$B27, '4. RRR Data'!$B$27:$M$49,11,0)</f>
        <v>0</v>
      </c>
      <c r="I27" s="72"/>
      <c r="J27" s="64">
        <f>VLOOKUP('9. Adj Network to Current WS'!$B27, '4. RRR Data'!$B$27:$M$49,12,0)</f>
        <v>75952</v>
      </c>
      <c r="K27" s="59"/>
      <c r="L27" s="60">
        <f t="shared" si="0"/>
        <v>146435.45600000001</v>
      </c>
      <c r="M27" s="55"/>
      <c r="N27" s="61">
        <f t="shared" si="1"/>
        <v>0.10755277100433666</v>
      </c>
      <c r="P27" s="62">
        <f>IF(ISERROR('7. Current Wholesale'!$F$75*N27), "", '7. Current Wholesale'!$F$75*N27)</f>
        <v>142090.15985035765</v>
      </c>
      <c r="R27" s="63">
        <f t="shared" si="2"/>
        <v>1.870788917347241</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70">
        <f>IF(ISERROR(VLOOKUP($B28,'3. Rate Classes'!$C$24:$N$45, 8,0)), "", VLOOKUP($B28,'3. Rate Classes'!$C$24:$N$45, 8,0))</f>
        <v>1.8673</v>
      </c>
      <c r="G28" s="64"/>
      <c r="H28" s="64">
        <f>VLOOKUP('9. Adj Network to Current WS'!$B28, '4. RRR Data'!$B$27:$M$49,11,0)</f>
        <v>0</v>
      </c>
      <c r="I28" s="72"/>
      <c r="J28" s="64">
        <f>VLOOKUP('9. Adj Network to Current WS'!$B28, '4. RRR Data'!$B$27:$M$49,12,0)</f>
        <v>73874</v>
      </c>
      <c r="K28" s="59"/>
      <c r="L28" s="60">
        <f t="shared" si="0"/>
        <v>137944.92019999999</v>
      </c>
      <c r="M28" s="55"/>
      <c r="N28" s="61">
        <f t="shared" si="1"/>
        <v>0.10131670852639742</v>
      </c>
      <c r="P28" s="62">
        <f>IF(ISERROR('7. Current Wholesale'!$F$75*N28), "", '7. Current Wholesale'!$F$75*N28)</f>
        <v>133851.57049507755</v>
      </c>
      <c r="R28" s="63">
        <f t="shared" si="2"/>
        <v>1.8118901168892649</v>
      </c>
    </row>
    <row r="29" spans="2:18" ht="25.5" customHeight="1" thickBot="1" x14ac:dyDescent="0.25">
      <c r="B29" s="15" t="str">
        <f>IF('3. Rate Classes'!Q28=1,'3. Rate Classes'!C28, 0)</f>
        <v>Unmetered Scattered Load</v>
      </c>
      <c r="C29" s="8"/>
      <c r="D29" s="16" t="str">
        <f>IF(ISERROR(VLOOKUP($B29, '3. Rate Classes'!$C$24:$H$45,6,0)), "", VLOOKUP($B29, '3. Rate Classes'!$C$24:$H$45,6,0))</f>
        <v>kWh</v>
      </c>
      <c r="F29" s="70">
        <f>IF(ISERROR(VLOOKUP($B29,'3. Rate Classes'!$C$24:$N$45, 8,0)), "", VLOOKUP($B29,'3. Rate Classes'!$C$24:$N$45, 8,0))</f>
        <v>4.7000000000000002E-3</v>
      </c>
      <c r="G29" s="64"/>
      <c r="H29" s="64">
        <f>VLOOKUP('9. Adj Network to Current WS'!$B29, '4. RRR Data'!$B$27:$M$49,11,0)</f>
        <v>565040.799</v>
      </c>
      <c r="I29" s="72"/>
      <c r="J29" s="64">
        <f>VLOOKUP('9. Adj Network to Current WS'!$B29, '4. RRR Data'!$B$27:$M$49,12,0)</f>
        <v>0</v>
      </c>
      <c r="K29" s="59"/>
      <c r="L29" s="60">
        <f t="shared" si="0"/>
        <v>2655.6917553000003</v>
      </c>
      <c r="M29" s="55"/>
      <c r="N29" s="61">
        <f t="shared" si="1"/>
        <v>1.9505317565705247E-3</v>
      </c>
      <c r="P29" s="62">
        <f>IF(ISERROR('7. Current Wholesale'!$F$75*N29), "", '7. Current Wholesale'!$F$75*N29)</f>
        <v>2576.887294453154</v>
      </c>
      <c r="R29" s="63">
        <f t="shared" si="2"/>
        <v>4.5605331491348714E-3</v>
      </c>
    </row>
    <row r="30" spans="2:18" ht="25.5" customHeight="1" thickBot="1" x14ac:dyDescent="0.25">
      <c r="B30" s="15" t="str">
        <f>IF('3. Rate Classes'!Q29=1,'3. Rate Classes'!C29, 0)</f>
        <v>Sentinel Lighting</v>
      </c>
      <c r="C30" s="8"/>
      <c r="D30" s="16" t="str">
        <f>IF(ISERROR(VLOOKUP($B30, '3. Rate Classes'!$C$24:$H$45,6,0)), "", VLOOKUP($B30, '3. Rate Classes'!$C$24:$H$45,6,0))</f>
        <v>kW</v>
      </c>
      <c r="F30" s="70">
        <f>IF(ISERROR(VLOOKUP($B30,'3. Rate Classes'!$C$24:$N$45, 8,0)), "", VLOOKUP($B30,'3. Rate Classes'!$C$24:$N$45, 8,0))</f>
        <v>1.4614</v>
      </c>
      <c r="G30" s="64"/>
      <c r="H30" s="64" t="str">
        <f>VLOOKUP('9. Adj Network to Current WS'!$B30, '4. RRR Data'!$B$27:$M$49,11,0)</f>
        <v xml:space="preserve"> </v>
      </c>
      <c r="I30" s="72"/>
      <c r="J30" s="64">
        <f>VLOOKUP('9. Adj Network to Current WS'!$B30, '4. RRR Data'!$B$27:$M$49,12,0)</f>
        <v>329</v>
      </c>
      <c r="K30" s="59"/>
      <c r="L30" s="60">
        <f t="shared" si="0"/>
        <v>480.80060000000003</v>
      </c>
      <c r="M30" s="55"/>
      <c r="N30" s="61">
        <f t="shared" si="1"/>
        <v>3.5313467272944931E-4</v>
      </c>
      <c r="P30" s="62">
        <f>IF(ISERROR('7. Current Wholesale'!$F$75*N30), "", '7. Current Wholesale'!$F$75*N30)</f>
        <v>466.53342009019912</v>
      </c>
      <c r="R30" s="63">
        <f t="shared" si="2"/>
        <v>1.418034711520362</v>
      </c>
    </row>
    <row r="31" spans="2:18" ht="25.5" customHeight="1" thickBot="1" x14ac:dyDescent="0.25">
      <c r="B31" s="15" t="str">
        <f>IF('3. Rate Classes'!Q30=1,'3. Rate Classes'!C30, 0)</f>
        <v>Street Lighting</v>
      </c>
      <c r="C31" s="8"/>
      <c r="D31" s="16" t="str">
        <f>IF(ISERROR(VLOOKUP($B31, '3. Rate Classes'!$C$24:$H$45,6,0)), "", VLOOKUP($B31, '3. Rate Classes'!$C$24:$H$45,6,0))</f>
        <v>kW</v>
      </c>
      <c r="F31" s="70">
        <f>IF(ISERROR(VLOOKUP($B31,'3. Rate Classes'!$C$24:$N$45, 8,0)), "", VLOOKUP($B31,'3. Rate Classes'!$C$24:$N$45, 8,0))</f>
        <v>1.454</v>
      </c>
      <c r="G31" s="64"/>
      <c r="H31" s="64" t="str">
        <f>VLOOKUP('9. Adj Network to Current WS'!$B31, '4. RRR Data'!$B$27:$M$49,11,0)</f>
        <v xml:space="preserve"> </v>
      </c>
      <c r="I31" s="72"/>
      <c r="J31" s="64">
        <f>VLOOKUP('9. Adj Network to Current WS'!$B31, '4. RRR Data'!$B$27:$M$49,12,0)</f>
        <v>4745</v>
      </c>
      <c r="K31" s="59"/>
      <c r="L31" s="60">
        <f t="shared" si="0"/>
        <v>6899.23</v>
      </c>
      <c r="M31" s="55"/>
      <c r="N31" s="61">
        <f t="shared" si="1"/>
        <v>5.0672926118128766E-3</v>
      </c>
      <c r="P31" s="62">
        <f>IF(ISERROR('7. Current Wholesale'!$F$75*N31), "", '7. Current Wholesale'!$F$75*N31)</f>
        <v>6694.5036422352714</v>
      </c>
      <c r="R31" s="63">
        <f t="shared" si="2"/>
        <v>1.4108542976259792</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x14ac:dyDescent="0.25">
      <c r="F47" s="70"/>
      <c r="G47" s="74"/>
      <c r="H47" s="74"/>
      <c r="I47" s="74"/>
      <c r="J47" s="74"/>
      <c r="R47" s="63"/>
    </row>
    <row r="48" spans="2:18" ht="13.5" thickBot="1" x14ac:dyDescent="0.25">
      <c r="F48" s="70"/>
      <c r="G48" s="74"/>
      <c r="H48" s="74"/>
      <c r="I48" s="74"/>
      <c r="J48" s="74"/>
    </row>
    <row r="49" spans="6:12" ht="13.5" thickBot="1" x14ac:dyDescent="0.25">
      <c r="F49" s="70"/>
      <c r="G49" s="74"/>
      <c r="H49" s="74"/>
      <c r="I49" s="74"/>
      <c r="J49" s="74"/>
      <c r="L49" s="71">
        <f>SUM(L25:L46)</f>
        <v>1361521.9267023399</v>
      </c>
    </row>
    <row r="50" spans="6:12" ht="13.5" thickBot="1" x14ac:dyDescent="0.25">
      <c r="F50" s="70"/>
      <c r="G50" s="74"/>
      <c r="H50" s="74"/>
      <c r="I50" s="74"/>
      <c r="J50" s="74"/>
    </row>
    <row r="51" spans="6:12" ht="13.5" thickBot="1" x14ac:dyDescent="0.25">
      <c r="F51" s="70"/>
      <c r="G51" s="74"/>
      <c r="H51" s="74"/>
      <c r="I51" s="74"/>
      <c r="J51" s="74"/>
    </row>
    <row r="52" spans="6:12" ht="13.5" thickBot="1" x14ac:dyDescent="0.25">
      <c r="F52" s="64"/>
      <c r="G52" s="74"/>
      <c r="H52" s="74"/>
      <c r="I52" s="74"/>
      <c r="J52" s="74"/>
    </row>
    <row r="53" spans="6:12" ht="13.5" thickBot="1" x14ac:dyDescent="0.25">
      <c r="F53" s="64"/>
      <c r="G53" s="74"/>
      <c r="H53" s="74"/>
      <c r="I53" s="74"/>
      <c r="J53" s="74"/>
    </row>
    <row r="54" spans="6:12" ht="13.5" thickBot="1" x14ac:dyDescent="0.25">
      <c r="F54" s="64"/>
      <c r="G54" s="74"/>
      <c r="H54" s="74"/>
      <c r="I54" s="74"/>
      <c r="J54" s="74"/>
    </row>
    <row r="55" spans="6:12" ht="13.5" thickBot="1" x14ac:dyDescent="0.25">
      <c r="F55" s="64"/>
      <c r="G55" s="74"/>
      <c r="H55" s="74"/>
      <c r="I55" s="74"/>
      <c r="J55" s="74"/>
    </row>
    <row r="56" spans="6:12" ht="13.5" thickBot="1" x14ac:dyDescent="0.25">
      <c r="F56" s="56"/>
    </row>
  </sheetData>
  <sheetProtection password="F8BD" sheet="1" objects="1" scenarios="1"/>
  <phoneticPr fontId="21" type="noConversion"/>
  <printOptions horizontalCentered="1"/>
  <pageMargins left="0.35433070866141736" right="0.35433070866141736" top="0.39370078740157483" bottom="0.39370078740157483" header="0.51181102362204722" footer="0.51181102362204722"/>
  <pageSetup scale="74" fitToHeight="2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'13. Final 2013 RTS Rates'!Print_Area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Zulma DeBonis</cp:lastModifiedBy>
  <cp:lastPrinted>2012-09-11T14:45:05Z</cp:lastPrinted>
  <dcterms:created xsi:type="dcterms:W3CDTF">2011-05-30T20:18:50Z</dcterms:created>
  <dcterms:modified xsi:type="dcterms:W3CDTF">2012-09-17T16:32:19Z</dcterms:modified>
</cp:coreProperties>
</file>