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540" windowWidth="14340" windowHeight="120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direct input to reconcile with approved PILS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$86,739 to reconcile to Schedule 1 </t>
        </r>
      </text>
    </comment>
  </commentList>
</comments>
</file>

<file path=xl/sharedStrings.xml><?xml version="1.0" encoding="utf-8"?>
<sst xmlns="http://schemas.openxmlformats.org/spreadsheetml/2006/main" count="848" uniqueCount="490">
  <si>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</si>
  <si>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</si>
  <si>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</si>
  <si>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</si>
  <si>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</si>
  <si>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</si>
  <si>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</si>
  <si>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</si>
  <si>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</si>
  <si>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</si>
  <si>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</si>
  <si>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</si>
  <si>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</si>
  <si>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</si>
  <si>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</si>
  <si>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</si>
  <si>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</si>
  <si>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</si>
  <si>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</si>
  <si>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</si>
  <si>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</si>
  <si>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</si>
  <si>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</si>
  <si>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</si>
  <si>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</si>
  <si>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</si>
  <si>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</si>
  <si>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</si>
  <si>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</si>
  <si>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</si>
  <si>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</si>
  <si>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</si>
  <si>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</si>
  <si>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</si>
  <si>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</si>
  <si>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</si>
  <si>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</si>
  <si>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</si>
  <si>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</si>
  <si>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</si>
  <si>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</si>
  <si>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</si>
  <si>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</si>
  <si>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</si>
  <si>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</si>
  <si>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</si>
  <si>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</si>
  <si>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</si>
  <si>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</si>
  <si>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</si>
  <si>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</si>
  <si>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</si>
  <si>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</si>
  <si>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</si>
  <si>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</si>
  <si>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</si>
  <si>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</si>
  <si>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</si>
  <si>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</si>
  <si>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</si>
  <si>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</si>
  <si>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</si>
  <si>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</si>
  <si>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</si>
  <si>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</si>
  <si>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</si>
  <si>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</si>
  <si>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</si>
  <si>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</si>
  <si>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</si>
  <si>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</si>
  <si>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</si>
  <si>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</si>
  <si>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</si>
  <si>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</si>
  <si>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</si>
  <si>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</si>
  <si>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</si>
  <si>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</si>
  <si>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</si>
  <si>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</si>
  <si>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</si>
  <si>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</si>
  <si>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</si>
  <si>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</si>
  <si>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</si>
  <si>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</si>
  <si>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</si>
  <si>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</si>
  <si>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</si>
  <si>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</si>
  <si>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</si>
  <si>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</si>
  <si>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</si>
  <si>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</si>
  <si>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</si>
  <si>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</si>
  <si>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</si>
  <si>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</si>
  <si>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</si>
  <si>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</si>
  <si>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</si>
  <si>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</si>
  <si>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</si>
  <si>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</si>
  <si>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</si>
  <si>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</si>
  <si>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</si>
  <si>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</si>
  <si>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</si>
  <si>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</si>
  <si>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</si>
  <si>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</si>
  <si>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</si>
  <si>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</si>
  <si>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</si>
  <si>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</si>
  <si>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</si>
  <si>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</si>
  <si>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</si>
  <si>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</si>
  <si>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</si>
  <si>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</si>
  <si>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</si>
  <si>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</si>
  <si>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</si>
  <si>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</si>
  <si>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</si>
  <si>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</si>
  <si>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</si>
  <si>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</si>
  <si>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</si>
  <si>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</si>
  <si>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</si>
  <si>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</si>
  <si>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</si>
  <si>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</si>
  <si>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</si>
  <si>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</si>
  <si>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</si>
  <si>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</si>
  <si>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</si>
  <si>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</si>
  <si>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</si>
  <si>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</si>
  <si>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</si>
  <si>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</si>
  <si>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</si>
  <si>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</si>
  <si>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</si>
  <si>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</si>
  <si>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</si>
  <si>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</si>
  <si>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</si>
  <si>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</si>
  <si>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</si>
  <si>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</si>
  <si>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</si>
  <si>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</si>
  <si>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</si>
  <si>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</si>
  <si>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</si>
  <si>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</si>
  <si>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</si>
  <si>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</si>
  <si>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</si>
  <si>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</si>
  <si>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</si>
  <si>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</si>
  <si>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</si>
  <si>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</si>
  <si>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</si>
  <si>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</si>
  <si>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</si>
  <si>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</si>
  <si>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</si>
  <si>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</si>
  <si>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</si>
  <si>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</si>
  <si>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</si>
  <si>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</si>
  <si>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</si>
  <si>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</si>
  <si>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</si>
  <si>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</si>
  <si>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</si>
  <si>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</si>
  <si>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</si>
  <si>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</si>
  <si>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</si>
  <si>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</si>
  <si>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</si>
  <si>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</si>
  <si>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</si>
  <si>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</si>
  <si>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</si>
  <si>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</si>
  <si>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</si>
  <si>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</si>
  <si>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</si>
  <si>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</si>
  <si>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</si>
  <si>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</si>
  <si>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</si>
  <si>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</si>
  <si>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</si>
  <si>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</si>
  <si>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</si>
  <si>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</si>
  <si>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</si>
  <si>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</si>
  <si>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</si>
  <si>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</si>
  <si>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</si>
  <si>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</si>
  <si>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</si>
  <si>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</si>
  <si>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</si>
  <si>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</si>
  <si>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</si>
  <si>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</si>
  <si>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</si>
  <si>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</si>
  <si>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</si>
  <si>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</si>
  <si>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</si>
  <si>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</si>
  <si>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</si>
  <si>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</si>
  <si>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</si>
  <si>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</si>
  <si>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</si>
  <si>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</si>
  <si>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</si>
  <si>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</si>
  <si>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</si>
  <si>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</si>
  <si>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</si>
  <si>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</si>
  <si>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</si>
  <si>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</si>
  <si>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</si>
  <si>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</si>
  <si>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</si>
  <si>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</si>
  <si>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</si>
  <si>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</si>
  <si>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</si>
  <si>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</si>
  <si>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</si>
  <si>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</si>
  <si>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</si>
  <si>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</si>
  <si>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</si>
  <si>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</si>
  <si>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</si>
  <si>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</si>
  <si>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</si>
  <si>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</si>
  <si>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</si>
  <si>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</si>
  <si>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</si>
  <si>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</si>
  <si>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</si>
  <si>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</si>
  <si>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</si>
  <si>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</si>
  <si>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</si>
  <si>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</si>
  <si>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</si>
  <si>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</si>
  <si>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</si>
  <si>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</si>
  <si>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</si>
  <si>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</si>
  <si>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</si>
  <si>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</si>
  <si>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</si>
  <si>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</si>
  <si>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</si>
  <si>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</si>
  <si>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</si>
  <si>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</si>
  <si>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</si>
  <si>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</si>
  <si>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</si>
  <si>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</si>
  <si>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</si>
  <si>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</si>
  <si>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</si>
  <si>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</si>
  <si>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</si>
  <si>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</si>
  <si>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</si>
  <si>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</si>
  <si>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</si>
  <si>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</si>
  <si>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</si>
  <si>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</si>
  <si>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</si>
  <si>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</si>
  <si>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</si>
  <si>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</si>
  <si>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</si>
  <si>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</si>
  <si>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</si>
  <si>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</si>
  <si>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</si>
  <si>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</si>
  <si>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</si>
  <si>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</si>
  <si>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</si>
  <si>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</si>
  <si>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</si>
  <si>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</si>
  <si>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</si>
  <si>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</si>
  <si>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</si>
  <si>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</si>
  <si>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</si>
  <si>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</si>
  <si>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</si>
  <si>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</si>
  <si>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</si>
  <si>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</si>
  <si>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</si>
  <si>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</si>
  <si>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</si>
  <si>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</si>
  <si>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</si>
  <si>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</si>
  <si>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</si>
  <si>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</si>
  <si>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</si>
  <si>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</si>
  <si>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</si>
  <si>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</si>
  <si>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</si>
  <si>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</si>
  <si>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</si>
  <si>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</si>
  <si>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</si>
  <si>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</si>
  <si>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</si>
  <si>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</si>
  <si>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</si>
  <si>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</si>
  <si>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</si>
  <si>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</si>
  <si>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</si>
  <si>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</si>
  <si>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</si>
  <si>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</si>
  <si>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</si>
  <si>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</si>
  <si>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</si>
  <si>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</si>
  <si>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</si>
  <si>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</si>
  <si>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</si>
  <si>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</si>
  <si>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</si>
  <si>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</si>
  <si>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</si>
  <si>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</si>
  <si>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</si>
  <si>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</si>
  <si>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</si>
  <si>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</si>
  <si>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</si>
  <si>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</si>
  <si>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</si>
  <si>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</si>
  <si>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</si>
  <si>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</si>
  <si>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</si>
  <si>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</si>
  <si>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</si>
  <si>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</si>
  <si>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</si>
  <si>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</si>
  <si>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</si>
  <si>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</si>
  <si>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</si>
  <si>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</si>
  <si>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</si>
  <si>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</si>
  <si>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</si>
  <si>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</si>
  <si>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</si>
  <si>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</si>
  <si>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</si>
  <si>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</si>
  <si>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</si>
  <si>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</si>
  <si>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</si>
  <si>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</si>
  <si>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</si>
  <si>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</si>
  <si>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</si>
  <si>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</si>
  <si>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</si>
  <si>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</si>
  <si>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</si>
  <si>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</si>
  <si>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</si>
  <si>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</si>
  <si>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</si>
  <si>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</si>
  <si>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</si>
  <si>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</si>
  <si>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</si>
  <si>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</si>
  <si>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</si>
  <si>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</si>
  <si>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</si>
  <si>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</si>
  <si>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</si>
  <si>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</si>
  <si>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</si>
  <si>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</si>
  <si>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</si>
  <si>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</si>
  <si>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</si>
  <si>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</si>
  <si>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</si>
  <si>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</si>
  <si>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</si>
  <si>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</si>
  <si>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</si>
  <si>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</si>
  <si>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</si>
  <si>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</si>
  <si>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</si>
  <si>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</si>
  <si>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</si>
  <si>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</si>
  <si>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</si>
  <si>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</si>
  <si>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</si>
  <si>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</si>
  <si>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</si>
  <si>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</si>
  <si>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</si>
  <si>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</si>
  <si>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</si>
  <si>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</si>
  <si>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</si>
  <si>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</si>
  <si>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</si>
  <si>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</si>
  <si>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</si>
  <si>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</si>
  <si>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</si>
  <si>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</si>
  <si>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</si>
  <si>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</si>
  <si>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</si>
  <si>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</si>
  <si>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</si>
  <si>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</si>
  <si>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</si>
  <si>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</si>
  <si>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</si>
  <si>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</si>
  <si>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</si>
  <si>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</si>
  <si>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</si>
  <si>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</si>
  <si>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</si>
  <si>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</si>
  <si>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</si>
  <si>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</si>
  <si>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</si>
  <si>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</si>
  <si>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</si>
  <si>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</si>
  <si>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</si>
  <si>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</si>
  <si>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</si>
  <si>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Utility Name: Brant County Power Inc.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</si>
  <si>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</si>
  <si>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</si>
  <si>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</si>
  <si>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</si>
  <si>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Purchase Power Variance at Dec 31, 2003</t>
  </si>
  <si>
    <t>Transition Costs at Dec 31, 2003</t>
  </si>
  <si>
    <t>Deferred PILS at Dec 31, 2003</t>
  </si>
  <si>
    <t>Other Regulatory Assets at Dec 31, 2003</t>
  </si>
  <si>
    <t>Revised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</si>
</sst>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BreakPreview" zoomScale="60" zoomScaleNormal="75"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446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480</v>
      </c>
      <c r="C3" s="8"/>
      <c r="D3" s="439" t="s">
        <v>432</v>
      </c>
      <c r="E3" s="8"/>
      <c r="F3" s="8"/>
      <c r="G3" s="8"/>
      <c r="H3" s="8"/>
    </row>
    <row r="4" spans="1:8" ht="12.75">
      <c r="A4" s="2" t="s">
        <v>460</v>
      </c>
      <c r="C4" s="8"/>
      <c r="D4" s="438" t="s">
        <v>427</v>
      </c>
      <c r="E4" s="412"/>
      <c r="H4" s="8"/>
    </row>
    <row r="5" spans="1:8" ht="12.75">
      <c r="A5" s="52"/>
      <c r="C5" s="8"/>
      <c r="D5" s="437" t="s">
        <v>428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62</v>
      </c>
      <c r="D19" s="373"/>
    </row>
    <row r="20" spans="1:4" ht="13.5" thickBot="1">
      <c r="A20" s="492"/>
      <c r="B20" s="8" t="s">
        <v>309</v>
      </c>
      <c r="C20" s="8" t="s">
        <v>62</v>
      </c>
      <c r="D20" s="257"/>
    </row>
    <row r="21" spans="1:4" ht="12.75">
      <c r="A21" s="491" t="s">
        <v>307</v>
      </c>
      <c r="B21" s="8" t="s">
        <v>308</v>
      </c>
      <c r="C21" s="8"/>
      <c r="D21" s="407">
        <v>1</v>
      </c>
    </row>
    <row r="22" spans="1:4" ht="12.75">
      <c r="A22" s="491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461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12710037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144208</v>
      </c>
      <c r="E43" s="372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314802</v>
      </c>
      <c r="E47" s="372">
        <f aca="true" t="shared" si="0" ref="E47:E53">D47</f>
        <v>314802</v>
      </c>
      <c r="H47" s="40"/>
      <c r="J47" s="5"/>
      <c r="K47" s="5"/>
    </row>
    <row r="48" spans="1:11" ht="12.75">
      <c r="A48" t="s">
        <v>288</v>
      </c>
      <c r="D48" s="410">
        <v>314802</v>
      </c>
      <c r="E48" s="372">
        <f>D48</f>
        <v>314802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424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447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1">
      <selection activeCell="F204" sqref="F2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449</v>
      </c>
      <c r="H1" s="209"/>
    </row>
    <row r="2" spans="1:8" ht="12.75">
      <c r="A2" s="210" t="s">
        <v>448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450</v>
      </c>
      <c r="H2" s="216"/>
    </row>
    <row r="3" spans="1:8" ht="12.75">
      <c r="A3" s="486" t="s">
        <v>480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773812</v>
      </c>
      <c r="D16" s="17"/>
      <c r="E16" s="267">
        <f>G16-C16</f>
        <v>435525</v>
      </c>
      <c r="F16" s="3"/>
      <c r="G16" s="267">
        <f>TAXREC!E50</f>
        <v>1209337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658100</v>
      </c>
      <c r="D20" s="18"/>
      <c r="E20" s="267">
        <f>G20-C20</f>
        <v>159109</v>
      </c>
      <c r="F20" s="6"/>
      <c r="G20" s="267">
        <f>TAXREC!E61</f>
        <v>817209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1872951</v>
      </c>
      <c r="F23" s="6"/>
      <c r="G23" s="267">
        <f>TAXREC!E64</f>
        <v>1872951</v>
      </c>
      <c r="H23" s="151"/>
    </row>
    <row r="24" spans="1:8" ht="12.75">
      <c r="A24" s="158" t="s">
        <v>263</v>
      </c>
      <c r="B24" s="127">
        <v>5</v>
      </c>
      <c r="C24" s="261">
        <v>420149</v>
      </c>
      <c r="D24" s="18"/>
      <c r="E24" s="267">
        <f>G24-C24</f>
        <v>-420149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15085</v>
      </c>
      <c r="F29" s="6"/>
      <c r="G29" s="267">
        <f>TAXREC!E68</f>
        <v>15085</v>
      </c>
      <c r="H29" s="151"/>
    </row>
    <row r="30" spans="1:8" ht="15.75">
      <c r="A30" s="465" t="s">
        <v>380</v>
      </c>
      <c r="B30" s="127"/>
      <c r="C30" s="259"/>
      <c r="D30" s="18"/>
      <c r="E30" s="267">
        <f>G30-C30</f>
        <v>2845285</v>
      </c>
      <c r="F30" s="6"/>
      <c r="G30" s="267">
        <f>TAXREC!E66</f>
        <v>2845285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679578</v>
      </c>
      <c r="D33" s="132"/>
      <c r="E33" s="267">
        <f aca="true" t="shared" si="0" ref="E33:E42">G33-C33</f>
        <v>29549</v>
      </c>
      <c r="F33" s="6"/>
      <c r="G33" s="267">
        <f>TAXREC!E97+TAXREC!E98</f>
        <v>709127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96676</v>
      </c>
      <c r="D36" s="132"/>
      <c r="E36" s="267">
        <f t="shared" si="0"/>
        <v>-96676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327503.6193812025</v>
      </c>
      <c r="D37" s="132"/>
      <c r="E37" s="267">
        <f t="shared" si="0"/>
        <v>27731.3806187975</v>
      </c>
      <c r="F37" s="6"/>
      <c r="G37" s="267">
        <f>TAXREC!E51</f>
        <v>355235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1689373</v>
      </c>
      <c r="F39" s="6"/>
      <c r="G39" s="267">
        <f>TAXREC!E105</f>
        <v>1689373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22378</v>
      </c>
      <c r="F46" s="6"/>
      <c r="G46" s="250">
        <f>TAXREC!E110</f>
        <v>22378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380</v>
      </c>
      <c r="B48" s="127"/>
      <c r="C48" s="259"/>
      <c r="D48" s="132"/>
      <c r="E48" s="267">
        <f>G48-C48</f>
        <v>2869978</v>
      </c>
      <c r="F48" s="6"/>
      <c r="G48" s="250">
        <f>TAXREC!E108</f>
        <v>2869978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748303.3806187976</v>
      </c>
      <c r="D50" s="102"/>
      <c r="E50" s="263">
        <f>E16+SUM(E20:E30)-SUM(E33:E48)</f>
        <v>365472.6193812024</v>
      </c>
      <c r="F50" s="415"/>
      <c r="G50" s="263">
        <f>G16+SUM(G20:G30)-SUM(G33:G48)</f>
        <v>1113776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'Tax Rates'!F16</f>
        <v>0.3862</v>
      </c>
      <c r="D53" s="102"/>
      <c r="E53" s="268" t="e">
        <f>+G53-C53</f>
        <v>#DIV/0!</v>
      </c>
      <c r="F53" s="114"/>
      <c r="G53" s="457" t="e">
        <f>TAXREC!E151</f>
        <v>#DIV/0!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288994.76559497963</v>
      </c>
      <c r="D55" s="102"/>
      <c r="E55" s="267">
        <f>G55-C55</f>
        <v>-288994.76559497963</v>
      </c>
      <c r="F55" s="415" t="s">
        <v>357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288994.76559497963</v>
      </c>
      <c r="D60" s="133"/>
      <c r="E60" s="269">
        <f>+E55-E58</f>
        <v>-288994.76559497963</v>
      </c>
      <c r="F60" s="415" t="s">
        <v>357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12710037</v>
      </c>
      <c r="D66" s="102"/>
      <c r="E66" s="267">
        <f>G66-C66</f>
        <v>4250585</v>
      </c>
      <c r="F66" s="6"/>
      <c r="G66" s="459">
        <v>16960622</v>
      </c>
      <c r="H66" s="151"/>
      <c r="I66" s="460" t="s">
        <v>456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-27106</v>
      </c>
      <c r="F67" s="6"/>
      <c r="G67" s="267">
        <v>4972894</v>
      </c>
      <c r="H67" s="151"/>
      <c r="I67" s="460" t="s">
        <v>456</v>
      </c>
      <c r="J67" s="474"/>
    </row>
    <row r="68" spans="1:8" ht="12.75">
      <c r="A68" s="152" t="s">
        <v>41</v>
      </c>
      <c r="B68" s="125"/>
      <c r="C68" s="264">
        <f>IF((C66-C67)&gt;0,C66-C67,0)</f>
        <v>7710037</v>
      </c>
      <c r="D68" s="102"/>
      <c r="E68" s="267">
        <f>SUM(E66:E67)</f>
        <v>4223479</v>
      </c>
      <c r="F68" s="114"/>
      <c r="G68" s="264">
        <f>G66-G67</f>
        <v>11987728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23130.111</v>
      </c>
      <c r="D72" s="101"/>
      <c r="E72" s="267">
        <f>+G72-C72</f>
        <v>12833.073</v>
      </c>
      <c r="F72" s="461"/>
      <c r="G72" s="264">
        <f>IF(G68&gt;0,G68*G70,0)*REGINFO!$B$6/REGINFO!$B$7</f>
        <v>35963.184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12710037</v>
      </c>
      <c r="D75" s="102"/>
      <c r="E75" s="267">
        <f>+G75-C75</f>
        <v>6955876</v>
      </c>
      <c r="F75" s="6"/>
      <c r="G75" s="459">
        <v>19665913</v>
      </c>
      <c r="H75" s="151"/>
      <c r="I75" s="460" t="s">
        <v>456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456</v>
      </c>
    </row>
    <row r="77" spans="1:8" ht="12.75">
      <c r="A77" s="152" t="s">
        <v>41</v>
      </c>
      <c r="B77" s="125"/>
      <c r="C77" s="264">
        <f>IF((C75-C76)&gt;0,C75-C76,0)</f>
        <v>2710037</v>
      </c>
      <c r="D77" s="19"/>
      <c r="E77" s="267">
        <f>SUM(E75:E76)</f>
        <v>6955876</v>
      </c>
      <c r="F77" s="114"/>
      <c r="G77" s="264">
        <f>G75-G76</f>
        <v>9665913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6097.58325</v>
      </c>
      <c r="D81" s="102"/>
      <c r="E81" s="267">
        <f>+G81-C81</f>
        <v>15650.720999999998</v>
      </c>
      <c r="F81" s="6"/>
      <c r="G81" s="264">
        <f>G77*G79*B9/B10</f>
        <v>21748.304249999997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8380.997862930533</v>
      </c>
      <c r="D82" s="102"/>
      <c r="E82" s="267">
        <f>+G82-C82</f>
        <v>-8380.997862930533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-2283.4146129305336</v>
      </c>
      <c r="D84" s="16"/>
      <c r="E84" s="267">
        <f>E81-E82</f>
        <v>24031.71886293053</v>
      </c>
      <c r="F84" s="103"/>
      <c r="G84" s="264">
        <f>G81-G82</f>
        <v>21748.304249999997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462391.6249519674</v>
      </c>
      <c r="D90" s="20"/>
      <c r="E90" s="139"/>
      <c r="F90" s="414" t="s">
        <v>462</v>
      </c>
      <c r="G90" s="270">
        <f>TAXREC!E156</f>
        <v>0</v>
      </c>
      <c r="H90" s="151"/>
    </row>
    <row r="91" spans="1:8" ht="12.75">
      <c r="A91" s="158" t="s">
        <v>359</v>
      </c>
      <c r="B91" s="127">
        <v>23</v>
      </c>
      <c r="C91" s="264">
        <v>8437</v>
      </c>
      <c r="D91" s="20"/>
      <c r="E91" s="139"/>
      <c r="F91" s="414" t="s">
        <v>462</v>
      </c>
      <c r="G91" s="270">
        <f>TAXREC!E158</f>
        <v>21748</v>
      </c>
      <c r="H91" s="151"/>
    </row>
    <row r="92" spans="1:8" ht="12.75">
      <c r="A92" s="158" t="s">
        <v>342</v>
      </c>
      <c r="B92" s="127">
        <v>24</v>
      </c>
      <c r="C92" s="264">
        <f>C72</f>
        <v>23130.111</v>
      </c>
      <c r="D92" s="20"/>
      <c r="E92" s="139"/>
      <c r="F92" s="414" t="s">
        <v>462</v>
      </c>
      <c r="G92" s="270">
        <f>TAXREC!E157</f>
        <v>35963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9">
        <f>SUM(C90:C93)</f>
        <v>493958.73595196736</v>
      </c>
      <c r="D95" s="6"/>
      <c r="E95" s="139"/>
      <c r="F95" s="414" t="s">
        <v>462</v>
      </c>
      <c r="G95" s="397">
        <f>SUM(G90:G94)</f>
        <v>57711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1872951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-420149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470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1689373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22378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-162273</v>
      </c>
      <c r="F120" s="37"/>
      <c r="G120" s="200"/>
      <c r="H120" s="164"/>
      <c r="I120" s="483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/>
    </row>
    <row r="122" spans="1:8" ht="12.75">
      <c r="A122" s="157" t="s">
        <v>477</v>
      </c>
      <c r="B122" s="127"/>
      <c r="C122" s="112"/>
      <c r="D122" s="3" t="s">
        <v>229</v>
      </c>
      <c r="E122" s="453">
        <v>0.2966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-48130.1718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-48130.1718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E122-0.0112</f>
        <v>0.2854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-67352.6053736356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v>0.2966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221946.78269153537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221946.78269153537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-67047.98290344427</v>
      </c>
      <c r="F148" s="476"/>
      <c r="G148" s="200"/>
      <c r="H148" s="164"/>
      <c r="I148" s="476"/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475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23130.111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23130.111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12710037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2710037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476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6097.58325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8380.997862930533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-2283.4146129305336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-2283.4146129305336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E138-0.0112</f>
        <v>0.2854</v>
      </c>
      <c r="F175" s="454"/>
      <c r="G175" s="200"/>
      <c r="H175" s="164"/>
      <c r="I175" s="476"/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-93825.89267204628</v>
      </c>
      <c r="F177" s="37"/>
      <c r="G177" s="200"/>
      <c r="H177" s="164"/>
      <c r="I177" s="476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-93825.89267204628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469</v>
      </c>
      <c r="B183" s="130"/>
      <c r="C183" s="112"/>
      <c r="D183" s="119" t="s">
        <v>185</v>
      </c>
      <c r="E183" s="467">
        <f>E132</f>
        <v>-67352.6053736356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345</v>
      </c>
      <c r="B185" s="130"/>
      <c r="C185" s="112"/>
      <c r="D185" s="119" t="s">
        <v>187</v>
      </c>
      <c r="E185" s="484">
        <f>E181+E183</f>
        <v>-161178.49804568186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460738.84124999994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133235.22186879744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490">
        <f>330476</f>
        <v>330476</v>
      </c>
      <c r="F201" s="489" t="s">
        <v>489</v>
      </c>
      <c r="G201" s="469"/>
      <c r="H201" s="164"/>
    </row>
    <row r="202" spans="1:8" ht="12.75">
      <c r="A202" s="477" t="s">
        <v>474</v>
      </c>
      <c r="B202" s="127"/>
      <c r="C202" s="112"/>
      <c r="D202" s="120"/>
      <c r="E202" s="308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471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3" horizontalDpi="600" verticalDpi="600" orientation="portrait" scale="50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view="pageBreakPreview" zoomScale="60" zoomScaleNormal="90" zoomScalePageLayoutView="0" workbookViewId="0" topLeftCell="A100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15887.546250000001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15512668</v>
      </c>
      <c r="D31" s="286"/>
      <c r="E31" s="284">
        <f>C31-D31</f>
        <v>15512668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4187602</v>
      </c>
      <c r="D32" s="286"/>
      <c r="E32" s="284">
        <f>C32-D32</f>
        <v>4187602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648094</v>
      </c>
      <c r="D33" s="286"/>
      <c r="E33" s="284">
        <f>C33-D33</f>
        <v>648094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22378</v>
      </c>
      <c r="D34" s="286"/>
      <c r="E34" s="284">
        <f>C34-D34</f>
        <v>22378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15512668</v>
      </c>
      <c r="D39" s="286"/>
      <c r="E39" s="284">
        <f>C39-D39</f>
        <v>15512668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765636+63091+1225+8965</f>
        <v>838917</v>
      </c>
      <c r="D40" s="286"/>
      <c r="E40" s="284">
        <f aca="true" t="shared" si="0" ref="E40:E48">C40-D40</f>
        <v>838917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698758</v>
      </c>
      <c r="D41" s="286"/>
      <c r="E41" s="284">
        <f t="shared" si="0"/>
        <v>698758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1197014</v>
      </c>
      <c r="D42" s="286"/>
      <c r="E42" s="284">
        <f t="shared" si="0"/>
        <v>1197014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730470</v>
      </c>
      <c r="D43" s="286"/>
      <c r="E43" s="284">
        <f t="shared" si="0"/>
        <v>730470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481</v>
      </c>
      <c r="B45" s="23" t="s">
        <v>186</v>
      </c>
      <c r="C45" s="481">
        <v>183578</v>
      </c>
      <c r="D45" s="286"/>
      <c r="E45" s="284">
        <f t="shared" si="0"/>
        <v>183578</v>
      </c>
      <c r="F45" s="11"/>
      <c r="G45" s="472"/>
      <c r="H45" s="33"/>
      <c r="I45" s="33"/>
      <c r="J45" s="32"/>
      <c r="K45" s="32"/>
    </row>
    <row r="46" spans="1:11" ht="12.75">
      <c r="A46" s="473" t="s">
        <v>478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1209337</v>
      </c>
      <c r="D50" s="281">
        <f>SUM(D31:D36)-SUM(D39:D49)</f>
        <v>0</v>
      </c>
      <c r="E50" s="281">
        <f>SUM(E31:E35)-SUM(E39:E48)</f>
        <v>1209337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400+27936+326899</f>
        <v>355235</v>
      </c>
      <c r="D51" s="285"/>
      <c r="E51" s="282">
        <f>+C51-D51</f>
        <v>355235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/>
      <c r="D52" s="285"/>
      <c r="E52" s="283">
        <f>+C52-D52</f>
        <v>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854102</v>
      </c>
      <c r="D53" s="281">
        <f>D50-D51-D52</f>
        <v>0</v>
      </c>
      <c r="E53" s="281">
        <f>E50-E51-E52</f>
        <v>854102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C43+86739</f>
        <v>817209</v>
      </c>
      <c r="D61" s="287">
        <f>D43</f>
        <v>0</v>
      </c>
      <c r="E61" s="272">
        <f>+C61-D61</f>
        <v>817209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1872951</v>
      </c>
      <c r="D64" s="317">
        <f>'Tax Reserves'!D63</f>
        <v>0</v>
      </c>
      <c r="E64" s="272">
        <f>+C64-D64</f>
        <v>1872951</v>
      </c>
      <c r="F64" s="8"/>
    </row>
    <row r="65" spans="1:6" ht="12.75">
      <c r="A65" t="s">
        <v>429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380</v>
      </c>
      <c r="B66" s="8"/>
      <c r="C66" s="430">
        <f>'TAXREC 3 No True-up'!C47</f>
        <v>2845285</v>
      </c>
      <c r="D66" s="430">
        <f>'TAXREC 3 No True-up'!D47</f>
        <v>0</v>
      </c>
      <c r="E66" s="272">
        <f>+C66-D66</f>
        <v>2845285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15085</v>
      </c>
      <c r="D68" s="250">
        <f>'TAXREC 2'!D78</f>
        <v>0</v>
      </c>
      <c r="E68" s="272">
        <f>+C68-D68</f>
        <v>15085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5550530</v>
      </c>
      <c r="D70" s="272">
        <f>SUM(D59:D68)</f>
        <v>0</v>
      </c>
      <c r="E70" s="272">
        <f>SUM(E59:E68)</f>
        <v>5550530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5550530</v>
      </c>
      <c r="D82" s="250">
        <f>D70+D80</f>
        <v>0</v>
      </c>
      <c r="E82" s="250">
        <f>E70+E80</f>
        <v>5550530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536953</v>
      </c>
      <c r="D97" s="294"/>
      <c r="E97" s="272">
        <f>+C97-D97</f>
        <v>536953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172174</v>
      </c>
      <c r="D98" s="294"/>
      <c r="E98" s="272">
        <f>+C98-D98</f>
        <v>172174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1689373</v>
      </c>
      <c r="D105" s="319">
        <f>'Tax Reserves'!D50</f>
        <v>0</v>
      </c>
      <c r="E105" s="282">
        <f t="shared" si="5"/>
        <v>1689373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380</v>
      </c>
      <c r="B108" s="8"/>
      <c r="C108" s="253">
        <f>'TAXREC 3 No True-up'!C73</f>
        <v>2869978</v>
      </c>
      <c r="D108" s="253">
        <f>'TAXREC 3 No True-up'!D73</f>
        <v>0</v>
      </c>
      <c r="E108" s="272">
        <f t="shared" si="5"/>
        <v>2869978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22378</v>
      </c>
      <c r="D110" s="250">
        <f>'TAXREC 2'!D119</f>
        <v>0</v>
      </c>
      <c r="E110" s="250">
        <f>'TAXREC 2'!E119</f>
        <v>22378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5290856</v>
      </c>
      <c r="D113" s="250">
        <f>SUM(D97:D111)</f>
        <v>0</v>
      </c>
      <c r="E113" s="250">
        <f>SUM(E97:E111)</f>
        <v>5290856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5290856</v>
      </c>
      <c r="D122" s="250">
        <f>D113+D120</f>
        <v>0</v>
      </c>
      <c r="E122" s="250">
        <f>+E113+E120</f>
        <v>5290856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1113776</v>
      </c>
      <c r="D134" s="250">
        <f>D53+D82-D122</f>
        <v>0</v>
      </c>
      <c r="E134" s="250">
        <f>E53+E82-E122</f>
        <v>1113776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1113776</v>
      </c>
      <c r="D136" s="294"/>
      <c r="E136" s="264">
        <f>C136-D136</f>
        <v>1113776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 t="e">
        <f>C142/C139</f>
        <v>#DIV/0!</v>
      </c>
      <c r="D149" s="5"/>
      <c r="E149" s="390" t="e">
        <f>C149</f>
        <v>#DIV/0!</v>
      </c>
      <c r="F149" s="8"/>
      <c r="G149" s="482" t="s">
        <v>479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 t="e">
        <f>C143/C139</f>
        <v>#DIV/0!</v>
      </c>
      <c r="D150" s="470"/>
      <c r="E150" s="390" t="e">
        <f>C150</f>
        <v>#DIV/0!</v>
      </c>
      <c r="F150" s="8"/>
      <c r="G150" s="482" t="s">
        <v>479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 t="e">
        <f>SUM(C149:C150)</f>
        <v>#DIV/0!</v>
      </c>
      <c r="D151" s="5"/>
      <c r="E151" s="390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35963</v>
      </c>
      <c r="D157" s="250"/>
      <c r="E157" s="250">
        <f>C157+D157</f>
        <v>35963</v>
      </c>
    </row>
    <row r="158" spans="1:5" ht="12.75">
      <c r="A158" t="s">
        <v>216</v>
      </c>
      <c r="B158" s="86" t="s">
        <v>185</v>
      </c>
      <c r="C158" s="463">
        <v>21748</v>
      </c>
      <c r="D158" s="250"/>
      <c r="E158" s="250">
        <f>C158+D158</f>
        <v>21748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57711</v>
      </c>
      <c r="D160" s="250">
        <f>D156+D157+D158</f>
        <v>0</v>
      </c>
      <c r="E160" s="250">
        <f>E156+E157+E158</f>
        <v>57711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="60" zoomScaleNormal="75"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2" t="s">
        <v>480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434</v>
      </c>
      <c r="B18" s="61"/>
      <c r="C18" s="294"/>
      <c r="D18" s="294"/>
      <c r="E18" s="250">
        <f t="shared" si="0"/>
        <v>0</v>
      </c>
    </row>
    <row r="19" spans="1:5" ht="12.75">
      <c r="A19" s="61" t="s">
        <v>434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434</v>
      </c>
      <c r="B30" s="61"/>
      <c r="C30" s="294"/>
      <c r="D30" s="294"/>
      <c r="E30" s="250">
        <f t="shared" si="1"/>
        <v>0</v>
      </c>
    </row>
    <row r="31" spans="1:5" ht="12.75">
      <c r="A31" s="61" t="s">
        <v>434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481</v>
      </c>
      <c r="B47" s="61"/>
      <c r="C47" s="294">
        <v>1689373</v>
      </c>
      <c r="D47" s="294"/>
      <c r="E47" s="250">
        <f t="shared" si="2"/>
        <v>1689373</v>
      </c>
    </row>
    <row r="48" spans="1:5" ht="12.75">
      <c r="A48" s="61" t="s">
        <v>434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1689373</v>
      </c>
      <c r="D50" s="250">
        <f>SUM(D41:D49)</f>
        <v>0</v>
      </c>
      <c r="E50" s="250">
        <f>SUM(E41:E49)</f>
        <v>1689373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481</v>
      </c>
      <c r="B59" s="61"/>
      <c r="C59" s="294">
        <v>1872951</v>
      </c>
      <c r="D59" s="294"/>
      <c r="E59" s="250">
        <f t="shared" si="3"/>
        <v>1872951</v>
      </c>
    </row>
    <row r="60" spans="1:5" ht="12.75">
      <c r="A60" s="61" t="s">
        <v>434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1872951</v>
      </c>
      <c r="D63" s="250">
        <f>SUM(D53:D61)</f>
        <v>0</v>
      </c>
      <c r="E63" s="250">
        <f>SUM(E53:E61)</f>
        <v>1872951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BreakPreview" zoomScale="60" zoomScaleNormal="75" zoomScalePageLayoutView="0" workbookViewId="0" topLeftCell="A1">
      <pane xSplit="1" ySplit="6" topLeftCell="B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451</v>
      </c>
      <c r="B5" s="8"/>
      <c r="C5" s="8" t="s">
        <v>2</v>
      </c>
      <c r="D5" s="8"/>
      <c r="E5" s="8"/>
      <c r="F5" s="8"/>
    </row>
    <row r="6" spans="1:6" ht="12.75">
      <c r="A6" s="399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>
        <v>8266</v>
      </c>
      <c r="D19" s="295"/>
      <c r="E19" s="313">
        <f t="shared" si="0"/>
        <v>8266</v>
      </c>
    </row>
    <row r="20" spans="1:5" ht="12.75">
      <c r="A20" s="67" t="s">
        <v>435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457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484</v>
      </c>
      <c r="B41" t="s">
        <v>185</v>
      </c>
      <c r="C41" s="294">
        <v>6819</v>
      </c>
      <c r="D41" s="294"/>
      <c r="E41" s="250">
        <f t="shared" si="0"/>
        <v>6819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15085</v>
      </c>
      <c r="D46" s="250">
        <f>SUM(D17:D45)</f>
        <v>0</v>
      </c>
      <c r="E46" s="250">
        <f>SUM(E17:E45)</f>
        <v>15085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15085</v>
      </c>
      <c r="D78" s="315">
        <f>D46-D77</f>
        <v>0</v>
      </c>
      <c r="E78" s="315">
        <f>E46-E77</f>
        <v>15085</v>
      </c>
    </row>
    <row r="79" spans="1:5" ht="12.75">
      <c r="A79" s="276" t="s">
        <v>168</v>
      </c>
      <c r="B79" s="277"/>
      <c r="C79" s="315">
        <f>C77+C78</f>
        <v>15085</v>
      </c>
      <c r="D79" s="315">
        <f>D77+D78</f>
        <v>0</v>
      </c>
      <c r="E79" s="315">
        <f>E77+E78</f>
        <v>15085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22378</v>
      </c>
      <c r="D82" s="294"/>
      <c r="E82" s="250">
        <f>C82-D82</f>
        <v>22378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458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22378</v>
      </c>
      <c r="D99" s="250">
        <f>SUM(D82:D98)</f>
        <v>0</v>
      </c>
      <c r="E99" s="250">
        <f>SUM(E82:E98)</f>
        <v>22378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0">
        <f aca="true" t="shared" si="7" ref="C102:E118">IF($E82&gt;$C$11,C82,)</f>
        <v>22378</v>
      </c>
      <c r="D102" s="250">
        <f t="shared" si="7"/>
        <v>0</v>
      </c>
      <c r="E102" s="250">
        <f t="shared" si="7"/>
        <v>22378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22378</v>
      </c>
      <c r="D119" s="250">
        <f>SUM(D102:D118)</f>
        <v>0</v>
      </c>
      <c r="E119" s="250">
        <f>SUM(E102:E118)</f>
        <v>22378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22378</v>
      </c>
      <c r="D121" s="250">
        <f>D119+D120</f>
        <v>0</v>
      </c>
      <c r="E121" s="250">
        <f>E119+E120</f>
        <v>22378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57" sqref="F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8" t="s">
        <v>431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375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439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378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379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440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423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377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376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418</v>
      </c>
      <c r="B32" t="s">
        <v>185</v>
      </c>
      <c r="C32" s="295">
        <v>678</v>
      </c>
      <c r="D32" s="295"/>
      <c r="E32" s="313">
        <f t="shared" si="0"/>
        <v>678</v>
      </c>
    </row>
    <row r="33" spans="1:5" ht="12.75">
      <c r="A33" s="67" t="s">
        <v>419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436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437</v>
      </c>
      <c r="C35" s="295">
        <v>0</v>
      </c>
      <c r="D35" s="295"/>
      <c r="E35" s="313">
        <f t="shared" si="0"/>
        <v>0</v>
      </c>
    </row>
    <row r="36" spans="1:5" ht="12.75">
      <c r="A36" s="67" t="s">
        <v>420</v>
      </c>
      <c r="C36" s="295"/>
      <c r="D36" s="295"/>
      <c r="E36" s="313">
        <f t="shared" si="0"/>
        <v>0</v>
      </c>
    </row>
    <row r="37" spans="1:5" ht="12.75">
      <c r="A37" s="67" t="s">
        <v>421</v>
      </c>
      <c r="C37" s="295"/>
      <c r="D37" s="295"/>
      <c r="E37" s="313">
        <f t="shared" si="0"/>
        <v>0</v>
      </c>
    </row>
    <row r="38" spans="1:5" ht="12.75">
      <c r="A38" s="67" t="s">
        <v>443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482</v>
      </c>
      <c r="B40" t="s">
        <v>185</v>
      </c>
      <c r="C40" s="295">
        <v>1215879</v>
      </c>
      <c r="D40" s="295"/>
      <c r="E40" s="313">
        <f t="shared" si="0"/>
        <v>1215879</v>
      </c>
    </row>
    <row r="41" spans="1:5" ht="12.75">
      <c r="A41" s="487" t="s">
        <v>483</v>
      </c>
      <c r="B41" t="s">
        <v>185</v>
      </c>
      <c r="C41" s="295">
        <v>1628728</v>
      </c>
      <c r="D41" s="295"/>
      <c r="E41" s="313">
        <f t="shared" si="0"/>
        <v>1628728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382</v>
      </c>
      <c r="B47" t="s">
        <v>187</v>
      </c>
      <c r="C47" s="250">
        <f>SUM(C19:C46)</f>
        <v>2845285</v>
      </c>
      <c r="D47" s="250">
        <f>SUM(D19:D46)</f>
        <v>0</v>
      </c>
      <c r="E47" s="250">
        <f>SUM(E19:E46)</f>
        <v>2845285</v>
      </c>
    </row>
    <row r="48" ht="12.75">
      <c r="A48" s="67"/>
    </row>
    <row r="49" ht="12.75">
      <c r="A49" s="81" t="s">
        <v>143</v>
      </c>
    </row>
    <row r="51" spans="1:5" ht="12.75">
      <c r="A51" s="71" t="s">
        <v>375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439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376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422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430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442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438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 t="s">
        <v>485</v>
      </c>
      <c r="B61" s="8" t="s">
        <v>186</v>
      </c>
      <c r="C61" s="294">
        <v>154515</v>
      </c>
      <c r="D61" s="294"/>
      <c r="E61" s="250">
        <f t="shared" si="1"/>
        <v>154515</v>
      </c>
    </row>
    <row r="62" spans="1:5" ht="12.75">
      <c r="A62" s="488" t="s">
        <v>486</v>
      </c>
      <c r="B62" s="8" t="s">
        <v>186</v>
      </c>
      <c r="C62" s="294">
        <v>1568713</v>
      </c>
      <c r="D62" s="294"/>
      <c r="E62" s="250">
        <f aca="true" t="shared" si="2" ref="E62:E72">C62-D62</f>
        <v>1568713</v>
      </c>
    </row>
    <row r="63" spans="1:5" ht="12.75">
      <c r="A63" s="488" t="s">
        <v>487</v>
      </c>
      <c r="B63" s="8" t="s">
        <v>186</v>
      </c>
      <c r="C63" s="294">
        <v>400948</v>
      </c>
      <c r="D63" s="294"/>
      <c r="E63" s="250">
        <f t="shared" si="2"/>
        <v>400948</v>
      </c>
    </row>
    <row r="64" spans="1:5" ht="12.75">
      <c r="A64" s="488" t="s">
        <v>488</v>
      </c>
      <c r="B64" s="8" t="s">
        <v>186</v>
      </c>
      <c r="C64" s="294">
        <v>745802</v>
      </c>
      <c r="D64" s="294"/>
      <c r="E64" s="250">
        <f t="shared" si="2"/>
        <v>745802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381</v>
      </c>
      <c r="B73" s="8" t="s">
        <v>187</v>
      </c>
      <c r="C73" s="250">
        <f>SUM(C51:C72)</f>
        <v>2869978</v>
      </c>
      <c r="D73" s="250">
        <f>SUM(D51:D72)</f>
        <v>0</v>
      </c>
      <c r="E73" s="250">
        <f>SUM(E51:E72)</f>
        <v>2869978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464</v>
      </c>
      <c r="B8" s="498"/>
      <c r="C8" s="498"/>
      <c r="D8" s="498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452</v>
      </c>
      <c r="B10" s="327"/>
      <c r="C10" s="361" t="s">
        <v>109</v>
      </c>
      <c r="D10" s="361"/>
      <c r="E10" s="361" t="s">
        <v>109</v>
      </c>
      <c r="F10" s="362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391" t="s">
        <v>454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392" t="s">
        <v>455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472</v>
      </c>
      <c r="B23" s="494"/>
      <c r="C23" s="494"/>
      <c r="D23" s="494"/>
      <c r="E23" s="494"/>
      <c r="F23" s="494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465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426</v>
      </c>
      <c r="B28" s="327"/>
      <c r="C28" s="355" t="s">
        <v>109</v>
      </c>
      <c r="D28" s="355"/>
      <c r="E28" s="355" t="s">
        <v>109</v>
      </c>
      <c r="F28" s="356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466</v>
      </c>
      <c r="B39" s="391" t="s">
        <v>454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467</v>
      </c>
      <c r="B40" s="392" t="s">
        <v>455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330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444</v>
      </c>
      <c r="B2" s="2"/>
    </row>
    <row r="3" spans="1:15" ht="12.75">
      <c r="A3" s="486" t="s">
        <v>480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383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425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5.5">
      <c r="A14" s="81" t="s">
        <v>384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385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386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387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5.5">
      <c r="A18" s="81" t="s">
        <v>388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389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453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390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393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2" t="s">
        <v>394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4"/>
      <c r="Q33" s="404"/>
      <c r="R33" s="404"/>
      <c r="S33" s="404"/>
    </row>
    <row r="34" spans="1:19" ht="12.75">
      <c r="A34" s="501" t="s">
        <v>395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4"/>
      <c r="Q34" s="404"/>
      <c r="R34" s="404"/>
      <c r="S34" s="404"/>
    </row>
    <row r="35" spans="1:19" ht="12.75">
      <c r="A35" s="501" t="s">
        <v>416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4"/>
      <c r="Q35" s="404"/>
      <c r="R35" s="404"/>
      <c r="S35" s="404"/>
    </row>
    <row r="36" spans="1:19" ht="12.75">
      <c r="A36" s="501" t="s">
        <v>396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399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402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407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409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410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411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415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501" t="s">
        <v>445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2011-07-07T17:50:16Z</cp:lastPrinted>
  <dcterms:created xsi:type="dcterms:W3CDTF">2001-11-07T16:15:53Z</dcterms:created>
  <dcterms:modified xsi:type="dcterms:W3CDTF">2012-09-19T18:57:46Z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