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9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direct input to reconcile to approved PILS </t>
        </r>
      </text>
    </comment>
    <comment ref="G72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Capital tax of $40,892 reduced by $14,237 of tax creduts as per CT23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6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added $136,260 to reconcile to Schedule 1 </t>
        </r>
      </text>
    </comment>
    <comment ref="C143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CMT of $22,241</t>
        </r>
      </text>
    </comment>
  </commentList>
</comments>
</file>

<file path=xl/sharedStrings.xml><?xml version="1.0" encoding="utf-8"?>
<sst xmlns="http://schemas.openxmlformats.org/spreadsheetml/2006/main" count="840" uniqueCount="494">
  <si>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</si>
  <si>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</si>
  <si>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</si>
  <si>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</si>
  <si>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</si>
  <si>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</si>
  <si>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</si>
  <si>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</si>
  <si>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</si>
  <si>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</si>
  <si>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</si>
  <si>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</si>
  <si>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</si>
  <si>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</si>
  <si>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</si>
  <si>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</si>
  <si>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</si>
  <si>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</si>
  <si>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</si>
  <si>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</si>
  <si>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</si>
  <si>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</si>
  <si>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</si>
  <si>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</si>
  <si>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</si>
  <si>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</si>
  <si>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</si>
  <si>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</si>
  <si>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</si>
  <si>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</si>
  <si>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</si>
  <si>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</si>
  <si>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</si>
  <si>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</si>
  <si>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</si>
  <si>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</si>
  <si>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</si>
  <si>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</si>
  <si>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</si>
  <si>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</si>
  <si>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</si>
  <si>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</si>
  <si>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</si>
  <si>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</si>
  <si>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</si>
  <si>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</si>
  <si>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</si>
  <si>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</si>
  <si>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</si>
  <si>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</si>
  <si>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</si>
  <si>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</si>
  <si>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</si>
  <si>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</si>
  <si>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</si>
  <si>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</si>
  <si>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</si>
  <si>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</si>
  <si>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</si>
  <si>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</si>
  <si>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</si>
  <si>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</si>
  <si>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</si>
  <si>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</si>
  <si>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</si>
  <si>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</si>
  <si>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</si>
  <si>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</si>
  <si>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</si>
  <si>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</si>
  <si>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</si>
  <si>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</si>
  <si>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</si>
  <si>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</si>
  <si>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</si>
  <si>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</si>
  <si>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</si>
  <si>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</si>
  <si>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</si>
  <si>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</si>
  <si>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</si>
  <si>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</si>
  <si>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</si>
  <si>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</si>
  <si>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</si>
  <si>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</si>
  <si>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</si>
  <si>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</si>
  <si>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</si>
  <si>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</si>
  <si>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</si>
  <si>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</si>
  <si>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</si>
  <si>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</si>
  <si>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</si>
  <si>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</si>
  <si>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</si>
  <si>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</si>
  <si>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</si>
  <si>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</si>
  <si>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</si>
  <si>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</si>
  <si>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</si>
  <si>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</si>
  <si>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</si>
  <si>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</si>
  <si>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</si>
  <si>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</si>
  <si>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</si>
  <si>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</si>
  <si>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</si>
  <si>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</si>
  <si>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</si>
  <si>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</si>
  <si>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</si>
  <si>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</si>
  <si>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</si>
  <si>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</si>
  <si>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</si>
  <si>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</si>
  <si>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</si>
  <si>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</si>
  <si>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</si>
  <si>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</si>
  <si>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</si>
  <si>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</si>
  <si>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</si>
  <si>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</si>
  <si>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</si>
  <si>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</si>
  <si>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</si>
  <si>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</si>
  <si>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</si>
  <si>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</si>
  <si>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</si>
  <si>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</si>
  <si>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</si>
  <si>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</si>
  <si>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</si>
  <si>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</si>
  <si>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</si>
  <si>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</si>
  <si>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</si>
  <si>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</si>
  <si>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</si>
  <si>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</si>
  <si>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</si>
  <si>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</si>
  <si>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</si>
  <si>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</si>
  <si>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</si>
  <si>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</si>
  <si>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</si>
  <si>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</si>
  <si>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</si>
  <si>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</si>
  <si>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</si>
  <si>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</si>
  <si>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</si>
  <si>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</si>
  <si>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</si>
  <si>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</si>
  <si>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</si>
  <si>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</si>
  <si>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</si>
  <si>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</si>
  <si>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</si>
  <si>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</si>
  <si>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</si>
  <si>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</si>
  <si>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</si>
  <si>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</si>
  <si>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</si>
  <si>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</si>
  <si>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</si>
  <si>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</si>
  <si>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</si>
  <si>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</si>
  <si>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</si>
  <si>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</si>
  <si>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</si>
  <si>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</si>
  <si>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</si>
  <si>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</si>
  <si>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</si>
  <si>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</si>
  <si>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</si>
  <si>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</si>
  <si>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</si>
  <si>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</si>
  <si>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</si>
  <si>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</si>
  <si>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</si>
  <si>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</si>
  <si>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</si>
  <si>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</si>
  <si>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</si>
  <si>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</si>
  <si>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</si>
  <si>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</si>
  <si>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</si>
  <si>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</si>
  <si>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</si>
  <si>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</si>
  <si>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</si>
  <si>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</si>
  <si>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</si>
  <si>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</si>
  <si>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</si>
  <si>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</si>
  <si>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</si>
  <si>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</si>
  <si>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</si>
  <si>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</si>
  <si>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</si>
  <si>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</si>
  <si>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</si>
  <si>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</si>
  <si>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</si>
  <si>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</si>
  <si>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</si>
  <si>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</si>
  <si>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</si>
  <si>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</si>
  <si>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</si>
  <si>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</si>
  <si>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</si>
  <si>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</si>
  <si>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</si>
  <si>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</si>
  <si>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</si>
  <si>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</si>
  <si>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</si>
  <si>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</si>
  <si>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</si>
  <si>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</si>
  <si>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</si>
  <si>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</si>
  <si>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</si>
  <si>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</si>
  <si>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</si>
  <si>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</si>
  <si>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</si>
  <si>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</si>
  <si>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</si>
  <si>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</si>
  <si>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</si>
  <si>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</si>
  <si>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</si>
  <si>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</si>
  <si>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</si>
  <si>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</si>
  <si>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</si>
  <si>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</si>
  <si>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</si>
  <si>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</si>
  <si>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</si>
  <si>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</si>
  <si>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</si>
  <si>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</si>
  <si>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</si>
  <si>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</si>
  <si>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</si>
  <si>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</si>
  <si>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</si>
  <si>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</si>
  <si>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</si>
  <si>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</si>
  <si>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</si>
  <si>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</si>
  <si>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</si>
  <si>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</si>
  <si>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</si>
  <si>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</si>
  <si>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</si>
  <si>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</si>
  <si>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</si>
  <si>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</si>
  <si>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</si>
  <si>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</si>
  <si>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</si>
  <si>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</si>
  <si>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</si>
  <si>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</si>
  <si>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</si>
  <si>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</si>
  <si>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</si>
  <si>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</si>
  <si>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</si>
  <si>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</si>
  <si>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</si>
  <si>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</si>
  <si>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</si>
  <si>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</si>
  <si>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</si>
  <si>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</si>
  <si>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</si>
  <si>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</si>
  <si>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</si>
  <si>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</si>
  <si>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</si>
  <si>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</si>
  <si>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</si>
  <si>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</si>
  <si>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</si>
  <si>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</si>
  <si>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</si>
  <si>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</si>
  <si>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</si>
  <si>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</si>
  <si>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</si>
  <si>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</si>
  <si>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</si>
  <si>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</si>
  <si>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</si>
  <si>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</si>
  <si>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</si>
  <si>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</si>
  <si>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</si>
  <si>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</si>
  <si>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</si>
  <si>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</si>
  <si>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</si>
  <si>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</si>
  <si>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</si>
  <si>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</si>
  <si>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</si>
  <si>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</si>
  <si>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</si>
  <si>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</si>
  <si>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</si>
  <si>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</si>
  <si>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</si>
  <si>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</si>
  <si>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</si>
  <si>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</si>
  <si>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</si>
  <si>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</si>
  <si>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</si>
  <si>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</si>
  <si>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</si>
  <si>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</si>
  <si>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</si>
  <si>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</si>
  <si>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</si>
  <si>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</si>
  <si>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</si>
  <si>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</si>
  <si>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</si>
  <si>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</si>
  <si>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</si>
  <si>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</si>
  <si>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</si>
  <si>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</si>
  <si>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</si>
  <si>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</si>
  <si>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</si>
  <si>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</si>
  <si>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</si>
  <si>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</si>
  <si>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</si>
  <si>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</si>
  <si>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</si>
  <si>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</si>
  <si>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</si>
  <si>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</si>
  <si>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</si>
  <si>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</si>
  <si>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</si>
  <si>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</si>
  <si>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</si>
  <si>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</si>
  <si>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</si>
  <si>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</si>
  <si>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</si>
  <si>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</si>
  <si>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</si>
  <si>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</si>
  <si>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</si>
  <si>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</si>
  <si>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</si>
  <si>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</si>
  <si>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</si>
  <si>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</si>
  <si>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</si>
  <si>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</si>
  <si>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</si>
  <si>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</si>
  <si>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</si>
  <si>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</si>
  <si>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</si>
  <si>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</si>
  <si>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</si>
  <si>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</si>
  <si>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</si>
  <si>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</si>
  <si>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</si>
  <si>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</si>
  <si>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</si>
  <si>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</si>
  <si>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</si>
  <si>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</si>
  <si>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</si>
  <si>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</si>
  <si>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</si>
  <si>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</si>
  <si>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</si>
  <si>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</si>
  <si>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</si>
  <si>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</si>
  <si>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</si>
  <si>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</si>
  <si>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</si>
  <si>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</si>
  <si>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</si>
  <si>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</si>
  <si>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</si>
  <si>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</si>
  <si>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</si>
  <si>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</si>
  <si>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</si>
  <si>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</si>
  <si>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</si>
  <si>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</si>
  <si>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</si>
  <si>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</si>
  <si>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</si>
  <si>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</si>
  <si>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</si>
  <si>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</si>
  <si>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</si>
  <si>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</si>
  <si>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</si>
  <si>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</si>
  <si>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</si>
  <si>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</si>
  <si>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</si>
  <si>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</si>
  <si>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</si>
  <si>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</si>
  <si>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</si>
  <si>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</si>
  <si>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</si>
  <si>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</si>
  <si>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</si>
  <si>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</si>
  <si>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</si>
  <si>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</si>
  <si>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</si>
  <si>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</si>
  <si>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</si>
  <si>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</si>
  <si>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</si>
  <si>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</si>
  <si>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</si>
  <si>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</si>
  <si>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</si>
  <si>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</si>
  <si>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</si>
  <si>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</si>
  <si>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</si>
  <si>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</si>
  <si>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</si>
  <si>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</si>
  <si>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</si>
  <si>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t>Actual 2004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</si>
  <si>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</si>
  <si>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</si>
  <si>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</si>
  <si>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</si>
  <si>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**Exemption amounts must agree with the Board-approved 2002 RAM PILs filing</t>
  </si>
  <si>
    <t>Rate (as a result of legislative changes) tab 'Tax Rates' cell C36</t>
  </si>
  <si>
    <t>Rate - Tab Tax Rates cell C36</t>
  </si>
  <si>
    <t>Total deemed Interest (REGINFO D62)</t>
  </si>
  <si>
    <t xml:space="preserve">Income Tax Rate </t>
  </si>
  <si>
    <t xml:space="preserve">tax/taxable income </t>
  </si>
  <si>
    <t xml:space="preserve">Loss on disposal of assets </t>
  </si>
  <si>
    <t xml:space="preserve">2003 OCT included in 2004 income tax </t>
  </si>
  <si>
    <t xml:space="preserve">Less: Exemption </t>
  </si>
  <si>
    <t xml:space="preserve">Rate </t>
  </si>
  <si>
    <t>Rate</t>
  </si>
  <si>
    <t>Utility Name: Brant County Power Inc.</t>
  </si>
  <si>
    <t>Income - joint ventures / partnerships</t>
  </si>
  <si>
    <t xml:space="preserve">Employee Future Benefits </t>
  </si>
  <si>
    <t xml:space="preserve">Transition Costs - opening tax balance </t>
  </si>
  <si>
    <t xml:space="preserve">PILS - Dec 31, 2003 balance </t>
  </si>
  <si>
    <t xml:space="preserve">Regulatory Variance Accounts - Dec 31, 2003 balance </t>
  </si>
  <si>
    <t>Regulatory Variance Accounts - ending CR balances</t>
  </si>
  <si>
    <t xml:space="preserve">Non Deductible interest expense </t>
  </si>
  <si>
    <t>Transition Costs - Balance at Dec 31, 2004</t>
  </si>
  <si>
    <t>Deferred PILS - Balance at Dec 31., 2004</t>
  </si>
  <si>
    <t xml:space="preserve">Less: Federal LCT included in rates </t>
  </si>
  <si>
    <t>Taxable</t>
  </si>
  <si>
    <t>Revised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</si>
</sst>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4" applyNumberFormat="0" applyFill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0" fontId="60" fillId="27" borderId="6" applyNumberFormat="0" applyAlignment="0" applyProtection="0"/>
    <xf numFmtId="1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2" fillId="0" borderId="0" applyNumberFormat="0" applyFill="0" applyBorder="0" applyAlignment="0" applyProtection="0"/>
  </cellStyleXfs>
  <cellXfs count="50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4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/>
      <protection/>
    </xf>
    <xf numFmtId="0" fontId="19" fillId="0" borderId="0" xfId="0" applyFont="1" applyFill="1" applyAlignment="1">
      <alignment vertical="top"/>
    </xf>
    <xf numFmtId="37" fontId="63" fillId="0" borderId="0" xfId="0" applyNumberFormat="1" applyFont="1" applyBorder="1" applyAlignment="1">
      <alignment horizontal="center" vertical="top"/>
    </xf>
    <xf numFmtId="0" fontId="63" fillId="0" borderId="0" xfId="0" applyFont="1" applyAlignment="1">
      <alignment vertical="top" wrapText="1"/>
    </xf>
    <xf numFmtId="0" fontId="64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/>
    </xf>
    <xf numFmtId="0" fontId="65" fillId="0" borderId="24" xfId="0" applyFont="1" applyFill="1" applyBorder="1" applyAlignment="1" applyProtection="1">
      <alignment vertical="top"/>
      <protection/>
    </xf>
    <xf numFmtId="0" fontId="66" fillId="0" borderId="24" xfId="0" applyFont="1" applyBorder="1" applyAlignment="1" applyProtection="1">
      <alignment vertical="top"/>
      <protection/>
    </xf>
    <xf numFmtId="0" fontId="67" fillId="0" borderId="0" xfId="0" applyFont="1" applyFill="1" applyBorder="1" applyAlignment="1" applyProtection="1" quotePrefix="1">
      <alignment vertical="top" wrapText="1"/>
      <protection/>
    </xf>
    <xf numFmtId="0" fontId="0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top"/>
    </xf>
    <xf numFmtId="3" fontId="64" fillId="0" borderId="18" xfId="0" applyNumberFormat="1" applyFont="1" applyBorder="1" applyAlignment="1" applyProtection="1">
      <alignment vertical="top"/>
      <protection/>
    </xf>
    <xf numFmtId="37" fontId="3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 wrapText="1"/>
    </xf>
    <xf numFmtId="6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4" xfId="0" applyNumberFormat="1" applyFill="1" applyBorder="1" applyAlignment="1" applyProtection="1" quotePrefix="1">
      <alignment horizontal="right" vertical="top"/>
      <protection/>
    </xf>
    <xf numFmtId="0" fontId="3" fillId="0" borderId="0" xfId="0" applyFont="1" applyBorder="1" applyAlignment="1">
      <alignment horizontal="center" vertical="top"/>
    </xf>
    <xf numFmtId="3" fontId="0" fillId="44" borderId="14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view="pageBreakPreview" zoomScale="60" zoomScaleNormal="75" zoomScalePageLayoutView="0" workbookViewId="0" topLeftCell="A41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445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481</v>
      </c>
      <c r="C3" s="8"/>
      <c r="D3" s="437" t="s">
        <v>432</v>
      </c>
      <c r="E3" s="8"/>
      <c r="F3" s="8"/>
      <c r="G3" s="8"/>
      <c r="H3" s="8"/>
    </row>
    <row r="4" spans="1:8" ht="12.75">
      <c r="A4" s="2" t="s">
        <v>463</v>
      </c>
      <c r="C4" s="8"/>
      <c r="D4" s="436" t="s">
        <v>427</v>
      </c>
      <c r="E4" s="410"/>
      <c r="H4" s="8"/>
    </row>
    <row r="5" spans="1:8" ht="12.75">
      <c r="A5" s="52"/>
      <c r="C5" s="8"/>
      <c r="D5" s="435" t="s">
        <v>428</v>
      </c>
      <c r="E5" s="381"/>
      <c r="H5" s="8"/>
    </row>
    <row r="6" spans="1:8" ht="12.75">
      <c r="A6" s="2" t="s">
        <v>125</v>
      </c>
      <c r="B6" s="371">
        <v>366</v>
      </c>
      <c r="C6" s="8" t="s">
        <v>126</v>
      </c>
      <c r="D6" s="21"/>
      <c r="H6" s="8"/>
    </row>
    <row r="7" spans="1:8" ht="13.5" thickBot="1">
      <c r="A7" s="52" t="s">
        <v>255</v>
      </c>
      <c r="B7" s="248">
        <v>366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7"/>
    </row>
    <row r="18" spans="1:4" ht="15" customHeight="1">
      <c r="A18" s="372" t="s">
        <v>311</v>
      </c>
      <c r="C18" s="8"/>
      <c r="D18" s="8"/>
    </row>
    <row r="19" spans="1:4" ht="15" customHeight="1">
      <c r="A19" s="492" t="s">
        <v>312</v>
      </c>
      <c r="B19" s="8" t="s">
        <v>309</v>
      </c>
      <c r="C19" s="8" t="s">
        <v>63</v>
      </c>
      <c r="D19" s="371"/>
    </row>
    <row r="20" spans="1:4" ht="13.5" thickBot="1">
      <c r="A20" s="493"/>
      <c r="B20" s="8" t="s">
        <v>310</v>
      </c>
      <c r="C20" s="8" t="s">
        <v>63</v>
      </c>
      <c r="D20" s="257"/>
    </row>
    <row r="21" spans="1:4" ht="12.75">
      <c r="A21" s="492" t="s">
        <v>308</v>
      </c>
      <c r="B21" s="8" t="s">
        <v>309</v>
      </c>
      <c r="C21" s="8"/>
      <c r="D21" s="405">
        <v>1</v>
      </c>
    </row>
    <row r="22" spans="1:4" ht="12.75">
      <c r="A22" s="492"/>
      <c r="B22" s="8" t="s">
        <v>310</v>
      </c>
      <c r="C22" s="8"/>
      <c r="D22" s="405">
        <v>1</v>
      </c>
    </row>
    <row r="23" spans="1:4" ht="7.5" customHeight="1">
      <c r="A23" s="45"/>
      <c r="C23" s="8"/>
      <c r="D23" s="371"/>
    </row>
    <row r="24" spans="1:4" ht="12.75">
      <c r="A24" s="45" t="s">
        <v>211</v>
      </c>
      <c r="C24" s="8" t="s">
        <v>212</v>
      </c>
      <c r="D24" s="406" t="s">
        <v>464</v>
      </c>
    </row>
    <row r="25" ht="6.75" customHeight="1" thickBot="1">
      <c r="A25" s="12"/>
    </row>
    <row r="26" spans="1:5" ht="12.75">
      <c r="A26" s="254" t="s">
        <v>66</v>
      </c>
      <c r="C26" s="8"/>
      <c r="E26" s="425" t="s">
        <v>296</v>
      </c>
    </row>
    <row r="27" spans="1:5" ht="12.75">
      <c r="A27" s="255" t="s">
        <v>67</v>
      </c>
      <c r="C27" s="8"/>
      <c r="E27" s="426" t="s">
        <v>297</v>
      </c>
    </row>
    <row r="28" spans="1:3" ht="12.75">
      <c r="A28" s="255" t="s">
        <v>68</v>
      </c>
      <c r="C28" s="38"/>
    </row>
    <row r="29" ht="12.75">
      <c r="A29" s="256" t="s">
        <v>69</v>
      </c>
    </row>
    <row r="30" ht="12.75">
      <c r="A30" s="35"/>
    </row>
    <row r="31" spans="1:8" ht="12.75">
      <c r="A31" t="s">
        <v>286</v>
      </c>
      <c r="D31" s="403">
        <v>12710037</v>
      </c>
      <c r="H31" s="5"/>
    </row>
    <row r="32" ht="6" customHeight="1"/>
    <row r="33" spans="1:8" ht="12.75">
      <c r="A33" t="s">
        <v>70</v>
      </c>
      <c r="D33" s="404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4">
        <v>0.0988</v>
      </c>
      <c r="H37" s="41"/>
    </row>
    <row r="38" ht="4.5" customHeight="1">
      <c r="H38" s="34"/>
    </row>
    <row r="39" spans="1:8" ht="12.75">
      <c r="A39" t="s">
        <v>73</v>
      </c>
      <c r="D39" s="404">
        <v>0.0725</v>
      </c>
      <c r="H39" s="41"/>
    </row>
    <row r="40" ht="6" customHeight="1">
      <c r="H40" s="34"/>
    </row>
    <row r="41" spans="1:8" ht="12.75">
      <c r="A41" t="s">
        <v>74</v>
      </c>
      <c r="D41" s="250">
        <f>D31*((D33*D37)+(D35*D39))</f>
        <v>1088614.6690500001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7">
        <v>144208</v>
      </c>
      <c r="E43" s="370">
        <f>D43</f>
        <v>144208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0">
        <f>D41-D43</f>
        <v>944406.6690500001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08">
        <v>314802</v>
      </c>
      <c r="E47" s="370">
        <f aca="true" t="shared" si="0" ref="E47:E53">D47</f>
        <v>314802</v>
      </c>
      <c r="H47" s="40"/>
      <c r="J47" s="5"/>
      <c r="K47" s="5"/>
    </row>
    <row r="48" spans="1:11" ht="12.75">
      <c r="A48" t="s">
        <v>289</v>
      </c>
      <c r="D48" s="408">
        <v>314802</v>
      </c>
      <c r="E48" s="370">
        <f>D48</f>
        <v>314802</v>
      </c>
      <c r="F48" s="22"/>
      <c r="H48" s="40"/>
      <c r="J48" s="5"/>
      <c r="K48" s="5"/>
    </row>
    <row r="49" spans="1:11" ht="12.75">
      <c r="A49" t="s">
        <v>290</v>
      </c>
      <c r="D49" s="409"/>
      <c r="E49" s="370">
        <v>0</v>
      </c>
      <c r="F49" s="22"/>
      <c r="H49" s="40"/>
      <c r="J49" s="5"/>
      <c r="K49" s="5"/>
    </row>
    <row r="50" spans="1:11" ht="12.75">
      <c r="A50" t="s">
        <v>291</v>
      </c>
      <c r="D50" s="410"/>
      <c r="E50" s="370">
        <f t="shared" si="0"/>
        <v>0</v>
      </c>
      <c r="H50" s="40"/>
      <c r="J50" s="5"/>
      <c r="K50" s="5"/>
    </row>
    <row r="51" spans="1:11" ht="12.75">
      <c r="A51" t="s">
        <v>424</v>
      </c>
      <c r="D51" s="410"/>
      <c r="E51" s="370">
        <f t="shared" si="0"/>
        <v>0</v>
      </c>
      <c r="H51" s="40"/>
      <c r="J51" s="5"/>
      <c r="K51" s="5"/>
    </row>
    <row r="52" spans="1:11" ht="12.75">
      <c r="A52" t="s">
        <v>446</v>
      </c>
      <c r="D52" s="410"/>
      <c r="E52" s="370">
        <f t="shared" si="0"/>
        <v>0</v>
      </c>
      <c r="H52" s="40"/>
      <c r="J52" s="5"/>
      <c r="K52" s="5"/>
    </row>
    <row r="53" spans="4:11" ht="12.75">
      <c r="D53" s="410"/>
      <c r="E53" s="370">
        <f t="shared" si="0"/>
        <v>0</v>
      </c>
      <c r="H53" s="40"/>
      <c r="J53" s="5"/>
      <c r="K53" s="5"/>
    </row>
    <row r="54" spans="1:11" ht="12.75">
      <c r="A54" s="2" t="s">
        <v>292</v>
      </c>
      <c r="E54" s="253">
        <f>SUM(E43:E53)</f>
        <v>773812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1">
        <f>D31*D33</f>
        <v>6355018.5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1">
        <f>D56*D37</f>
        <v>627875.8278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1">
        <f>D31*D35</f>
        <v>6355018.5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51">
        <f>D60*D39</f>
        <v>460738.84124999994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2">
        <f>IF(D41&gt;0,(((D43+D47)/D41)*D62),0)</f>
        <v>194268.6806771745</v>
      </c>
      <c r="F64" s="5"/>
      <c r="H64" s="32"/>
      <c r="J64" s="5"/>
      <c r="K64" s="5"/>
    </row>
    <row r="65" spans="1:11" ht="12.75">
      <c r="A65" s="33" t="s">
        <v>366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2">
        <f>IF(D41&gt;0,(((D43+D47+D48)/D41)*D62),0)</f>
        <v>327503.6193812025</v>
      </c>
      <c r="F66" s="5"/>
      <c r="H66" s="32"/>
      <c r="J66" s="5"/>
      <c r="K66" s="5"/>
    </row>
    <row r="67" spans="1:11" ht="12.75">
      <c r="A67" s="33" t="s">
        <v>367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2">
        <f>IF(D41&gt;0,(((D43+D47+D48)/D41)*D62),0)</f>
        <v>327503.6193812025</v>
      </c>
      <c r="F68" s="5"/>
      <c r="H68" s="32"/>
      <c r="J68" s="5"/>
    </row>
    <row r="69" spans="1:10" ht="12.75">
      <c r="A69" s="33" t="s">
        <v>368</v>
      </c>
      <c r="B69" s="5"/>
      <c r="C69" s="5"/>
      <c r="D69" s="5"/>
      <c r="F69" s="5"/>
      <c r="H69" s="32"/>
      <c r="J69" s="5"/>
    </row>
    <row r="70" spans="1:10" ht="12.75">
      <c r="A70" s="45" t="s">
        <v>433</v>
      </c>
      <c r="B70" s="5"/>
      <c r="C70" s="5"/>
      <c r="D70" s="252">
        <f>D62</f>
        <v>460738.84124999994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BreakPreview" zoomScale="60" zoomScaleNormal="80" zoomScalePageLayoutView="0" workbookViewId="0" topLeftCell="A1">
      <selection activeCell="F205" sqref="F205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77.7109375" style="0" customWidth="1"/>
    <col min="10" max="10" width="37.421875" style="0" customWidth="1"/>
    <col min="11" max="16" width="10.7109375" style="0" customWidth="1"/>
  </cols>
  <sheetData>
    <row r="1" spans="1:8" ht="12.75">
      <c r="A1" s="202">
        <f>REGINFO!A1</f>
        <v>0</v>
      </c>
      <c r="B1" s="203" t="s">
        <v>127</v>
      </c>
      <c r="C1" s="204" t="s">
        <v>34</v>
      </c>
      <c r="D1" s="205"/>
      <c r="E1" s="206" t="s">
        <v>23</v>
      </c>
      <c r="F1" s="207" t="s">
        <v>23</v>
      </c>
      <c r="G1" s="208" t="s">
        <v>448</v>
      </c>
      <c r="H1" s="209"/>
    </row>
    <row r="2" spans="1:8" ht="12.75">
      <c r="A2" s="210" t="s">
        <v>447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449</v>
      </c>
      <c r="H2" s="216"/>
    </row>
    <row r="3" spans="1:8" ht="12.75">
      <c r="A3" s="210"/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249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Brant County Power Inc.</v>
      </c>
      <c r="B6" s="115"/>
      <c r="D6" s="137"/>
      <c r="E6" s="115"/>
      <c r="G6" s="115"/>
      <c r="H6" s="447"/>
    </row>
    <row r="7" spans="1:8" ht="12.75">
      <c r="A7" s="210" t="str">
        <f>REGINFO!A4</f>
        <v>Reporting period:  2004</v>
      </c>
      <c r="B7" s="115"/>
      <c r="D7" s="137"/>
      <c r="E7" s="115"/>
      <c r="G7" s="115"/>
      <c r="H7" s="447"/>
    </row>
    <row r="8" spans="2:12" ht="12.75">
      <c r="B8" s="221"/>
      <c r="C8" s="229"/>
      <c r="D8" s="213"/>
      <c r="E8" s="137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11">
        <f>REGINFO!B6</f>
        <v>366</v>
      </c>
      <c r="C9" s="230" t="s">
        <v>126</v>
      </c>
      <c r="D9" s="213"/>
      <c r="E9" s="137"/>
      <c r="F9" s="219"/>
      <c r="G9" s="182" t="s">
        <v>89</v>
      </c>
      <c r="H9" s="216"/>
    </row>
    <row r="10" spans="1:8" ht="12.75">
      <c r="A10" s="210" t="s">
        <v>255</v>
      </c>
      <c r="B10" s="411">
        <f>REGINFO!B7</f>
        <v>366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336</v>
      </c>
      <c r="B16" s="125">
        <v>1</v>
      </c>
      <c r="C16" s="258">
        <f>REGINFO!E54</f>
        <v>773812</v>
      </c>
      <c r="D16" s="17"/>
      <c r="E16" s="266">
        <f>G16-C16</f>
        <v>306601</v>
      </c>
      <c r="F16" s="3"/>
      <c r="G16" s="266">
        <f>TAXREC!E50</f>
        <v>1080413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658100</v>
      </c>
      <c r="D20" s="18"/>
      <c r="E20" s="266">
        <f>G20-C20</f>
        <v>241824</v>
      </c>
      <c r="F20" s="6"/>
      <c r="G20" s="266">
        <f>TAXREC!E61</f>
        <v>899924</v>
      </c>
      <c r="H20" s="151"/>
    </row>
    <row r="21" spans="1:8" ht="12.75">
      <c r="A21" s="158" t="s">
        <v>55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263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262</v>
      </c>
      <c r="B23" s="127">
        <v>4</v>
      </c>
      <c r="C23" s="260"/>
      <c r="D23" s="18"/>
      <c r="E23" s="266">
        <f>G23-C23</f>
        <v>1814000</v>
      </c>
      <c r="F23" s="6"/>
      <c r="G23" s="266">
        <f>TAXREC!E64</f>
        <v>1814000</v>
      </c>
      <c r="H23" s="151"/>
    </row>
    <row r="24" spans="1:8" ht="12.75">
      <c r="A24" s="158" t="s">
        <v>264</v>
      </c>
      <c r="B24" s="127">
        <v>5</v>
      </c>
      <c r="C24" s="260">
        <v>420149</v>
      </c>
      <c r="D24" s="18"/>
      <c r="E24" s="266">
        <f>G24-C24</f>
        <v>-420149</v>
      </c>
      <c r="F24" s="6"/>
      <c r="G24" s="266">
        <f>TAXREC!E65</f>
        <v>0</v>
      </c>
      <c r="H24" s="151"/>
    </row>
    <row r="25" spans="1:8" ht="12.75">
      <c r="A25" s="158" t="s">
        <v>52</v>
      </c>
      <c r="B25" s="127"/>
      <c r="C25" s="105" t="s">
        <v>101</v>
      </c>
      <c r="D25" s="18"/>
      <c r="E25" s="185"/>
      <c r="F25" s="33"/>
      <c r="G25" s="185"/>
      <c r="H25" s="151"/>
    </row>
    <row r="26" spans="1:8" ht="12.75">
      <c r="A26" s="158" t="s">
        <v>155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158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157</v>
      </c>
      <c r="B28" s="127">
        <v>6</v>
      </c>
      <c r="C28" s="260"/>
      <c r="D28" s="18"/>
      <c r="E28" s="266">
        <f>G28-C28</f>
        <v>109562</v>
      </c>
      <c r="F28" s="6"/>
      <c r="G28" s="266">
        <f>TAXREC!E67</f>
        <v>109562</v>
      </c>
      <c r="H28" s="151"/>
    </row>
    <row r="29" spans="1:8" ht="12.75">
      <c r="A29" s="158" t="s">
        <v>156</v>
      </c>
      <c r="B29" s="127">
        <v>6</v>
      </c>
      <c r="C29" s="260"/>
      <c r="D29" s="18"/>
      <c r="E29" s="266">
        <f>G29-C29</f>
        <v>3653</v>
      </c>
      <c r="F29" s="6"/>
      <c r="G29" s="266">
        <f>TAXREC!E68</f>
        <v>3653</v>
      </c>
      <c r="H29" s="151"/>
    </row>
    <row r="30" spans="1:8" ht="15.75">
      <c r="A30" s="463" t="s">
        <v>380</v>
      </c>
      <c r="B30" s="127"/>
      <c r="C30" s="258"/>
      <c r="D30" s="18"/>
      <c r="E30" s="266">
        <f>G30-C30</f>
        <v>3281502</v>
      </c>
      <c r="F30" s="6"/>
      <c r="G30" s="266">
        <f>TAXREC!E66</f>
        <v>3281502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337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679578</v>
      </c>
      <c r="D33" s="132"/>
      <c r="E33" s="266">
        <f aca="true" t="shared" si="0" ref="E33:E42">G33-C33</f>
        <v>176288</v>
      </c>
      <c r="F33" s="6"/>
      <c r="G33" s="266">
        <f>TAXREC!E97+TAXREC!E98</f>
        <v>855866</v>
      </c>
      <c r="H33" s="151"/>
    </row>
    <row r="34" spans="1:8" ht="12.75">
      <c r="A34" s="158" t="s">
        <v>56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265</v>
      </c>
      <c r="B36" s="127">
        <v>10</v>
      </c>
      <c r="C36" s="260">
        <v>96676</v>
      </c>
      <c r="D36" s="132"/>
      <c r="E36" s="266">
        <f t="shared" si="0"/>
        <v>-96676</v>
      </c>
      <c r="F36" s="6"/>
      <c r="G36" s="266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9">
        <f>REGINFO!D66</f>
        <v>327503.6193812025</v>
      </c>
      <c r="D37" s="132"/>
      <c r="E37" s="266">
        <f t="shared" si="0"/>
        <v>-3191.6193812025012</v>
      </c>
      <c r="F37" s="6"/>
      <c r="G37" s="266">
        <f>TAXREC!E51</f>
        <v>324312</v>
      </c>
      <c r="H37" s="151"/>
    </row>
    <row r="38" spans="1:8" ht="12.75">
      <c r="A38" s="155" t="s">
        <v>261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260</v>
      </c>
      <c r="B39" s="125">
        <v>4</v>
      </c>
      <c r="C39" s="260"/>
      <c r="D39" s="132"/>
      <c r="E39" s="266">
        <f t="shared" si="0"/>
        <v>1872951</v>
      </c>
      <c r="F39" s="6"/>
      <c r="G39" s="266">
        <f>TAXREC!E105</f>
        <v>1872951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183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152</v>
      </c>
      <c r="B45" s="127">
        <v>12</v>
      </c>
      <c r="C45" s="260"/>
      <c r="D45" s="132"/>
      <c r="E45" s="266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154</v>
      </c>
      <c r="B46" s="127">
        <v>12</v>
      </c>
      <c r="C46" s="260"/>
      <c r="D46" s="132"/>
      <c r="E46" s="266">
        <f>G46-C46</f>
        <v>98606</v>
      </c>
      <c r="F46" s="6"/>
      <c r="G46" s="250">
        <f>TAXREC!E110</f>
        <v>98606</v>
      </c>
      <c r="H46" s="151"/>
    </row>
    <row r="47" spans="1:8" ht="12.75">
      <c r="A47" s="158" t="s">
        <v>153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5.75">
      <c r="A48" s="463" t="s">
        <v>380</v>
      </c>
      <c r="B48" s="127"/>
      <c r="C48" s="258"/>
      <c r="D48" s="132"/>
      <c r="E48" s="266">
        <f>G48-C48</f>
        <v>2363425</v>
      </c>
      <c r="F48" s="6"/>
      <c r="G48" s="250">
        <f>TAXREC!E108</f>
        <v>2363425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324</v>
      </c>
      <c r="B50" s="125"/>
      <c r="C50" s="262">
        <f>C16+SUM(C20:C30)-SUM(C33:C48)</f>
        <v>748303.3806187976</v>
      </c>
      <c r="D50" s="102"/>
      <c r="E50" s="262">
        <f>E16+SUM(E20:E30)-SUM(E33:E48)</f>
        <v>925590.6193812024</v>
      </c>
      <c r="F50" s="413" t="s">
        <v>355</v>
      </c>
      <c r="G50" s="262">
        <f>G16+SUM(G20:G30)-SUM(G33:G48)</f>
        <v>1673894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332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335</v>
      </c>
      <c r="B53" s="127">
        <v>13</v>
      </c>
      <c r="C53" s="261">
        <f>'Tax Rates'!F16</f>
        <v>0.3862</v>
      </c>
      <c r="D53" s="102"/>
      <c r="E53" s="267" t="e">
        <f>+G53-C53</f>
        <v>#DIV/0!</v>
      </c>
      <c r="F53" s="114"/>
      <c r="G53" s="455" t="e">
        <f>TAXREC!E151</f>
        <v>#DIV/0!</v>
      </c>
      <c r="H53" s="151"/>
      <c r="I53" s="452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288994.76559497963</v>
      </c>
      <c r="D55" s="102"/>
      <c r="E55" s="266">
        <f>G55-C55</f>
        <v>-266753.76559497963</v>
      </c>
      <c r="F55" s="413" t="s">
        <v>356</v>
      </c>
      <c r="G55" s="263">
        <f>TAXREC!E144</f>
        <v>22241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13" t="s">
        <v>356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288994.76559497963</v>
      </c>
      <c r="D60" s="133"/>
      <c r="E60" s="268">
        <f>+E55-E58</f>
        <v>-266753.76559497963</v>
      </c>
      <c r="F60" s="413" t="s">
        <v>356</v>
      </c>
      <c r="G60" s="268">
        <f>+G55-G58</f>
        <v>22241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12710037</v>
      </c>
      <c r="D66" s="102"/>
      <c r="E66" s="266">
        <f>G66-C66</f>
        <v>5898056</v>
      </c>
      <c r="F66" s="6"/>
      <c r="G66" s="457">
        <v>18608093</v>
      </c>
      <c r="H66" s="151"/>
      <c r="I66" s="458"/>
    </row>
    <row r="67" spans="1:10" ht="12.75">
      <c r="A67" s="486" t="s">
        <v>478</v>
      </c>
      <c r="B67" s="125">
        <v>16</v>
      </c>
      <c r="C67" s="259">
        <f>IF(C66&gt;0,'Tax Rates'!C21,0)</f>
        <v>5000000</v>
      </c>
      <c r="D67" s="102"/>
      <c r="E67" s="266">
        <f>G67-C67</f>
        <v>-22686</v>
      </c>
      <c r="F67" s="6"/>
      <c r="G67" s="266">
        <v>4977314</v>
      </c>
      <c r="H67" s="151"/>
      <c r="I67" s="458"/>
      <c r="J67" s="472"/>
    </row>
    <row r="68" spans="1:8" ht="12.75">
      <c r="A68" s="152" t="s">
        <v>42</v>
      </c>
      <c r="B68" s="125"/>
      <c r="C68" s="263">
        <f>IF((C66-C67)&gt;0,C66-C67,0)</f>
        <v>7710037</v>
      </c>
      <c r="D68" s="102"/>
      <c r="E68" s="266">
        <f>SUM(E66:E67)</f>
        <v>5875370</v>
      </c>
      <c r="F68" s="114"/>
      <c r="G68" s="263">
        <f>G66-G67</f>
        <v>13630779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486" t="s">
        <v>479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313</v>
      </c>
      <c r="B72" s="125"/>
      <c r="C72" s="263">
        <f>IF(C68&gt;0,C68*C70,0)*REGINFO!$B$6/REGINFO!$B$7</f>
        <v>23130.111</v>
      </c>
      <c r="D72" s="101"/>
      <c r="E72" s="266">
        <f>+G72-C72</f>
        <v>3525.2259999999987</v>
      </c>
      <c r="F72" s="459"/>
      <c r="G72" s="263">
        <f>(IF(G68&gt;0,G68*G70,0)*REGINFO!$B$6/REGINFO!$B$7)-14237</f>
        <v>26655.337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12710037</v>
      </c>
      <c r="D75" s="102"/>
      <c r="E75" s="266">
        <f>+G75-C75</f>
        <v>-12710037</v>
      </c>
      <c r="F75" s="6"/>
      <c r="G75" s="457"/>
      <c r="H75" s="151"/>
      <c r="I75" s="458"/>
    </row>
    <row r="76" spans="1:9" ht="12.75">
      <c r="A76" s="486" t="s">
        <v>478</v>
      </c>
      <c r="B76" s="125">
        <v>19</v>
      </c>
      <c r="C76" s="259">
        <f>IF(C75&gt;0,'Tax Rates'!C22,0)</f>
        <v>10000000</v>
      </c>
      <c r="D76" s="18"/>
      <c r="E76" s="266">
        <f>+G76-C76</f>
        <v>-10000000</v>
      </c>
      <c r="F76" s="6"/>
      <c r="G76" s="266"/>
      <c r="H76" s="151"/>
      <c r="I76" s="458"/>
    </row>
    <row r="77" spans="1:8" ht="12.75">
      <c r="A77" s="152" t="s">
        <v>42</v>
      </c>
      <c r="B77" s="125"/>
      <c r="C77" s="263">
        <f>IF((C75-C76)&gt;0,C75-C76,0)</f>
        <v>2710037</v>
      </c>
      <c r="D77" s="19"/>
      <c r="E77" s="266">
        <f>SUM(E75:E76)</f>
        <v>-22710037</v>
      </c>
      <c r="F77" s="114"/>
      <c r="G77" s="263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486" t="s">
        <v>480</v>
      </c>
      <c r="B79" s="125">
        <v>20</v>
      </c>
      <c r="C79" s="300">
        <f>'Tax Rates'!C19</f>
        <v>0.00225</v>
      </c>
      <c r="D79" s="102"/>
      <c r="E79" s="267">
        <f>G79-C79</f>
        <v>-0.0002499999999999998</v>
      </c>
      <c r="F79" s="6"/>
      <c r="G79" s="267">
        <f>'Tax Rates'!C37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314</v>
      </c>
      <c r="B81" s="125"/>
      <c r="C81" s="263">
        <f>IF(C77&gt;0,C77*C79,0)*REGINFO!$B$6/REGINFO!$B$7</f>
        <v>6097.583249999999</v>
      </c>
      <c r="D81" s="102"/>
      <c r="E81" s="266">
        <f>+G81-C81</f>
        <v>-6097.583249999999</v>
      </c>
      <c r="F81" s="6"/>
      <c r="G81" s="263">
        <f>G77*G79*B9/B10</f>
        <v>0</v>
      </c>
      <c r="H81" s="151"/>
    </row>
    <row r="82" spans="1:8" ht="12.75">
      <c r="A82" s="152" t="s">
        <v>315</v>
      </c>
      <c r="B82" s="125">
        <v>21</v>
      </c>
      <c r="C82" s="299">
        <f>IF(C77&gt;0,IF(C60&gt;0,C50*'Tax Rates'!C20,0),0)</f>
        <v>8380.997862930533</v>
      </c>
      <c r="D82" s="102"/>
      <c r="E82" s="266">
        <f>+G82-C82</f>
        <v>10366.614937069466</v>
      </c>
      <c r="F82" s="6"/>
      <c r="G82" s="299">
        <f>'Tax Rates'!C38*TAXREC!C134</f>
        <v>18747.6128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-2283.4146129305345</v>
      </c>
      <c r="D84" s="16"/>
      <c r="E84" s="266">
        <f>E81-E82</f>
        <v>-16464.198187069465</v>
      </c>
      <c r="F84" s="103"/>
      <c r="G84" s="263"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226</v>
      </c>
      <c r="B88" s="125"/>
      <c r="C88" s="261">
        <f>'Tax Rates'!F16-'Tax Rates'!C20</f>
        <v>0.375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357</v>
      </c>
      <c r="B90" s="127">
        <v>22</v>
      </c>
      <c r="C90" s="263">
        <f>C60/(1-C88)</f>
        <v>462391.6249519674</v>
      </c>
      <c r="D90" s="20"/>
      <c r="E90" s="139"/>
      <c r="F90" s="412" t="s">
        <v>465</v>
      </c>
      <c r="G90" s="269">
        <f>TAXREC!E156</f>
        <v>22241</v>
      </c>
      <c r="H90" s="151"/>
    </row>
    <row r="91" spans="1:8" ht="12.75">
      <c r="A91" s="158" t="s">
        <v>358</v>
      </c>
      <c r="B91" s="127">
        <v>23</v>
      </c>
      <c r="C91" s="263">
        <v>8437</v>
      </c>
      <c r="D91" s="20"/>
      <c r="E91" s="139"/>
      <c r="F91" s="412" t="s">
        <v>465</v>
      </c>
      <c r="G91" s="269">
        <f>TAXREC!E158</f>
        <v>0</v>
      </c>
      <c r="H91" s="151"/>
    </row>
    <row r="92" spans="1:8" ht="12.75">
      <c r="A92" s="158" t="s">
        <v>342</v>
      </c>
      <c r="B92" s="127">
        <v>24</v>
      </c>
      <c r="C92" s="263">
        <f>C72</f>
        <v>23130.111</v>
      </c>
      <c r="D92" s="20"/>
      <c r="E92" s="139"/>
      <c r="F92" s="412" t="s">
        <v>465</v>
      </c>
      <c r="G92" s="269">
        <f>TAXREC!E157</f>
        <v>26655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457</v>
      </c>
      <c r="B95" s="125">
        <v>25</v>
      </c>
      <c r="C95" s="268">
        <f>SUM(C90:C93)</f>
        <v>493958.73595196736</v>
      </c>
      <c r="D95" s="6"/>
      <c r="E95" s="139"/>
      <c r="F95" s="412" t="s">
        <v>465</v>
      </c>
      <c r="G95" s="395">
        <f>SUM(G90:G94)</f>
        <v>48896</v>
      </c>
      <c r="H95" s="164"/>
    </row>
    <row r="96" spans="1:8" ht="12.75">
      <c r="A96" s="386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199"/>
      <c r="H100" s="164"/>
    </row>
    <row r="101" spans="1:8" ht="12.75">
      <c r="A101" s="156" t="s">
        <v>341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55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99</v>
      </c>
      <c r="B104" s="127">
        <v>4</v>
      </c>
      <c r="C104" s="112"/>
      <c r="D104" s="3"/>
      <c r="E104" s="250">
        <f>E23</f>
        <v>1814000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>
        <f>E24</f>
        <v>-420149</v>
      </c>
      <c r="F105" s="37"/>
      <c r="G105" s="200"/>
      <c r="H105" s="164"/>
    </row>
    <row r="106" spans="1:8" ht="12.75">
      <c r="A106" s="158" t="s">
        <v>351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352</v>
      </c>
      <c r="B107" s="127">
        <v>6</v>
      </c>
      <c r="C107" s="112"/>
      <c r="D107" s="3"/>
      <c r="E107" s="250">
        <f>E28</f>
        <v>109562</v>
      </c>
      <c r="F107" s="37"/>
      <c r="G107" s="200"/>
      <c r="H107" s="164"/>
    </row>
    <row r="108" spans="1:8" ht="12.75">
      <c r="A108" s="156" t="s">
        <v>350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56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-96676</v>
      </c>
      <c r="F111" s="37"/>
      <c r="G111" s="200"/>
      <c r="H111" s="164"/>
    </row>
    <row r="112" spans="1:8" ht="12.75">
      <c r="A112" s="155" t="s">
        <v>461</v>
      </c>
      <c r="B112" s="127">
        <v>11</v>
      </c>
      <c r="C112" s="112"/>
      <c r="D112" s="3"/>
      <c r="E112" s="454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100</v>
      </c>
      <c r="B114" s="125">
        <v>4</v>
      </c>
      <c r="C114" s="112"/>
      <c r="D114" s="3"/>
      <c r="E114" s="250">
        <f>E39</f>
        <v>1872951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353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354</v>
      </c>
      <c r="B118" s="127">
        <v>12</v>
      </c>
      <c r="C118" s="112"/>
      <c r="D118" s="3"/>
      <c r="E118" s="250">
        <f>E46</f>
        <v>98606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219</v>
      </c>
      <c r="B120" s="127">
        <v>26</v>
      </c>
      <c r="C120" s="112"/>
      <c r="D120" s="117" t="s">
        <v>188</v>
      </c>
      <c r="E120" s="263">
        <f>SUM(E102:E107)-SUM(E109:E118)</f>
        <v>-371468</v>
      </c>
      <c r="F120" s="37"/>
      <c r="G120" s="200"/>
      <c r="H120" s="164"/>
      <c r="I120" s="483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477" t="s">
        <v>474</v>
      </c>
      <c r="B122" s="127"/>
      <c r="C122" s="112"/>
      <c r="D122" s="3" t="s">
        <v>230</v>
      </c>
      <c r="E122" s="489">
        <v>0.2595</v>
      </c>
      <c r="F122" s="452"/>
      <c r="G122" s="200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101</v>
      </c>
      <c r="H123" s="164"/>
    </row>
    <row r="124" spans="1:8" ht="12.75">
      <c r="A124" s="158" t="s">
        <v>245</v>
      </c>
      <c r="B124" s="127"/>
      <c r="C124" s="112"/>
      <c r="D124" s="3" t="s">
        <v>188</v>
      </c>
      <c r="E124" s="263">
        <f>E120*E122</f>
        <v>-96395.946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3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116</v>
      </c>
      <c r="B128" s="127"/>
      <c r="C128" s="112"/>
      <c r="D128" s="3"/>
      <c r="E128" s="263">
        <f>E124-E126</f>
        <v>-96395.946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195</v>
      </c>
      <c r="B130" s="127"/>
      <c r="C130" s="112"/>
      <c r="D130" s="3"/>
      <c r="E130" s="489">
        <f>E122-0.0112</f>
        <v>0.24830000000000002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343</v>
      </c>
      <c r="B132" s="130"/>
      <c r="C132" s="112"/>
      <c r="D132" s="3"/>
      <c r="E132" s="466">
        <f>E128/(1-E130)</f>
        <v>-128237.25688439536</v>
      </c>
      <c r="F132" s="37"/>
      <c r="G132" s="200"/>
      <c r="H132" s="164"/>
      <c r="I132" s="483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346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234</v>
      </c>
      <c r="B136" s="130"/>
      <c r="C136" s="112"/>
      <c r="D136" s="118" t="s">
        <v>188</v>
      </c>
      <c r="E136" s="301">
        <f>C50</f>
        <v>748303.3806187976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1">
        <v>0.2595</v>
      </c>
      <c r="F138" s="196" t="s">
        <v>101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228</v>
      </c>
      <c r="B140" s="130"/>
      <c r="C140" s="112"/>
      <c r="D140" s="118" t="s">
        <v>188</v>
      </c>
      <c r="E140" s="302">
        <f>IF(E136&gt;0,E136*E138,0)</f>
        <v>194184.72727057798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237</v>
      </c>
      <c r="B142" s="130"/>
      <c r="C142" s="112"/>
      <c r="D142" s="118" t="s">
        <v>187</v>
      </c>
      <c r="E142" s="303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229</v>
      </c>
      <c r="B144" s="130"/>
      <c r="C144" s="112"/>
      <c r="D144" s="119" t="s">
        <v>188</v>
      </c>
      <c r="E144" s="301">
        <f>E140-E142</f>
        <v>194184.72727057798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238</v>
      </c>
      <c r="B146" s="130"/>
      <c r="C146" s="112"/>
      <c r="D146" s="118" t="s">
        <v>187</v>
      </c>
      <c r="E146" s="301">
        <f>C60</f>
        <v>288994.76559497963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231</v>
      </c>
      <c r="B148" s="130"/>
      <c r="C148" s="112"/>
      <c r="D148" s="118" t="s">
        <v>188</v>
      </c>
      <c r="E148" s="301">
        <f>(E144-E146)</f>
        <v>-94810.03832440166</v>
      </c>
      <c r="F148" s="475"/>
      <c r="G148" s="200"/>
      <c r="H148" s="164"/>
      <c r="I148" s="475"/>
    </row>
    <row r="149" spans="1:8" ht="12.75">
      <c r="A149" s="171"/>
      <c r="B149" s="130"/>
      <c r="C149" s="112"/>
      <c r="D149" s="119"/>
      <c r="E149" s="144"/>
      <c r="F149" s="475"/>
      <c r="G149" s="200"/>
      <c r="H149" s="164"/>
    </row>
    <row r="150" spans="1:8" ht="12.75">
      <c r="A150" s="369" t="s">
        <v>20</v>
      </c>
      <c r="B150" s="130"/>
      <c r="C150" s="112"/>
      <c r="D150" s="119"/>
      <c r="E150" s="462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1">
        <f>C66</f>
        <v>12710037</v>
      </c>
      <c r="F151" s="37"/>
      <c r="G151" s="200"/>
      <c r="H151" s="164"/>
    </row>
    <row r="152" spans="1:8" ht="12.75">
      <c r="A152" s="171" t="s">
        <v>349</v>
      </c>
      <c r="B152" s="130"/>
      <c r="C152" s="112"/>
      <c r="D152" s="118" t="s">
        <v>187</v>
      </c>
      <c r="E152" s="304">
        <f>IF(E151&gt;0,'Tax Rates'!C39,0)</f>
        <v>5000000</v>
      </c>
      <c r="F152" s="37"/>
      <c r="G152" s="200"/>
      <c r="H152" s="164"/>
    </row>
    <row r="153" spans="1:8" ht="12.75">
      <c r="A153" s="171" t="s">
        <v>232</v>
      </c>
      <c r="B153" s="130"/>
      <c r="C153" s="112"/>
      <c r="D153" s="118" t="s">
        <v>188</v>
      </c>
      <c r="E153" s="301">
        <f>E151-E152</f>
        <v>7710037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6" t="s">
        <v>472</v>
      </c>
      <c r="B155" s="130"/>
      <c r="C155" s="112"/>
      <c r="D155" s="119" t="s">
        <v>230</v>
      </c>
      <c r="E155" s="305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233</v>
      </c>
      <c r="B157" s="130"/>
      <c r="C157" s="112"/>
      <c r="D157" s="119" t="s">
        <v>188</v>
      </c>
      <c r="E157" s="301">
        <f>IF(E153&gt;0,E153*E155*B9/B10,0)</f>
        <v>23130.111</v>
      </c>
      <c r="F157" s="37"/>
      <c r="G157" s="200"/>
      <c r="H157" s="164"/>
    </row>
    <row r="158" spans="1:8" ht="25.5">
      <c r="A158" s="171" t="s">
        <v>306</v>
      </c>
      <c r="B158" s="130"/>
      <c r="C158" s="112"/>
      <c r="D158" s="118" t="s">
        <v>187</v>
      </c>
      <c r="E158" s="304">
        <f>C72</f>
        <v>23130.111</v>
      </c>
      <c r="F158" s="37"/>
      <c r="G158" s="200"/>
      <c r="H158" s="164"/>
    </row>
    <row r="159" spans="1:9" ht="12.75" customHeight="1">
      <c r="A159" s="172" t="s">
        <v>243</v>
      </c>
      <c r="B159" s="130"/>
      <c r="C159" s="112"/>
      <c r="D159" s="118" t="s">
        <v>188</v>
      </c>
      <c r="E159" s="456">
        <f>E157-E158</f>
        <v>0</v>
      </c>
      <c r="F159" s="37"/>
      <c r="G159" s="200"/>
      <c r="H159" s="164"/>
      <c r="I159" s="483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69" t="s">
        <v>235</v>
      </c>
      <c r="B161" s="130"/>
      <c r="C161" s="112"/>
      <c r="D161" s="119"/>
      <c r="E161" s="303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12710037</v>
      </c>
      <c r="F162" s="37"/>
      <c r="G162" s="200"/>
      <c r="H162" s="164"/>
    </row>
    <row r="163" spans="1:9" ht="12.75">
      <c r="A163" s="171" t="s">
        <v>348</v>
      </c>
      <c r="B163" s="130"/>
      <c r="C163" s="112"/>
      <c r="D163" s="118" t="s">
        <v>187</v>
      </c>
      <c r="E163" s="304">
        <f>IF(E162&gt;0,'Tax Rates'!C40,0)</f>
        <v>50000000</v>
      </c>
      <c r="F163" s="37"/>
      <c r="G163" s="200"/>
      <c r="H163" s="164"/>
      <c r="I163" s="483"/>
    </row>
    <row r="164" spans="1:8" ht="12.75">
      <c r="A164" s="171" t="s">
        <v>239</v>
      </c>
      <c r="B164" s="130"/>
      <c r="C164" s="112"/>
      <c r="D164" s="119" t="s">
        <v>188</v>
      </c>
      <c r="E164" s="301">
        <f>E162-E163</f>
        <v>-37289963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6" t="s">
        <v>471</v>
      </c>
      <c r="B166" s="130"/>
      <c r="C166" s="112"/>
      <c r="D166" s="119"/>
      <c r="E166" s="305">
        <f>'Tax Rates'!C36</f>
        <v>0.003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240</v>
      </c>
      <c r="B168" s="130"/>
      <c r="C168" s="112"/>
      <c r="D168" s="119"/>
      <c r="E168" s="301">
        <f>IF(E164&gt;0,E164*E166*B9/B10,0)</f>
        <v>0</v>
      </c>
      <c r="F168" s="37"/>
      <c r="G168" s="200"/>
      <c r="H168" s="164"/>
    </row>
    <row r="169" spans="1:8" ht="12.75">
      <c r="A169" s="171" t="s">
        <v>316</v>
      </c>
      <c r="B169" s="130"/>
      <c r="C169" s="112"/>
      <c r="D169" s="118" t="s">
        <v>187</v>
      </c>
      <c r="E169" s="306">
        <f>'Tax Rates'!C38*TAXREC!C134</f>
        <v>18747.6128</v>
      </c>
      <c r="F169" s="37"/>
      <c r="G169" s="200"/>
      <c r="H169" s="164"/>
    </row>
    <row r="170" spans="1:8" ht="12.75">
      <c r="A170" s="171" t="s">
        <v>241</v>
      </c>
      <c r="B170" s="130"/>
      <c r="C170" s="112"/>
      <c r="D170" s="119" t="s">
        <v>188</v>
      </c>
      <c r="E170" s="301"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6" t="s">
        <v>491</v>
      </c>
      <c r="B172" s="130"/>
      <c r="C172" s="112"/>
      <c r="D172" s="118" t="s">
        <v>187</v>
      </c>
      <c r="E172" s="304">
        <f>C91</f>
        <v>8437</v>
      </c>
      <c r="F172" s="37"/>
      <c r="G172" s="200"/>
      <c r="H172" s="164"/>
    </row>
    <row r="173" spans="1:8" ht="12.75">
      <c r="A173" s="155" t="s">
        <v>244</v>
      </c>
      <c r="B173" s="130"/>
      <c r="C173" s="112"/>
      <c r="D173" s="119" t="s">
        <v>188</v>
      </c>
      <c r="E173" s="456">
        <f>E170-E172</f>
        <v>-8437</v>
      </c>
      <c r="F173" s="37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9" ht="12.75">
      <c r="A175" s="155" t="s">
        <v>340</v>
      </c>
      <c r="B175" s="130"/>
      <c r="C175" s="112"/>
      <c r="D175" s="119"/>
      <c r="E175" s="451">
        <f>E138-0.0112</f>
        <v>0.24830000000000002</v>
      </c>
      <c r="F175" s="452"/>
      <c r="G175" s="200"/>
      <c r="H175" s="164"/>
      <c r="I175" s="475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5"/>
    </row>
    <row r="177" spans="1:9" ht="12.75">
      <c r="A177" s="168" t="s">
        <v>242</v>
      </c>
      <c r="B177" s="130"/>
      <c r="C177" s="112"/>
      <c r="D177" s="119" t="s">
        <v>186</v>
      </c>
      <c r="E177" s="301">
        <f>E148/(1-E175)</f>
        <v>-126127.49544286504</v>
      </c>
      <c r="F177" s="37"/>
      <c r="G177" s="200"/>
      <c r="H177" s="164"/>
      <c r="I177" s="475"/>
    </row>
    <row r="178" spans="1:9" ht="12.75">
      <c r="A178" s="168" t="s">
        <v>33</v>
      </c>
      <c r="B178" s="130"/>
      <c r="C178" s="112"/>
      <c r="D178" s="119" t="s">
        <v>186</v>
      </c>
      <c r="E178" s="301">
        <f>-C91</f>
        <v>-8437</v>
      </c>
      <c r="F178" s="475"/>
      <c r="G178" s="200"/>
      <c r="H178" s="164"/>
      <c r="I178" s="475"/>
    </row>
    <row r="179" spans="1:8" ht="12.75">
      <c r="A179" s="168" t="s">
        <v>20</v>
      </c>
      <c r="B179" s="130"/>
      <c r="C179" s="112"/>
      <c r="D179" s="119" t="s">
        <v>186</v>
      </c>
      <c r="E179" s="301">
        <f>E159</f>
        <v>0</v>
      </c>
      <c r="F179" s="475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344</v>
      </c>
      <c r="B181" s="130"/>
      <c r="C181" s="112"/>
      <c r="D181" s="119" t="s">
        <v>188</v>
      </c>
      <c r="E181" s="465">
        <f>SUM(E177:E179)</f>
        <v>-134564.49544286504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460</v>
      </c>
      <c r="B183" s="130"/>
      <c r="C183" s="112"/>
      <c r="D183" s="119" t="s">
        <v>186</v>
      </c>
      <c r="E183" s="465">
        <f>E132</f>
        <v>-128237.25688439536</v>
      </c>
      <c r="F183" s="37" t="s">
        <v>101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478" t="s">
        <v>345</v>
      </c>
      <c r="B185" s="130"/>
      <c r="C185" s="112"/>
      <c r="D185" s="119" t="s">
        <v>188</v>
      </c>
      <c r="E185" s="484">
        <f>E181+E183</f>
        <v>-262801.7523272604</v>
      </c>
      <c r="F185" s="37"/>
      <c r="G185" s="200"/>
      <c r="H185" s="164"/>
    </row>
    <row r="186" spans="1:8" ht="12.75">
      <c r="A186" s="479" t="s">
        <v>247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7">
        <f>REGINFO!D62</f>
        <v>460738.84124999994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7">
        <f>REGINFO!D66</f>
        <v>327503.6193812025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338</v>
      </c>
      <c r="B196" s="127"/>
      <c r="C196" s="112"/>
      <c r="D196" s="120"/>
      <c r="E196" s="307">
        <f>E193-E194</f>
        <v>133235.22186879744</v>
      </c>
      <c r="F196" s="3"/>
      <c r="G196" s="123"/>
      <c r="H196" s="164"/>
    </row>
    <row r="197" spans="1:8" ht="12.75">
      <c r="A197" s="155" t="s">
        <v>339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70"/>
      <c r="H199" s="164"/>
    </row>
    <row r="200" spans="1:8" ht="12.75">
      <c r="A200" s="175" t="s">
        <v>84</v>
      </c>
      <c r="B200" s="127"/>
      <c r="C200" s="112"/>
      <c r="D200" s="120"/>
      <c r="E200" s="147"/>
      <c r="H200" s="164"/>
    </row>
    <row r="201" spans="1:8" ht="12.75">
      <c r="A201" s="155" t="s">
        <v>251</v>
      </c>
      <c r="B201" s="127"/>
      <c r="C201" s="112"/>
      <c r="D201" s="120"/>
      <c r="E201" s="491">
        <f>321877</f>
        <v>321877</v>
      </c>
      <c r="F201" s="490" t="s">
        <v>493</v>
      </c>
      <c r="G201" s="470"/>
      <c r="H201" s="164"/>
    </row>
    <row r="202" spans="1:8" ht="12.75">
      <c r="A202" s="477" t="s">
        <v>473</v>
      </c>
      <c r="B202" s="127"/>
      <c r="C202" s="112"/>
      <c r="D202" s="120"/>
      <c r="E202" s="471">
        <f>REGINFO!D62</f>
        <v>460738.84124999994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462</v>
      </c>
      <c r="B206" s="127"/>
      <c r="C206" s="112"/>
      <c r="D206" s="120"/>
      <c r="E206" s="453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224</v>
      </c>
      <c r="B208" s="177"/>
      <c r="C208" s="178"/>
      <c r="D208" s="179"/>
      <c r="E208" s="308">
        <f>+E196-E204</f>
        <v>133235.22186879744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3" horizontalDpi="600" verticalDpi="600" orientation="portrait" scale="47" r:id="rId3"/>
  <rowBreaks count="2" manualBreakCount="2">
    <brk id="97" max="7" man="1"/>
    <brk id="18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BreakPreview" zoomScale="60" zoomScaleNormal="90" zoomScalePageLayoutView="0" workbookViewId="0" topLeftCell="A100">
      <selection activeCell="C157" sqref="C15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Brant County Power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7">
        <f>REGINFO!B6</f>
        <v>366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68">
        <f>Ratebase*REGINFO!D33*0.0025</f>
        <v>15887.546250000001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8" t="s">
        <v>227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63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2" t="s">
        <v>322</v>
      </c>
      <c r="B23" s="383"/>
      <c r="C23" s="384"/>
      <c r="D23" s="385"/>
      <c r="E23" s="28"/>
      <c r="F23" s="11"/>
      <c r="G23" s="11"/>
      <c r="H23" s="6"/>
      <c r="I23" s="6"/>
    </row>
    <row r="24" spans="1:9" ht="12.75">
      <c r="A24" s="382" t="s">
        <v>258</v>
      </c>
      <c r="B24" s="383"/>
      <c r="C24" s="384"/>
      <c r="D24" s="385"/>
      <c r="E24" s="28"/>
      <c r="F24" s="11"/>
      <c r="G24" s="11"/>
      <c r="H24" s="6"/>
      <c r="I24" s="6"/>
    </row>
    <row r="25" spans="1:9" ht="12.75">
      <c r="A25" s="382" t="s">
        <v>222</v>
      </c>
      <c r="B25" s="383"/>
      <c r="C25" s="384"/>
      <c r="D25" s="385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2" t="s">
        <v>320</v>
      </c>
      <c r="B27" s="383"/>
      <c r="C27" s="384"/>
      <c r="D27" s="385"/>
      <c r="E27" s="28"/>
      <c r="F27" s="11"/>
      <c r="G27" s="11"/>
      <c r="H27" s="6"/>
      <c r="I27" s="6"/>
    </row>
    <row r="28" spans="1:9" ht="12.75">
      <c r="A28" s="382" t="s">
        <v>321</v>
      </c>
      <c r="B28" s="383"/>
      <c r="C28" s="384"/>
      <c r="D28" s="38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273</v>
      </c>
      <c r="B31" s="23" t="s">
        <v>186</v>
      </c>
      <c r="C31" s="284">
        <v>17611558</v>
      </c>
      <c r="D31" s="285"/>
      <c r="E31" s="283">
        <f>C31-D31</f>
        <v>17611558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4">
        <v>4267794</v>
      </c>
      <c r="D32" s="285"/>
      <c r="E32" s="283">
        <f>C32-D32</f>
        <v>4267794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4">
        <v>555816</v>
      </c>
      <c r="D33" s="285"/>
      <c r="E33" s="283">
        <f>C33-D33</f>
        <v>555816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4">
        <f>37575+58951</f>
        <v>96526</v>
      </c>
      <c r="D34" s="285"/>
      <c r="E34" s="283">
        <f>C34-D34</f>
        <v>96526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4">
        <v>17611558</v>
      </c>
      <c r="D39" s="285"/>
      <c r="E39" s="283">
        <f>C39-D39</f>
        <v>17611558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4">
        <f>865930+22784</f>
        <v>888714</v>
      </c>
      <c r="D40" s="285"/>
      <c r="E40" s="283">
        <f aca="true" t="shared" si="0" ref="E40:E48">C40-D40</f>
        <v>888714</v>
      </c>
      <c r="F40" s="11"/>
      <c r="G40" s="11"/>
      <c r="H40" s="6"/>
      <c r="I40" s="6"/>
    </row>
    <row r="41" spans="1:9" ht="12.75">
      <c r="A41" s="4" t="s">
        <v>274</v>
      </c>
      <c r="B41" s="23" t="s">
        <v>187</v>
      </c>
      <c r="C41" s="284">
        <v>916970</v>
      </c>
      <c r="D41" s="285"/>
      <c r="E41" s="283">
        <f t="shared" si="0"/>
        <v>916970</v>
      </c>
      <c r="F41" s="11"/>
      <c r="G41" s="11"/>
      <c r="H41" s="6"/>
      <c r="I41" s="6"/>
    </row>
    <row r="42" spans="1:9" ht="12.75">
      <c r="A42" s="4" t="s">
        <v>275</v>
      </c>
      <c r="B42" s="23" t="s">
        <v>187</v>
      </c>
      <c r="C42" s="284">
        <v>1270375</v>
      </c>
      <c r="D42" s="285"/>
      <c r="E42" s="283">
        <f t="shared" si="0"/>
        <v>1270375</v>
      </c>
      <c r="F42" s="11"/>
      <c r="G42" s="11"/>
      <c r="H42" s="6"/>
      <c r="I42" s="6"/>
    </row>
    <row r="43" spans="1:9" ht="12.75">
      <c r="A43" s="4" t="s">
        <v>276</v>
      </c>
      <c r="B43" s="23" t="s">
        <v>187</v>
      </c>
      <c r="C43" s="284">
        <v>763664</v>
      </c>
      <c r="D43" s="285"/>
      <c r="E43" s="283">
        <f t="shared" si="0"/>
        <v>763664</v>
      </c>
      <c r="F43" s="11"/>
      <c r="G43" s="11"/>
      <c r="H43" s="6"/>
      <c r="I43" s="6"/>
    </row>
    <row r="44" spans="1:9" ht="12.75">
      <c r="A44" s="4" t="s">
        <v>277</v>
      </c>
      <c r="B44" s="23" t="s">
        <v>187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85" t="s">
        <v>476</v>
      </c>
      <c r="B45" s="23" t="s">
        <v>187</v>
      </c>
      <c r="C45" s="284"/>
      <c r="D45" s="285"/>
      <c r="E45" s="283">
        <f t="shared" si="0"/>
        <v>0</v>
      </c>
      <c r="F45" s="11"/>
      <c r="G45" s="473"/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0">
        <f>SUM(C31:C36)-SUM(C39:C49)</f>
        <v>1080413</v>
      </c>
      <c r="D50" s="280">
        <f>SUM(D31:D36)-SUM(D39:D49)</f>
        <v>0</v>
      </c>
      <c r="E50" s="280">
        <f>SUM(E31:E35)-SUM(E39:E48)</f>
        <v>1080413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284">
        <f>2435+321877</f>
        <v>324312</v>
      </c>
      <c r="D51" s="284"/>
      <c r="E51" s="281">
        <f>+C51-D51</f>
        <v>324312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4">
        <v>40057</v>
      </c>
      <c r="D52" s="284"/>
      <c r="E52" s="282">
        <f>+C52-D52</f>
        <v>40057</v>
      </c>
      <c r="F52" s="8"/>
      <c r="G52" s="397"/>
    </row>
    <row r="53" spans="1:6" ht="12.75">
      <c r="A53" s="2" t="s">
        <v>130</v>
      </c>
      <c r="B53" s="8" t="s">
        <v>188</v>
      </c>
      <c r="C53" s="280">
        <f>C50-C51-C52</f>
        <v>716044</v>
      </c>
      <c r="D53" s="280">
        <f>D50-D51-D52</f>
        <v>0</v>
      </c>
      <c r="E53" s="280">
        <f>E50-E51-E52</f>
        <v>716044</v>
      </c>
      <c r="F53" s="8"/>
    </row>
    <row r="54" spans="1:6" ht="36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6">
        <f>C52</f>
        <v>40057</v>
      </c>
      <c r="D59" s="286">
        <f>D52</f>
        <v>0</v>
      </c>
      <c r="E59" s="271">
        <f>+C59-D59</f>
        <v>40057</v>
      </c>
      <c r="F59" s="8"/>
      <c r="G59" s="397"/>
    </row>
    <row r="60" spans="1:6" ht="12.75">
      <c r="A60" s="4" t="s">
        <v>323</v>
      </c>
      <c r="B60" s="8" t="s">
        <v>186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186</v>
      </c>
      <c r="C61" s="286">
        <f>C43+136260</f>
        <v>899924</v>
      </c>
      <c r="D61" s="286">
        <f>D43</f>
        <v>0</v>
      </c>
      <c r="E61" s="271">
        <f>+C61-D61</f>
        <v>899924</v>
      </c>
      <c r="F61" s="8"/>
      <c r="G61" s="397"/>
    </row>
    <row r="62" spans="1:6" ht="12.75">
      <c r="A62" t="s">
        <v>6</v>
      </c>
      <c r="B62" s="8" t="s">
        <v>186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278</v>
      </c>
      <c r="B63" s="8" t="s">
        <v>186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51</v>
      </c>
      <c r="B64" s="8" t="s">
        <v>186</v>
      </c>
      <c r="C64" s="315">
        <f>'Tax Reserves'!C63</f>
        <v>1814000</v>
      </c>
      <c r="D64" s="316">
        <f>'Tax Reserves'!D63</f>
        <v>0</v>
      </c>
      <c r="E64" s="271">
        <f>+C64-D64</f>
        <v>1814000</v>
      </c>
      <c r="F64" s="8"/>
    </row>
    <row r="65" spans="1:6" ht="12.75">
      <c r="A65" t="s">
        <v>429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49" t="s">
        <v>380</v>
      </c>
      <c r="B66" s="8"/>
      <c r="C66" s="428">
        <f>'TAXREC 3 No True-up'!C47</f>
        <v>3281502</v>
      </c>
      <c r="D66" s="428">
        <f>'TAXREC 3 No True-up'!D47</f>
        <v>0</v>
      </c>
      <c r="E66" s="271">
        <f>+C66-D66</f>
        <v>3281502</v>
      </c>
      <c r="F66" s="8"/>
    </row>
    <row r="67" spans="1:6" ht="12.75">
      <c r="A67" t="s">
        <v>159</v>
      </c>
      <c r="B67" s="8" t="s">
        <v>186</v>
      </c>
      <c r="C67" s="250">
        <f>'TAXREC 2'!C77</f>
        <v>109562</v>
      </c>
      <c r="D67" s="250">
        <f>'TAXREC 2'!D77</f>
        <v>0</v>
      </c>
      <c r="E67" s="271">
        <f>+C67-D67</f>
        <v>109562</v>
      </c>
      <c r="F67" s="8"/>
    </row>
    <row r="68" spans="1:11" ht="12.75">
      <c r="A68" t="s">
        <v>160</v>
      </c>
      <c r="B68" s="8" t="s">
        <v>186</v>
      </c>
      <c r="C68" s="250">
        <f>'TAXREC 2'!C78</f>
        <v>3653</v>
      </c>
      <c r="D68" s="250">
        <f>'TAXREC 2'!D78</f>
        <v>0</v>
      </c>
      <c r="E68" s="271">
        <f>+C68-D68</f>
        <v>3653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1">
        <f>SUM(C59:C68)</f>
        <v>6148698</v>
      </c>
      <c r="D70" s="271">
        <f>SUM(D59:D68)</f>
        <v>0</v>
      </c>
      <c r="E70" s="271">
        <f>SUM(E59:E68)</f>
        <v>6148698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186</v>
      </c>
      <c r="C76" s="464">
        <v>0</v>
      </c>
      <c r="D76" s="293"/>
      <c r="E76" s="46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0">
        <f>C70+C80</f>
        <v>6148698</v>
      </c>
      <c r="D82" s="250">
        <f>D70+D80</f>
        <v>0</v>
      </c>
      <c r="E82" s="250">
        <f>E70+E80</f>
        <v>6148698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417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3">
        <v>695744</v>
      </c>
      <c r="D97" s="293"/>
      <c r="E97" s="271">
        <f>+C97-D97</f>
        <v>695744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3">
        <v>160122</v>
      </c>
      <c r="D98" s="293"/>
      <c r="E98" s="271">
        <f>+C98-D98</f>
        <v>160122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8">
        <f>'Tax Reserves'!C50</f>
        <v>1872951</v>
      </c>
      <c r="D105" s="318">
        <f>'Tax Reserves'!D50</f>
        <v>0</v>
      </c>
      <c r="E105" s="281">
        <f t="shared" si="5"/>
        <v>1872951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9" t="s">
        <v>380</v>
      </c>
      <c r="B108" s="8"/>
      <c r="C108" s="253">
        <f>'TAXREC 3 No True-up'!C73</f>
        <v>2363425</v>
      </c>
      <c r="D108" s="253">
        <f>'TAXREC 3 No True-up'!D73</f>
        <v>0</v>
      </c>
      <c r="E108" s="271">
        <f t="shared" si="5"/>
        <v>2363425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98606</v>
      </c>
      <c r="D110" s="250">
        <f>'TAXREC 2'!D119</f>
        <v>0</v>
      </c>
      <c r="E110" s="250">
        <f>'TAXREC 2'!E119</f>
        <v>98606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0">
        <f>SUM(C97:C111)</f>
        <v>5190848</v>
      </c>
      <c r="D113" s="250">
        <f>SUM(D97:D111)</f>
        <v>0</v>
      </c>
      <c r="E113" s="250">
        <f>SUM(E97:E111)</f>
        <v>5190848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74"/>
      <c r="B117" s="8" t="s">
        <v>187</v>
      </c>
      <c r="C117" s="293"/>
      <c r="D117" s="293"/>
      <c r="E117" s="271">
        <f>+C117-D117</f>
        <v>0</v>
      </c>
      <c r="F117" s="8"/>
      <c r="G117" s="480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0">
        <f>C113+C120</f>
        <v>5190848</v>
      </c>
      <c r="D122" s="250">
        <f>D113+D120</f>
        <v>0</v>
      </c>
      <c r="E122" s="250">
        <f>+E113+E120</f>
        <v>5190848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50">
        <f>+C53+C82-C122</f>
        <v>1673894</v>
      </c>
      <c r="D134" s="250">
        <f>D53+D82-D122</f>
        <v>0</v>
      </c>
      <c r="E134" s="250">
        <f>E53+E82-E122</f>
        <v>1673894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363</v>
      </c>
      <c r="B136" s="8" t="s">
        <v>187</v>
      </c>
      <c r="C136" s="293">
        <v>1673894</v>
      </c>
      <c r="D136" s="293"/>
      <c r="E136" s="263">
        <f>C136-D136</f>
        <v>1673894</v>
      </c>
      <c r="F136" s="8"/>
      <c r="G136" s="45"/>
      <c r="H136" s="45"/>
      <c r="I136" s="45"/>
      <c r="J136" s="45"/>
      <c r="K136" s="45"/>
    </row>
    <row r="137" spans="1:11" ht="12.75">
      <c r="A137" s="46" t="s">
        <v>364</v>
      </c>
      <c r="B137" s="8" t="s">
        <v>187</v>
      </c>
      <c r="C137" s="309"/>
      <c r="D137" s="309"/>
      <c r="E137" s="37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1">
        <f>C134-C136-C137-C138</f>
        <v>0</v>
      </c>
      <c r="D139" s="251">
        <f>D134-D136-D137-D138</f>
        <v>0</v>
      </c>
      <c r="E139" s="251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186</v>
      </c>
      <c r="C142" s="297">
        <v>0</v>
      </c>
      <c r="D142" s="467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186</v>
      </c>
      <c r="C143" s="297">
        <v>22241</v>
      </c>
      <c r="D143" s="467"/>
      <c r="E143" s="291">
        <f>C143-D143</f>
        <v>22241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22241</v>
      </c>
      <c r="D144" s="251"/>
      <c r="E144" s="251">
        <f>E142+E143</f>
        <v>22241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187</v>
      </c>
      <c r="C145" s="297">
        <v>0</v>
      </c>
      <c r="D145" s="46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98</v>
      </c>
      <c r="B146" s="8" t="s">
        <v>188</v>
      </c>
      <c r="C146" s="251">
        <f>C144-C145</f>
        <v>22241</v>
      </c>
      <c r="D146" s="251">
        <f>D144-D145</f>
        <v>0</v>
      </c>
      <c r="E146" s="251">
        <f>E144-E145</f>
        <v>22241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387">
        <f>C142/C134</f>
        <v>0</v>
      </c>
      <c r="D149" s="5"/>
      <c r="E149" s="388">
        <f>C149</f>
        <v>0</v>
      </c>
      <c r="F149" s="8"/>
      <c r="G149" s="482" t="s">
        <v>475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387" t="e">
        <f>C143/C139</f>
        <v>#DIV/0!</v>
      </c>
      <c r="D150" s="5"/>
      <c r="E150" s="388" t="e">
        <f>C150</f>
        <v>#DIV/0!</v>
      </c>
      <c r="F150" s="8"/>
      <c r="G150" s="482" t="s">
        <v>475</v>
      </c>
      <c r="H150" s="45"/>
      <c r="I150" s="45"/>
      <c r="J150" s="45"/>
      <c r="K150" s="45"/>
    </row>
    <row r="151" spans="1:11" ht="12.75">
      <c r="A151" t="s">
        <v>327</v>
      </c>
      <c r="B151" s="8"/>
      <c r="C151" s="388" t="e">
        <f>SUM(C149:C150)</f>
        <v>#DIV/0!</v>
      </c>
      <c r="D151" s="5"/>
      <c r="E151" s="388" t="e">
        <f>SUM(E149:E150)</f>
        <v>#DIV/0!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347</v>
      </c>
      <c r="B153" s="8"/>
    </row>
    <row r="154" spans="1:2" ht="12.75">
      <c r="A154" s="14"/>
      <c r="B154" s="8"/>
    </row>
    <row r="155" spans="1:2" ht="12.75">
      <c r="A155" s="2" t="s">
        <v>456</v>
      </c>
      <c r="B155" s="8"/>
    </row>
    <row r="156" spans="1:5" ht="12.75">
      <c r="A156" t="s">
        <v>218</v>
      </c>
      <c r="B156" s="86" t="s">
        <v>186</v>
      </c>
      <c r="C156" s="250">
        <f>C146</f>
        <v>22241</v>
      </c>
      <c r="D156" s="250">
        <f>D146</f>
        <v>0</v>
      </c>
      <c r="E156" s="250">
        <f>E146</f>
        <v>22241</v>
      </c>
    </row>
    <row r="157" spans="1:5" ht="12.75">
      <c r="A157" t="s">
        <v>20</v>
      </c>
      <c r="B157" s="86" t="s">
        <v>186</v>
      </c>
      <c r="C157" s="461">
        <v>26655</v>
      </c>
      <c r="D157" s="250"/>
      <c r="E157" s="250">
        <f>C157+D157</f>
        <v>26655</v>
      </c>
    </row>
    <row r="158" spans="1:5" ht="12.75">
      <c r="A158" t="s">
        <v>217</v>
      </c>
      <c r="B158" s="86" t="s">
        <v>186</v>
      </c>
      <c r="C158" s="461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301</v>
      </c>
      <c r="B160" s="66" t="s">
        <v>188</v>
      </c>
      <c r="C160" s="250">
        <f>C156+C157+C158</f>
        <v>48896</v>
      </c>
      <c r="D160" s="250">
        <f>D156+D157+D158</f>
        <v>0</v>
      </c>
      <c r="E160" s="250">
        <f>E156+E157+E158</f>
        <v>48896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horizontalDpi="600" verticalDpi="600" orientation="portrait" scale="55" r:id="rId3"/>
  <rowBreaks count="1" manualBreakCount="1">
    <brk id="83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view="pageBreakPreview" zoomScale="60" zoomScaleNormal="75" zoomScalePageLayoutView="0" workbookViewId="0" topLeftCell="A1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Brant County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272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280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281</v>
      </c>
      <c r="B15" s="61"/>
      <c r="C15" s="293"/>
      <c r="D15" s="293"/>
      <c r="E15" s="250">
        <f t="shared" si="0"/>
        <v>0</v>
      </c>
    </row>
    <row r="16" spans="1:5" ht="12.75">
      <c r="A16" s="61" t="s">
        <v>282</v>
      </c>
      <c r="B16" s="61"/>
      <c r="C16" s="293"/>
      <c r="D16" s="293"/>
      <c r="E16" s="250">
        <f t="shared" si="0"/>
        <v>0</v>
      </c>
    </row>
    <row r="17" spans="1:5" ht="12.75">
      <c r="A17" s="61" t="s">
        <v>283</v>
      </c>
      <c r="B17" s="61"/>
      <c r="C17" s="293"/>
      <c r="D17" s="293"/>
      <c r="E17" s="250">
        <f t="shared" si="0"/>
        <v>0</v>
      </c>
    </row>
    <row r="18" spans="1:5" ht="12.75">
      <c r="A18" s="61" t="s">
        <v>434</v>
      </c>
      <c r="B18" s="61"/>
      <c r="C18" s="293"/>
      <c r="D18" s="293"/>
      <c r="E18" s="250">
        <f t="shared" si="0"/>
        <v>0</v>
      </c>
    </row>
    <row r="19" spans="1:5" ht="12.75">
      <c r="A19" s="61" t="s">
        <v>434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271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280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281</v>
      </c>
      <c r="B27" s="61"/>
      <c r="C27" s="293"/>
      <c r="D27" s="293"/>
      <c r="E27" s="250">
        <f t="shared" si="1"/>
        <v>0</v>
      </c>
    </row>
    <row r="28" spans="1:5" ht="12.75">
      <c r="A28" s="61" t="s">
        <v>282</v>
      </c>
      <c r="B28" s="61"/>
      <c r="C28" s="293"/>
      <c r="D28" s="293"/>
      <c r="E28" s="250">
        <f t="shared" si="1"/>
        <v>0</v>
      </c>
    </row>
    <row r="29" spans="1:5" ht="12.75">
      <c r="A29" s="61" t="s">
        <v>283</v>
      </c>
      <c r="B29" s="61"/>
      <c r="C29" s="293"/>
      <c r="D29" s="293"/>
      <c r="E29" s="250">
        <f t="shared" si="1"/>
        <v>0</v>
      </c>
    </row>
    <row r="30" spans="1:5" ht="12.75">
      <c r="A30" s="61" t="s">
        <v>434</v>
      </c>
      <c r="B30" s="61"/>
      <c r="C30" s="293"/>
      <c r="D30" s="293"/>
      <c r="E30" s="250">
        <f t="shared" si="1"/>
        <v>0</v>
      </c>
    </row>
    <row r="31" spans="1:5" ht="12.75">
      <c r="A31" s="61" t="s">
        <v>434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131</v>
      </c>
      <c r="C34" s="22"/>
      <c r="D34" s="22"/>
      <c r="E34" s="278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272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266</v>
      </c>
      <c r="B43" s="61"/>
      <c r="C43" s="293"/>
      <c r="D43" s="293"/>
      <c r="E43" s="250">
        <f t="shared" si="2"/>
        <v>0</v>
      </c>
    </row>
    <row r="44" spans="1:5" ht="12.75">
      <c r="A44" s="61" t="s">
        <v>267</v>
      </c>
      <c r="B44" s="61"/>
      <c r="C44" s="293"/>
      <c r="D44" s="293"/>
      <c r="E44" s="250">
        <f t="shared" si="2"/>
        <v>0</v>
      </c>
    </row>
    <row r="45" spans="1:5" ht="12.75">
      <c r="A45" s="61" t="s">
        <v>268</v>
      </c>
      <c r="B45" s="61"/>
      <c r="C45" s="293"/>
      <c r="D45" s="293"/>
      <c r="E45" s="250">
        <f t="shared" si="2"/>
        <v>0</v>
      </c>
    </row>
    <row r="46" spans="1:5" ht="12.75">
      <c r="A46" s="61" t="s">
        <v>269</v>
      </c>
      <c r="B46" s="61"/>
      <c r="C46" s="293"/>
      <c r="D46" s="293"/>
      <c r="E46" s="250">
        <f t="shared" si="2"/>
        <v>0</v>
      </c>
    </row>
    <row r="47" spans="1:5" ht="12.75">
      <c r="A47" s="61" t="s">
        <v>483</v>
      </c>
      <c r="B47" s="61"/>
      <c r="C47" s="293">
        <v>1872951</v>
      </c>
      <c r="D47" s="293"/>
      <c r="E47" s="250">
        <f t="shared" si="2"/>
        <v>1872951</v>
      </c>
    </row>
    <row r="48" spans="1:5" ht="12.75">
      <c r="A48" s="61" t="s">
        <v>434</v>
      </c>
      <c r="B48" s="61"/>
      <c r="C48" s="293"/>
      <c r="D48" s="293"/>
      <c r="E48" s="250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179</v>
      </c>
      <c r="C50" s="250">
        <f>SUM(C41:C49)</f>
        <v>1872951</v>
      </c>
      <c r="D50" s="250">
        <f>SUM(D41:D49)</f>
        <v>0</v>
      </c>
      <c r="E50" s="250">
        <f>SUM(E41:E49)</f>
        <v>1872951</v>
      </c>
    </row>
    <row r="51" spans="3:5" ht="12.75">
      <c r="C51" s="22"/>
      <c r="D51" s="22"/>
      <c r="E51" s="22"/>
    </row>
    <row r="52" spans="1:5" ht="12.75">
      <c r="A52" s="246" t="s">
        <v>271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0">
        <f>C53-D53</f>
        <v>0</v>
      </c>
    </row>
    <row r="54" spans="1:5" ht="12.75">
      <c r="A54" s="245"/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266</v>
      </c>
      <c r="B55" s="61"/>
      <c r="C55" s="293"/>
      <c r="D55" s="293"/>
      <c r="E55" s="250">
        <f t="shared" si="3"/>
        <v>0</v>
      </c>
    </row>
    <row r="56" spans="1:5" ht="12.75">
      <c r="A56" s="245" t="s">
        <v>267</v>
      </c>
      <c r="B56" s="61"/>
      <c r="C56" s="293"/>
      <c r="D56" s="293"/>
      <c r="E56" s="250">
        <f t="shared" si="3"/>
        <v>0</v>
      </c>
    </row>
    <row r="57" spans="1:5" ht="12.75">
      <c r="A57" s="245" t="s">
        <v>268</v>
      </c>
      <c r="B57" s="61"/>
      <c r="C57" s="293"/>
      <c r="D57" s="293"/>
      <c r="E57" s="250">
        <f t="shared" si="3"/>
        <v>0</v>
      </c>
    </row>
    <row r="58" spans="1:5" ht="12.75">
      <c r="A58" s="245" t="s">
        <v>269</v>
      </c>
      <c r="B58" s="61"/>
      <c r="C58" s="293"/>
      <c r="D58" s="293"/>
      <c r="E58" s="250">
        <f t="shared" si="3"/>
        <v>0</v>
      </c>
    </row>
    <row r="59" spans="1:5" ht="12.75">
      <c r="A59" s="61" t="s">
        <v>483</v>
      </c>
      <c r="B59" s="61"/>
      <c r="C59" s="293">
        <v>1814000</v>
      </c>
      <c r="D59" s="293"/>
      <c r="E59" s="250">
        <f t="shared" si="3"/>
        <v>1814000</v>
      </c>
    </row>
    <row r="60" spans="1:5" ht="12.75">
      <c r="A60" s="61" t="s">
        <v>434</v>
      </c>
      <c r="B60" s="61"/>
      <c r="C60" s="293"/>
      <c r="D60" s="293"/>
      <c r="E60" s="250">
        <f t="shared" si="3"/>
        <v>0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131</v>
      </c>
      <c r="C62" s="22"/>
      <c r="D62" s="22"/>
      <c r="E62" s="278"/>
    </row>
    <row r="63" spans="1:5" ht="12.75">
      <c r="A63" s="2" t="s">
        <v>179</v>
      </c>
      <c r="C63" s="250">
        <f>SUM(C53:C61)</f>
        <v>1814000</v>
      </c>
      <c r="D63" s="250">
        <f>SUM(D53:D61)</f>
        <v>0</v>
      </c>
      <c r="E63" s="250">
        <f>SUM(E53:E61)</f>
        <v>1814000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9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H88" sqref="H8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7" t="s">
        <v>450</v>
      </c>
      <c r="B5" s="8"/>
      <c r="C5" s="8" t="s">
        <v>2</v>
      </c>
      <c r="D5" s="8"/>
      <c r="E5" s="8"/>
      <c r="F5" s="8"/>
    </row>
    <row r="6" spans="1:6" ht="12.75">
      <c r="A6" s="397" t="s">
        <v>431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Brant County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118</v>
      </c>
      <c r="B11" s="20"/>
      <c r="C11" s="469">
        <f>TAXREC!C13</f>
        <v>15887.546250000001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4"/>
      <c r="D17" s="294"/>
      <c r="E17" s="312">
        <f>C17-D17</f>
        <v>0</v>
      </c>
    </row>
    <row r="18" spans="1:5" ht="12.75">
      <c r="A18" s="67" t="s">
        <v>252</v>
      </c>
      <c r="B18" t="s">
        <v>186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4"/>
      <c r="D19" s="294"/>
      <c r="E19" s="312">
        <f t="shared" si="0"/>
        <v>0</v>
      </c>
    </row>
    <row r="20" spans="1:5" ht="12.75">
      <c r="A20" s="67" t="s">
        <v>435</v>
      </c>
      <c r="B20" t="s">
        <v>186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/>
      <c r="B22" t="s">
        <v>186</v>
      </c>
      <c r="C22" s="294"/>
      <c r="D22" s="294"/>
      <c r="E22" s="312">
        <f t="shared" si="0"/>
        <v>0</v>
      </c>
    </row>
    <row r="23" spans="1:5" ht="12.75">
      <c r="A23" s="67" t="s">
        <v>136</v>
      </c>
      <c r="B23" t="s">
        <v>186</v>
      </c>
      <c r="C23" s="294">
        <v>109562</v>
      </c>
      <c r="D23" s="294"/>
      <c r="E23" s="312">
        <f t="shared" si="0"/>
        <v>109562</v>
      </c>
    </row>
    <row r="24" spans="1:5" ht="12.75">
      <c r="A24" s="67" t="s">
        <v>137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190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123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138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139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253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140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7" t="s">
        <v>141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142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67" t="s">
        <v>192</v>
      </c>
      <c r="B35" t="s">
        <v>186</v>
      </c>
      <c r="C35" s="294"/>
      <c r="D35" s="294"/>
      <c r="E35" s="312">
        <f t="shared" si="0"/>
        <v>0</v>
      </c>
    </row>
    <row r="36" spans="1:5" ht="12.75">
      <c r="A36" s="67" t="s">
        <v>455</v>
      </c>
      <c r="B36" t="s">
        <v>186</v>
      </c>
      <c r="C36" s="294"/>
      <c r="D36" s="294"/>
      <c r="E36" s="312">
        <f t="shared" si="0"/>
        <v>0</v>
      </c>
    </row>
    <row r="37" spans="1:5" ht="12.75">
      <c r="A37" s="67"/>
      <c r="B37" t="s">
        <v>186</v>
      </c>
      <c r="C37" s="294"/>
      <c r="D37" s="294"/>
      <c r="E37" s="312">
        <f t="shared" si="0"/>
        <v>0</v>
      </c>
    </row>
    <row r="38" spans="2:5" ht="12.75">
      <c r="B38" t="s">
        <v>186</v>
      </c>
      <c r="C38" s="294"/>
      <c r="D38" s="294"/>
      <c r="E38" s="250">
        <f t="shared" si="0"/>
        <v>0</v>
      </c>
    </row>
    <row r="39" spans="2:5" ht="12.75">
      <c r="B39" t="s">
        <v>186</v>
      </c>
      <c r="C39" s="293"/>
      <c r="D39" s="294"/>
      <c r="E39" s="250">
        <f t="shared" si="0"/>
        <v>0</v>
      </c>
    </row>
    <row r="40" spans="1:5" ht="12.75">
      <c r="A40" s="68" t="s">
        <v>203</v>
      </c>
      <c r="B40" t="s">
        <v>186</v>
      </c>
      <c r="C40" s="293"/>
      <c r="D40" s="293"/>
      <c r="E40" s="250">
        <f t="shared" si="0"/>
        <v>0</v>
      </c>
    </row>
    <row r="41" spans="1:5" ht="12.75">
      <c r="A41" s="481" t="s">
        <v>482</v>
      </c>
      <c r="B41" t="s">
        <v>186</v>
      </c>
      <c r="C41" s="293">
        <v>3653</v>
      </c>
      <c r="D41" s="293"/>
      <c r="E41" s="250">
        <f t="shared" si="0"/>
        <v>3653</v>
      </c>
    </row>
    <row r="42" spans="1:5" ht="12.75">
      <c r="A42" s="67"/>
      <c r="B42" t="s">
        <v>186</v>
      </c>
      <c r="C42" s="293"/>
      <c r="D42" s="293"/>
      <c r="E42" s="250">
        <f t="shared" si="0"/>
        <v>0</v>
      </c>
    </row>
    <row r="43" spans="1:5" ht="12.75">
      <c r="A43" s="67"/>
      <c r="B43" t="s">
        <v>186</v>
      </c>
      <c r="C43" s="293"/>
      <c r="D43" s="293"/>
      <c r="E43" s="250">
        <f t="shared" si="0"/>
        <v>0</v>
      </c>
    </row>
    <row r="44" spans="1:5" ht="12.75">
      <c r="A44" s="67"/>
      <c r="B44" t="s">
        <v>186</v>
      </c>
      <c r="C44" s="293"/>
      <c r="D44" s="293"/>
      <c r="E44" s="250">
        <f t="shared" si="0"/>
        <v>0</v>
      </c>
    </row>
    <row r="45" spans="1:5" ht="12.75">
      <c r="A45" s="67"/>
      <c r="B45" t="s">
        <v>186</v>
      </c>
      <c r="C45" s="293"/>
      <c r="D45" s="293"/>
      <c r="E45" s="278"/>
    </row>
    <row r="46" spans="1:5" ht="12.75">
      <c r="A46" s="70" t="s">
        <v>169</v>
      </c>
      <c r="B46" t="s">
        <v>188</v>
      </c>
      <c r="C46" s="250">
        <f>SUM(C17:C45)</f>
        <v>113215</v>
      </c>
      <c r="D46" s="250">
        <f>SUM(D17:D45)</f>
        <v>0</v>
      </c>
      <c r="E46" s="250">
        <f>SUM(E17:E45)</f>
        <v>113215</v>
      </c>
    </row>
    <row r="47" ht="12.75">
      <c r="A47" s="67"/>
    </row>
    <row r="48" ht="12.75">
      <c r="A48" s="67" t="s">
        <v>171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Taxable capital gains</v>
      </c>
      <c r="B55" s="272"/>
      <c r="C55" s="250">
        <f t="shared" si="1"/>
        <v>109562</v>
      </c>
      <c r="D55" s="250">
        <f t="shared" si="1"/>
        <v>0</v>
      </c>
      <c r="E55" s="250">
        <f t="shared" si="1"/>
        <v>109562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109562</v>
      </c>
      <c r="D77" s="250">
        <f>SUM(D49:D75)</f>
        <v>0</v>
      </c>
      <c r="E77" s="250">
        <f>SUM(E49:E75)</f>
        <v>109562</v>
      </c>
    </row>
    <row r="78" spans="1:5" ht="12.75">
      <c r="A78" s="275" t="s">
        <v>202</v>
      </c>
      <c r="B78" s="276"/>
      <c r="C78" s="314">
        <f>C46-C77</f>
        <v>3653</v>
      </c>
      <c r="D78" s="314">
        <f>D46-D77</f>
        <v>0</v>
      </c>
      <c r="E78" s="314">
        <f>E46-E77</f>
        <v>3653</v>
      </c>
    </row>
    <row r="79" spans="1:5" ht="12.75">
      <c r="A79" s="275" t="s">
        <v>169</v>
      </c>
      <c r="B79" s="276"/>
      <c r="C79" s="314">
        <f>C77+C78</f>
        <v>113215</v>
      </c>
      <c r="D79" s="314">
        <f>D77+D78</f>
        <v>0</v>
      </c>
      <c r="E79" s="314">
        <f>E77+E78</f>
        <v>113215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3"/>
      <c r="D82" s="293"/>
      <c r="E82" s="250">
        <f>C82-D82</f>
        <v>0</v>
      </c>
    </row>
    <row r="83" spans="1:5" ht="12.75">
      <c r="A83" s="71" t="s">
        <v>151</v>
      </c>
      <c r="B83" s="8" t="s">
        <v>187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3"/>
      <c r="D84" s="293"/>
      <c r="E84" s="250">
        <f t="shared" si="5"/>
        <v>0</v>
      </c>
    </row>
    <row r="85" spans="1:5" ht="12.75">
      <c r="A85" s="71" t="s">
        <v>254</v>
      </c>
      <c r="B85" s="8" t="s">
        <v>187</v>
      </c>
      <c r="C85" s="293"/>
      <c r="D85" s="293"/>
      <c r="E85" s="250">
        <f t="shared" si="5"/>
        <v>0</v>
      </c>
    </row>
    <row r="86" spans="1:5" ht="12.75">
      <c r="A86" s="67" t="s">
        <v>193</v>
      </c>
      <c r="B86" s="8" t="s">
        <v>187</v>
      </c>
      <c r="C86" s="293">
        <v>98606</v>
      </c>
      <c r="D86" s="293"/>
      <c r="E86" s="250">
        <f t="shared" si="5"/>
        <v>98606</v>
      </c>
    </row>
    <row r="87" spans="1:5" ht="12.75">
      <c r="A87" s="67" t="s">
        <v>365</v>
      </c>
      <c r="B87" s="8" t="s">
        <v>187</v>
      </c>
      <c r="C87" s="293"/>
      <c r="D87" s="293"/>
      <c r="E87" s="250">
        <f t="shared" si="5"/>
        <v>0</v>
      </c>
    </row>
    <row r="88" spans="1:5" ht="12.75">
      <c r="A88" s="67" t="s">
        <v>194</v>
      </c>
      <c r="B88" s="8" t="s">
        <v>187</v>
      </c>
      <c r="C88" s="293"/>
      <c r="D88" s="293"/>
      <c r="E88" s="250">
        <f t="shared" si="5"/>
        <v>0</v>
      </c>
    </row>
    <row r="89" spans="1:5" ht="12.75">
      <c r="A89" s="67" t="s">
        <v>166</v>
      </c>
      <c r="B89" s="8" t="s">
        <v>187</v>
      </c>
      <c r="C89" s="293"/>
      <c r="D89" s="293"/>
      <c r="E89" s="250">
        <f t="shared" si="5"/>
        <v>0</v>
      </c>
    </row>
    <row r="90" spans="1:5" ht="12.75">
      <c r="A90" s="67" t="s">
        <v>167</v>
      </c>
      <c r="B90" s="8" t="s">
        <v>187</v>
      </c>
      <c r="C90" s="293"/>
      <c r="D90" s="293"/>
      <c r="E90" s="250">
        <f t="shared" si="5"/>
        <v>0</v>
      </c>
    </row>
    <row r="91" spans="1:5" ht="12.75">
      <c r="A91" s="67" t="s">
        <v>168</v>
      </c>
      <c r="B91" s="8" t="s">
        <v>187</v>
      </c>
      <c r="C91" s="293"/>
      <c r="D91" s="293"/>
      <c r="E91" s="250">
        <f t="shared" si="5"/>
        <v>0</v>
      </c>
    </row>
    <row r="92" spans="2:5" ht="12.75">
      <c r="B92" s="8" t="s">
        <v>187</v>
      </c>
      <c r="C92" s="293"/>
      <c r="D92" s="293"/>
      <c r="E92" s="250"/>
    </row>
    <row r="93" spans="1:5" ht="12.75">
      <c r="A93" s="67"/>
      <c r="B93" s="8" t="s">
        <v>187</v>
      </c>
      <c r="C93" s="293"/>
      <c r="D93" s="293"/>
      <c r="E93" s="250">
        <f t="shared" si="5"/>
        <v>0</v>
      </c>
    </row>
    <row r="94" spans="1:5" ht="12.75">
      <c r="A94" s="67"/>
      <c r="B94" s="8" t="s">
        <v>187</v>
      </c>
      <c r="C94" s="293"/>
      <c r="D94" s="293"/>
      <c r="E94" s="250">
        <f t="shared" si="5"/>
        <v>0</v>
      </c>
    </row>
    <row r="95" spans="1:5" ht="12.75">
      <c r="A95" s="68" t="s">
        <v>204</v>
      </c>
      <c r="B95" s="8" t="s">
        <v>187</v>
      </c>
      <c r="C95" s="293"/>
      <c r="D95" s="293"/>
      <c r="E95" s="250">
        <f t="shared" si="5"/>
        <v>0</v>
      </c>
    </row>
    <row r="96" spans="1:5" ht="12.75">
      <c r="A96" s="481" t="s">
        <v>477</v>
      </c>
      <c r="B96" s="8" t="s">
        <v>187</v>
      </c>
      <c r="C96" s="293"/>
      <c r="D96" s="293"/>
      <c r="E96" s="250">
        <f t="shared" si="5"/>
        <v>0</v>
      </c>
    </row>
    <row r="97" spans="1:5" ht="12.75">
      <c r="A97" s="67"/>
      <c r="B97" s="8" t="s">
        <v>187</v>
      </c>
      <c r="C97" s="293"/>
      <c r="D97" s="293"/>
      <c r="E97" s="250">
        <f t="shared" si="5"/>
        <v>0</v>
      </c>
    </row>
    <row r="98" spans="1:5" ht="12.75">
      <c r="A98" s="67"/>
      <c r="B98" s="8" t="s">
        <v>187</v>
      </c>
      <c r="C98" s="293"/>
      <c r="D98" s="293"/>
      <c r="E98" s="250">
        <f t="shared" si="5"/>
        <v>0</v>
      </c>
    </row>
    <row r="99" spans="1:5" ht="12.75">
      <c r="A99" s="67" t="s">
        <v>170</v>
      </c>
      <c r="B99" s="8" t="s">
        <v>188</v>
      </c>
      <c r="C99" s="250">
        <f>SUM(C82:C98)</f>
        <v>98606</v>
      </c>
      <c r="D99" s="250">
        <f>SUM(D82:D98)</f>
        <v>0</v>
      </c>
      <c r="E99" s="250">
        <f>SUM(E82:E98)</f>
        <v>98606</v>
      </c>
    </row>
    <row r="100" ht="12.75">
      <c r="A100" s="67"/>
    </row>
    <row r="101" ht="12.75">
      <c r="A101" s="67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Scientific research expenses claimed in year from Form T661</v>
      </c>
      <c r="B106" s="272"/>
      <c r="C106" s="250">
        <f t="shared" si="7"/>
        <v>98606</v>
      </c>
      <c r="D106" s="250">
        <f t="shared" si="7"/>
        <v>0</v>
      </c>
      <c r="E106" s="250">
        <f t="shared" si="7"/>
        <v>98606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201</v>
      </c>
      <c r="B119" s="272"/>
      <c r="C119" s="250">
        <f>SUM(C102:C118)</f>
        <v>98606</v>
      </c>
      <c r="D119" s="250">
        <f>SUM(D102:D118)</f>
        <v>0</v>
      </c>
      <c r="E119" s="250">
        <f>SUM(E102:E118)</f>
        <v>98606</v>
      </c>
    </row>
    <row r="120" spans="1:5" ht="12.75">
      <c r="A120" s="277" t="s">
        <v>200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170</v>
      </c>
      <c r="B121" s="272"/>
      <c r="C121" s="250">
        <f>C119+C120</f>
        <v>98606</v>
      </c>
      <c r="D121" s="250">
        <f>D119+D120</f>
        <v>0</v>
      </c>
      <c r="E121" s="250">
        <f>E119+E120</f>
        <v>98606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49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A67" sqref="A6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2"/>
    </row>
    <row r="4" spans="1:6" ht="15.75">
      <c r="A4" s="446" t="s">
        <v>431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8" t="s">
        <v>373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Brant County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4"/>
      <c r="D19" s="294"/>
      <c r="E19" s="312">
        <f aca="true" t="shared" si="0" ref="E19:E45">C19-D19</f>
        <v>0</v>
      </c>
    </row>
    <row r="20" spans="1:5" ht="12.75">
      <c r="A20" t="s">
        <v>374</v>
      </c>
      <c r="B20" t="s">
        <v>186</v>
      </c>
      <c r="C20" s="294"/>
      <c r="D20" s="294"/>
      <c r="E20" s="312">
        <f t="shared" si="0"/>
        <v>0</v>
      </c>
    </row>
    <row r="21" spans="1:5" ht="12.75">
      <c r="A21" t="s">
        <v>439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 t="s">
        <v>377</v>
      </c>
      <c r="B22" t="s">
        <v>186</v>
      </c>
      <c r="C22" s="294"/>
      <c r="D22" s="313"/>
      <c r="E22" s="312">
        <f t="shared" si="0"/>
        <v>0</v>
      </c>
    </row>
    <row r="23" spans="1:5" ht="12.75">
      <c r="A23" s="67" t="s">
        <v>378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7" t="s">
        <v>440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124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133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423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376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135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375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191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418</v>
      </c>
      <c r="B32" t="s">
        <v>186</v>
      </c>
      <c r="C32" s="294">
        <v>210</v>
      </c>
      <c r="D32" s="294"/>
      <c r="E32" s="312">
        <f t="shared" si="0"/>
        <v>210</v>
      </c>
    </row>
    <row r="33" spans="1:5" ht="12.75">
      <c r="A33" s="67" t="s">
        <v>419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436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81" t="s">
        <v>437</v>
      </c>
      <c r="C35" s="294">
        <v>400</v>
      </c>
      <c r="D35" s="294"/>
      <c r="E35" s="312">
        <f t="shared" si="0"/>
        <v>400</v>
      </c>
    </row>
    <row r="36" spans="1:5" ht="12.75">
      <c r="A36" s="67" t="s">
        <v>420</v>
      </c>
      <c r="C36" s="294"/>
      <c r="D36" s="294"/>
      <c r="E36" s="312">
        <f t="shared" si="0"/>
        <v>0</v>
      </c>
    </row>
    <row r="37" spans="1:5" ht="12.75">
      <c r="A37" s="67" t="s">
        <v>421</v>
      </c>
      <c r="C37" s="294"/>
      <c r="D37" s="294"/>
      <c r="E37" s="312">
        <f t="shared" si="0"/>
        <v>0</v>
      </c>
    </row>
    <row r="38" spans="1:5" ht="12.75">
      <c r="A38" s="81" t="s">
        <v>379</v>
      </c>
      <c r="C38" s="294"/>
      <c r="D38" s="294"/>
      <c r="E38" s="312">
        <f t="shared" si="0"/>
        <v>0</v>
      </c>
    </row>
    <row r="39" spans="2:5" ht="12.75">
      <c r="B39" t="s">
        <v>186</v>
      </c>
      <c r="C39" s="294"/>
      <c r="D39" s="294"/>
      <c r="E39" s="312">
        <f t="shared" si="0"/>
        <v>0</v>
      </c>
    </row>
    <row r="40" spans="1:5" ht="12.75">
      <c r="A40" s="481" t="s">
        <v>486</v>
      </c>
      <c r="B40" t="s">
        <v>186</v>
      </c>
      <c r="C40" s="294">
        <v>900317</v>
      </c>
      <c r="D40" s="294"/>
      <c r="E40" s="312">
        <f t="shared" si="0"/>
        <v>900317</v>
      </c>
    </row>
    <row r="41" spans="1:5" ht="12.75">
      <c r="A41" s="481" t="s">
        <v>484</v>
      </c>
      <c r="B41" t="s">
        <v>186</v>
      </c>
      <c r="C41" s="294">
        <v>1568713</v>
      </c>
      <c r="D41" s="294"/>
      <c r="E41" s="312">
        <f t="shared" si="0"/>
        <v>1568713</v>
      </c>
    </row>
    <row r="42" spans="1:5" ht="12.75">
      <c r="A42" s="481" t="s">
        <v>485</v>
      </c>
      <c r="B42" t="s">
        <v>186</v>
      </c>
      <c r="C42" s="294">
        <v>400948</v>
      </c>
      <c r="D42" s="294"/>
      <c r="E42" s="312">
        <f t="shared" si="0"/>
        <v>400948</v>
      </c>
    </row>
    <row r="43" spans="1:5" ht="12.75">
      <c r="A43" s="481" t="s">
        <v>487</v>
      </c>
      <c r="B43" t="s">
        <v>186</v>
      </c>
      <c r="C43" s="294">
        <v>410633</v>
      </c>
      <c r="D43" s="294"/>
      <c r="E43" s="312">
        <f t="shared" si="0"/>
        <v>410633</v>
      </c>
    </row>
    <row r="44" spans="2:5" ht="12.75">
      <c r="B44" t="s">
        <v>186</v>
      </c>
      <c r="C44" s="293"/>
      <c r="D44" s="293"/>
      <c r="E44" s="250">
        <f t="shared" si="0"/>
        <v>0</v>
      </c>
    </row>
    <row r="45" spans="1:5" ht="12.75">
      <c r="A45" s="481" t="s">
        <v>488</v>
      </c>
      <c r="B45" t="s">
        <v>186</v>
      </c>
      <c r="C45" s="293">
        <v>281</v>
      </c>
      <c r="D45" s="293"/>
      <c r="E45" s="250">
        <f t="shared" si="0"/>
        <v>281</v>
      </c>
    </row>
    <row r="46" spans="1:5" ht="12.75">
      <c r="A46" s="67"/>
      <c r="B46" t="s">
        <v>186</v>
      </c>
      <c r="C46" s="293"/>
      <c r="D46" s="293"/>
      <c r="E46" s="278"/>
    </row>
    <row r="47" spans="1:5" ht="12.75">
      <c r="A47" s="431" t="s">
        <v>382</v>
      </c>
      <c r="B47" t="s">
        <v>188</v>
      </c>
      <c r="C47" s="250">
        <f>SUM(C19:C46)</f>
        <v>3281502</v>
      </c>
      <c r="D47" s="250">
        <f>SUM(D19:D46)</f>
        <v>0</v>
      </c>
      <c r="E47" s="250">
        <f>SUM(E19:E46)</f>
        <v>3281502</v>
      </c>
    </row>
    <row r="48" ht="12.75">
      <c r="A48" s="67"/>
    </row>
    <row r="49" ht="12.75">
      <c r="A49" s="81" t="s">
        <v>144</v>
      </c>
    </row>
    <row r="51" spans="1:5" ht="12.75">
      <c r="A51" s="71" t="s">
        <v>374</v>
      </c>
      <c r="B51" s="8" t="s">
        <v>187</v>
      </c>
      <c r="C51" s="293"/>
      <c r="D51" s="293"/>
      <c r="E51" s="250">
        <f aca="true" t="shared" si="1" ref="E51:E61">C51-D51</f>
        <v>0</v>
      </c>
    </row>
    <row r="52" spans="1:5" ht="12.75">
      <c r="A52" s="67" t="s">
        <v>439</v>
      </c>
      <c r="B52" s="8" t="s">
        <v>187</v>
      </c>
      <c r="C52" s="293"/>
      <c r="D52" s="293"/>
      <c r="E52" s="250">
        <f t="shared" si="1"/>
        <v>0</v>
      </c>
    </row>
    <row r="53" spans="1:5" ht="12.75">
      <c r="A53" t="s">
        <v>375</v>
      </c>
      <c r="B53" s="8" t="s">
        <v>187</v>
      </c>
      <c r="C53" s="293"/>
      <c r="D53" s="293"/>
      <c r="E53" s="250">
        <f t="shared" si="1"/>
        <v>0</v>
      </c>
    </row>
    <row r="54" spans="1:5" ht="12.75">
      <c r="A54" t="s">
        <v>422</v>
      </c>
      <c r="B54" s="8" t="s">
        <v>187</v>
      </c>
      <c r="C54" s="293">
        <v>37575</v>
      </c>
      <c r="D54" s="293"/>
      <c r="E54" s="250">
        <f t="shared" si="1"/>
        <v>37575</v>
      </c>
    </row>
    <row r="55" spans="1:5" ht="12.75">
      <c r="A55" s="67" t="s">
        <v>430</v>
      </c>
      <c r="B55" s="8" t="s">
        <v>187</v>
      </c>
      <c r="C55" s="293"/>
      <c r="D55" s="293"/>
      <c r="E55" s="250">
        <f t="shared" si="1"/>
        <v>0</v>
      </c>
    </row>
    <row r="56" spans="1:5" ht="12.75">
      <c r="A56" s="67" t="s">
        <v>442</v>
      </c>
      <c r="B56" s="8" t="s">
        <v>187</v>
      </c>
      <c r="C56" s="293"/>
      <c r="D56" s="293"/>
      <c r="E56" s="250">
        <f t="shared" si="1"/>
        <v>0</v>
      </c>
    </row>
    <row r="57" spans="1:5" ht="12.75">
      <c r="A57" s="2" t="s">
        <v>438</v>
      </c>
      <c r="B57" s="8" t="s">
        <v>187</v>
      </c>
      <c r="C57" s="293"/>
      <c r="D57" s="293"/>
      <c r="E57" s="250">
        <f t="shared" si="1"/>
        <v>0</v>
      </c>
    </row>
    <row r="58" spans="1:5" ht="12.75">
      <c r="A58" s="67" t="s">
        <v>441</v>
      </c>
      <c r="B58" s="8" t="s">
        <v>187</v>
      </c>
      <c r="C58" s="293"/>
      <c r="D58" s="293"/>
      <c r="E58" s="250">
        <f t="shared" si="1"/>
        <v>0</v>
      </c>
    </row>
    <row r="59" spans="1:5" ht="12.75">
      <c r="A59" s="474"/>
      <c r="B59" s="8" t="s">
        <v>187</v>
      </c>
      <c r="C59" s="293"/>
      <c r="D59" s="293"/>
      <c r="E59" s="250">
        <f t="shared" si="1"/>
        <v>0</v>
      </c>
    </row>
    <row r="60" spans="1:5" ht="12.75">
      <c r="A60" s="450"/>
      <c r="B60" s="8" t="s">
        <v>187</v>
      </c>
      <c r="C60" s="293"/>
      <c r="D60" s="293"/>
      <c r="E60" s="250">
        <f t="shared" si="1"/>
        <v>0</v>
      </c>
    </row>
    <row r="61" spans="2:5" ht="12.75">
      <c r="B61" s="8" t="s">
        <v>187</v>
      </c>
      <c r="C61" s="293"/>
      <c r="D61" s="293"/>
      <c r="E61" s="250">
        <f t="shared" si="1"/>
        <v>0</v>
      </c>
    </row>
    <row r="62" spans="1:5" ht="12.75">
      <c r="A62" s="487" t="s">
        <v>489</v>
      </c>
      <c r="B62" s="8" t="s">
        <v>187</v>
      </c>
      <c r="C62" s="293">
        <v>1604177</v>
      </c>
      <c r="D62" s="293"/>
      <c r="E62" s="250">
        <f aca="true" t="shared" si="2" ref="E62:E72">C62-D62</f>
        <v>1604177</v>
      </c>
    </row>
    <row r="63" spans="1:5" ht="12.75">
      <c r="A63" s="485" t="s">
        <v>490</v>
      </c>
      <c r="B63" s="8" t="s">
        <v>187</v>
      </c>
      <c r="C63" s="293">
        <v>721673</v>
      </c>
      <c r="D63" s="293"/>
      <c r="E63" s="250">
        <f t="shared" si="2"/>
        <v>721673</v>
      </c>
    </row>
    <row r="64" spans="2:5" ht="12.75">
      <c r="B64" s="8" t="s">
        <v>187</v>
      </c>
      <c r="C64" s="293"/>
      <c r="D64" s="293"/>
      <c r="E64" s="250">
        <f t="shared" si="2"/>
        <v>0</v>
      </c>
    </row>
    <row r="65" spans="2:5" ht="12.75">
      <c r="B65" s="8" t="s">
        <v>187</v>
      </c>
      <c r="C65" s="293"/>
      <c r="D65" s="293"/>
      <c r="E65" s="250">
        <f t="shared" si="2"/>
        <v>0</v>
      </c>
    </row>
    <row r="66" spans="2:5" ht="12.75">
      <c r="B66" s="8" t="s">
        <v>187</v>
      </c>
      <c r="C66" s="293"/>
      <c r="D66" s="293"/>
      <c r="E66" s="250">
        <f t="shared" si="2"/>
        <v>0</v>
      </c>
    </row>
    <row r="67" spans="1:5" ht="12.75">
      <c r="A67" s="67"/>
      <c r="B67" s="8" t="s">
        <v>187</v>
      </c>
      <c r="C67" s="293"/>
      <c r="D67" s="293"/>
      <c r="E67" s="250">
        <f t="shared" si="2"/>
        <v>0</v>
      </c>
    </row>
    <row r="68" spans="1:5" ht="12.75">
      <c r="A68" s="68"/>
      <c r="B68" s="8" t="s">
        <v>187</v>
      </c>
      <c r="C68" s="293"/>
      <c r="D68" s="293"/>
      <c r="E68" s="250">
        <f t="shared" si="2"/>
        <v>0</v>
      </c>
    </row>
    <row r="69" spans="1:5" ht="12.75">
      <c r="A69" s="67"/>
      <c r="B69" s="8" t="s">
        <v>187</v>
      </c>
      <c r="C69" s="293"/>
      <c r="D69" s="293"/>
      <c r="E69" s="250">
        <f t="shared" si="2"/>
        <v>0</v>
      </c>
    </row>
    <row r="70" spans="1:5" ht="12.75">
      <c r="A70" s="67"/>
      <c r="B70" s="8" t="s">
        <v>187</v>
      </c>
      <c r="C70" s="293"/>
      <c r="D70" s="293"/>
      <c r="E70" s="250">
        <f t="shared" si="2"/>
        <v>0</v>
      </c>
    </row>
    <row r="71" spans="1:5" ht="12.75">
      <c r="A71" s="67"/>
      <c r="B71" s="8" t="s">
        <v>187</v>
      </c>
      <c r="C71" s="293"/>
      <c r="D71" s="293"/>
      <c r="E71" s="250">
        <f t="shared" si="2"/>
        <v>0</v>
      </c>
    </row>
    <row r="72" spans="1:5" ht="12.75">
      <c r="A72" s="67"/>
      <c r="B72" s="8" t="s">
        <v>187</v>
      </c>
      <c r="C72" s="293"/>
      <c r="D72" s="293"/>
      <c r="E72" s="278">
        <f t="shared" si="2"/>
        <v>0</v>
      </c>
    </row>
    <row r="73" spans="1:5" ht="12.75">
      <c r="A73" s="430" t="s">
        <v>381</v>
      </c>
      <c r="B73" s="8" t="s">
        <v>188</v>
      </c>
      <c r="C73" s="250">
        <f>SUM(C51:C72)</f>
        <v>2363425</v>
      </c>
      <c r="D73" s="250">
        <f>SUM(D51:D72)</f>
        <v>0</v>
      </c>
      <c r="E73" s="250">
        <f>SUM(E51:E72)</f>
        <v>2363425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7">
      <selection activeCell="H35" sqref="H3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7">
        <f>REGINFO!A1</f>
        <v>0</v>
      </c>
      <c r="B1" s="368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/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Brant County Power Inc.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2004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392" t="s">
        <v>333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8" t="s">
        <v>458</v>
      </c>
      <c r="B8" s="499"/>
      <c r="C8" s="499"/>
      <c r="D8" s="499"/>
      <c r="E8" s="341"/>
      <c r="F8" s="365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111</v>
      </c>
      <c r="B9" s="325"/>
      <c r="C9" s="357">
        <v>0</v>
      </c>
      <c r="D9" s="357"/>
      <c r="E9" s="357">
        <v>200001</v>
      </c>
      <c r="F9" s="358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451</v>
      </c>
      <c r="B10" s="326"/>
      <c r="C10" s="359" t="s">
        <v>110</v>
      </c>
      <c r="D10" s="359"/>
      <c r="E10" s="359" t="s">
        <v>110</v>
      </c>
      <c r="F10" s="360" t="s">
        <v>459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115</v>
      </c>
      <c r="C11" s="361">
        <v>200000</v>
      </c>
      <c r="D11" s="361"/>
      <c r="E11" s="361">
        <v>700000</v>
      </c>
      <c r="F11" s="362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299</v>
      </c>
      <c r="B13" s="391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298</v>
      </c>
      <c r="B14" s="244"/>
      <c r="C14" s="327">
        <v>0.1312</v>
      </c>
      <c r="D14" s="327"/>
      <c r="E14" s="328">
        <v>0.2612</v>
      </c>
      <c r="F14" s="328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302</v>
      </c>
      <c r="B15" s="244"/>
      <c r="C15" s="329">
        <v>0.06</v>
      </c>
      <c r="D15" s="329"/>
      <c r="E15" s="330">
        <v>0.06</v>
      </c>
      <c r="F15" s="330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259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108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109</v>
      </c>
      <c r="B19" s="237"/>
      <c r="C19" s="334">
        <v>0.00225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112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4" t="s">
        <v>328</v>
      </c>
      <c r="B21" s="389" t="s">
        <v>453</v>
      </c>
      <c r="C21" s="350">
        <v>5000000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4" t="s">
        <v>329</v>
      </c>
      <c r="B22" s="390" t="s">
        <v>454</v>
      </c>
      <c r="C22" s="351">
        <v>10000000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4" t="s">
        <v>470</v>
      </c>
      <c r="B23" s="495"/>
      <c r="C23" s="495"/>
      <c r="D23" s="495"/>
      <c r="E23" s="495"/>
      <c r="F23" s="495"/>
      <c r="G23" s="420"/>
      <c r="H23" s="402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3"/>
      <c r="B24" s="394"/>
      <c r="C24" s="394"/>
      <c r="D24" s="394"/>
      <c r="E24" s="394"/>
      <c r="F24" s="394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3"/>
      <c r="B25" s="364"/>
      <c r="C25" s="366"/>
      <c r="D25" s="341"/>
      <c r="E25" s="341"/>
      <c r="F25" s="392" t="s">
        <v>334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8" t="s">
        <v>467</v>
      </c>
      <c r="B26" s="499"/>
      <c r="C26" s="499"/>
      <c r="D26" s="499"/>
      <c r="E26" s="499"/>
      <c r="F26" s="499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111</v>
      </c>
      <c r="B27" s="325"/>
      <c r="C27" s="352"/>
      <c r="D27" s="352"/>
      <c r="E27" s="352"/>
      <c r="F27" s="353" t="s">
        <v>492</v>
      </c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426</v>
      </c>
      <c r="B28" s="326"/>
      <c r="C28" s="354"/>
      <c r="D28" s="354"/>
      <c r="E28" s="354"/>
      <c r="F28" s="355" t="s">
        <v>297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115</v>
      </c>
      <c r="C29" s="356"/>
      <c r="D29" s="356"/>
      <c r="E29" s="356"/>
      <c r="F29" s="488">
        <v>748303</v>
      </c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114</v>
      </c>
      <c r="B31" s="391">
        <v>2004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298</v>
      </c>
      <c r="B32" s="391">
        <v>2004</v>
      </c>
      <c r="C32" s="327"/>
      <c r="D32" s="327"/>
      <c r="E32" s="328"/>
      <c r="F32" s="328"/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29</v>
      </c>
      <c r="B33" s="391">
        <v>2004</v>
      </c>
      <c r="C33" s="329"/>
      <c r="D33" s="329"/>
      <c r="E33" s="330"/>
      <c r="F33" s="330"/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259</v>
      </c>
      <c r="B34" s="391">
        <v>2004</v>
      </c>
      <c r="C34" s="331"/>
      <c r="D34" s="331"/>
      <c r="E34" s="332"/>
      <c r="F34" s="332">
        <v>0.3074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108</v>
      </c>
      <c r="B36" s="391">
        <v>2004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109</v>
      </c>
      <c r="B37" s="391">
        <v>2004</v>
      </c>
      <c r="C37" s="334">
        <v>0.002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112</v>
      </c>
      <c r="B38" s="391">
        <v>2004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4" t="s">
        <v>468</v>
      </c>
      <c r="B39" s="389" t="s">
        <v>453</v>
      </c>
      <c r="C39" s="350">
        <v>5000000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4" t="s">
        <v>469</v>
      </c>
      <c r="B40" s="390" t="s">
        <v>466</v>
      </c>
      <c r="C40" s="351">
        <v>50000000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6" t="s">
        <v>331</v>
      </c>
      <c r="B41" s="495"/>
      <c r="C41" s="495"/>
      <c r="D41" s="495"/>
      <c r="E41" s="495"/>
      <c r="F41" s="495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7"/>
      <c r="B42" s="497"/>
      <c r="C42" s="497"/>
      <c r="D42" s="497"/>
      <c r="E42" s="497"/>
      <c r="F42" s="497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A4" sqref="A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443</v>
      </c>
      <c r="B2" s="2"/>
    </row>
    <row r="3" spans="1:15" ht="12.75">
      <c r="A3" s="2" t="s">
        <v>481</v>
      </c>
      <c r="O3" s="398" t="str">
        <f>REGINFO!E1</f>
        <v>Version 2009.1</v>
      </c>
    </row>
    <row r="4" spans="1:15" ht="12.75">
      <c r="A4" s="2" t="str">
        <f>REGINFO!A4</f>
        <v>Reporting period:  2004</v>
      </c>
      <c r="E4" s="399" t="s">
        <v>317</v>
      </c>
      <c r="F4" s="381"/>
      <c r="G4" s="381"/>
      <c r="H4" s="381"/>
      <c r="I4" s="381"/>
      <c r="O4" s="39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5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77">
        <v>0</v>
      </c>
      <c r="D11" s="373"/>
      <c r="E11" s="379">
        <f>C22</f>
        <v>0</v>
      </c>
      <c r="F11" s="401"/>
      <c r="G11" s="379">
        <f>E22</f>
        <v>0</v>
      </c>
      <c r="H11" s="401"/>
      <c r="I11" s="379">
        <f>G22</f>
        <v>0</v>
      </c>
      <c r="J11" s="373"/>
      <c r="K11" s="379">
        <f>I22</f>
        <v>0</v>
      </c>
      <c r="L11" s="373"/>
      <c r="M11" s="379">
        <f>K22</f>
        <v>0</v>
      </c>
      <c r="N11" s="373"/>
      <c r="O11" s="379">
        <f>C11</f>
        <v>0</v>
      </c>
    </row>
    <row r="12" spans="1:15" ht="27" customHeight="1">
      <c r="A12" s="81" t="s">
        <v>383</v>
      </c>
      <c r="B12" s="66" t="s">
        <v>189</v>
      </c>
      <c r="C12" s="378"/>
      <c r="D12" s="374"/>
      <c r="E12" s="378"/>
      <c r="F12" s="95"/>
      <c r="G12" s="400">
        <f>C12+E12</f>
        <v>0</v>
      </c>
      <c r="H12" s="95"/>
      <c r="I12" s="400">
        <f>(E12/12*9)+(G12/12*3)</f>
        <v>0</v>
      </c>
      <c r="J12" s="374"/>
      <c r="K12" s="400">
        <f>E12/12*3</f>
        <v>0</v>
      </c>
      <c r="L12" s="374"/>
      <c r="M12" s="400">
        <f>K13/9*12/4</f>
        <v>0</v>
      </c>
      <c r="N12" s="374"/>
      <c r="O12" s="379">
        <f aca="true" t="shared" si="0" ref="O12:O20">SUM(C12:N12)</f>
        <v>0</v>
      </c>
    </row>
    <row r="13" spans="1:15" ht="27" customHeight="1">
      <c r="A13" s="81" t="s">
        <v>425</v>
      </c>
      <c r="B13" s="66"/>
      <c r="C13" s="400"/>
      <c r="D13" s="374"/>
      <c r="E13" s="400"/>
      <c r="F13" s="95"/>
      <c r="G13" s="400"/>
      <c r="H13" s="95"/>
      <c r="I13" s="400"/>
      <c r="J13" s="374"/>
      <c r="K13" s="378"/>
      <c r="L13" s="374"/>
      <c r="M13" s="400"/>
      <c r="N13" s="374"/>
      <c r="O13" s="379">
        <f t="shared" si="0"/>
        <v>0</v>
      </c>
    </row>
    <row r="14" spans="1:15" ht="25.5">
      <c r="A14" s="81" t="s">
        <v>384</v>
      </c>
      <c r="B14" s="66" t="s">
        <v>189</v>
      </c>
      <c r="C14" s="378"/>
      <c r="D14" s="374"/>
      <c r="E14" s="378"/>
      <c r="F14" s="95"/>
      <c r="G14" s="378"/>
      <c r="H14" s="95"/>
      <c r="I14" s="378"/>
      <c r="J14" s="374"/>
      <c r="K14" s="378"/>
      <c r="L14" s="374"/>
      <c r="M14" s="378"/>
      <c r="N14" s="374"/>
      <c r="O14" s="379">
        <f t="shared" si="0"/>
        <v>0</v>
      </c>
    </row>
    <row r="15" spans="1:15" ht="27" customHeight="1">
      <c r="A15" s="81" t="s">
        <v>385</v>
      </c>
      <c r="B15" s="66" t="s">
        <v>189</v>
      </c>
      <c r="C15" s="378"/>
      <c r="D15" s="374"/>
      <c r="E15" s="378"/>
      <c r="F15" s="95"/>
      <c r="G15" s="378"/>
      <c r="H15" s="95"/>
      <c r="I15" s="378"/>
      <c r="J15" s="374"/>
      <c r="K15" s="378"/>
      <c r="L15" s="374"/>
      <c r="M15" s="400">
        <f>TAXCALC!E132</f>
        <v>-128237.25688439536</v>
      </c>
      <c r="N15" s="374"/>
      <c r="O15" s="379">
        <f t="shared" si="0"/>
        <v>-128237.25688439536</v>
      </c>
    </row>
    <row r="16" spans="1:15" ht="27" customHeight="1">
      <c r="A16" s="81" t="s">
        <v>386</v>
      </c>
      <c r="B16" s="66"/>
      <c r="C16" s="378"/>
      <c r="D16" s="374"/>
      <c r="E16" s="378"/>
      <c r="F16" s="95"/>
      <c r="G16" s="378"/>
      <c r="H16" s="95"/>
      <c r="I16" s="378"/>
      <c r="J16" s="374"/>
      <c r="K16" s="378"/>
      <c r="L16" s="374"/>
      <c r="M16" s="378"/>
      <c r="N16" s="374"/>
      <c r="O16" s="379">
        <f t="shared" si="0"/>
        <v>0</v>
      </c>
    </row>
    <row r="17" spans="1:15" ht="27.75" customHeight="1">
      <c r="A17" s="81" t="s">
        <v>387</v>
      </c>
      <c r="B17" s="66" t="s">
        <v>189</v>
      </c>
      <c r="C17" s="378"/>
      <c r="D17" s="374"/>
      <c r="E17" s="378"/>
      <c r="F17" s="95"/>
      <c r="G17" s="378"/>
      <c r="H17" s="95"/>
      <c r="I17" s="378"/>
      <c r="J17" s="374"/>
      <c r="K17" s="378"/>
      <c r="L17" s="374"/>
      <c r="M17" s="400"/>
      <c r="N17" s="374"/>
      <c r="O17" s="379">
        <f t="shared" si="0"/>
        <v>0</v>
      </c>
    </row>
    <row r="18" spans="1:15" ht="25.5">
      <c r="A18" s="81" t="s">
        <v>388</v>
      </c>
      <c r="B18" s="66" t="s">
        <v>189</v>
      </c>
      <c r="C18" s="378"/>
      <c r="D18" s="374"/>
      <c r="E18" s="378"/>
      <c r="F18" s="95"/>
      <c r="G18" s="378"/>
      <c r="H18" s="95"/>
      <c r="I18" s="378"/>
      <c r="J18" s="374"/>
      <c r="K18" s="378"/>
      <c r="L18" s="374"/>
      <c r="M18" s="378"/>
      <c r="N18" s="374"/>
      <c r="O18" s="379">
        <f t="shared" si="0"/>
        <v>0</v>
      </c>
    </row>
    <row r="19" spans="1:15" ht="24" customHeight="1">
      <c r="A19" s="414" t="s">
        <v>389</v>
      </c>
      <c r="B19" s="66" t="s">
        <v>189</v>
      </c>
      <c r="C19" s="378"/>
      <c r="D19" s="374"/>
      <c r="E19" s="378"/>
      <c r="F19" s="95"/>
      <c r="G19" s="378"/>
      <c r="H19" s="95"/>
      <c r="I19" s="378"/>
      <c r="J19" s="374"/>
      <c r="K19" s="378"/>
      <c r="L19" s="374"/>
      <c r="M19" s="378"/>
      <c r="N19" s="374"/>
      <c r="O19" s="379">
        <f t="shared" si="0"/>
        <v>0</v>
      </c>
    </row>
    <row r="20" spans="1:15" ht="24.75" customHeight="1">
      <c r="A20" s="81" t="s">
        <v>452</v>
      </c>
      <c r="B20" s="66" t="s">
        <v>187</v>
      </c>
      <c r="C20" s="400">
        <v>0</v>
      </c>
      <c r="D20" s="374"/>
      <c r="E20" s="378"/>
      <c r="F20" s="95"/>
      <c r="G20" s="378"/>
      <c r="H20" s="95"/>
      <c r="I20" s="378"/>
      <c r="J20" s="374"/>
      <c r="K20" s="378"/>
      <c r="L20" s="374"/>
      <c r="M20" s="378"/>
      <c r="N20" s="374"/>
      <c r="O20" s="379">
        <f t="shared" si="0"/>
        <v>0</v>
      </c>
    </row>
    <row r="21" spans="1:15" ht="12.75">
      <c r="A21" s="65"/>
      <c r="C21" s="374"/>
      <c r="D21" s="95"/>
      <c r="E21" s="374"/>
      <c r="F21" s="95"/>
      <c r="G21" s="374"/>
      <c r="H21" s="95"/>
      <c r="I21" s="374"/>
      <c r="J21" s="374"/>
      <c r="K21" s="374"/>
      <c r="L21" s="374"/>
      <c r="M21" s="374"/>
      <c r="N21" s="374"/>
      <c r="O21" s="401"/>
    </row>
    <row r="22" spans="1:15" ht="13.5" thickBot="1">
      <c r="A22" s="81" t="s">
        <v>362</v>
      </c>
      <c r="B22" s="34"/>
      <c r="C22" s="380">
        <f>SUM(C11:C20)</f>
        <v>0</v>
      </c>
      <c r="D22" s="401"/>
      <c r="E22" s="380">
        <f>SUM(E11:E20)</f>
        <v>0</v>
      </c>
      <c r="F22" s="401"/>
      <c r="G22" s="380">
        <f>SUM(G11:G20)</f>
        <v>0</v>
      </c>
      <c r="H22" s="401"/>
      <c r="I22" s="380">
        <f>SUM(I11:I20)</f>
        <v>0</v>
      </c>
      <c r="J22" s="373"/>
      <c r="K22" s="380">
        <f>SUM(K11:K20)</f>
        <v>0</v>
      </c>
      <c r="L22" s="373"/>
      <c r="M22" s="380">
        <f>SUM(M11:M21)</f>
        <v>-128237.25688439536</v>
      </c>
      <c r="N22" s="373"/>
      <c r="O22" s="432">
        <f>SUM(O11:O20)</f>
        <v>-128237.25688439536</v>
      </c>
    </row>
    <row r="23" spans="1:15" ht="13.5" thickTop="1">
      <c r="A23" s="415"/>
      <c r="B23" s="416"/>
      <c r="C23" s="422"/>
      <c r="D23" s="423"/>
      <c r="E23" s="422"/>
      <c r="F23" s="423"/>
      <c r="G23" s="422"/>
      <c r="H23" s="423"/>
      <c r="I23" s="422"/>
      <c r="J23" s="416"/>
      <c r="K23" s="422"/>
      <c r="L23" s="187"/>
      <c r="M23" s="424"/>
      <c r="N23" s="187"/>
      <c r="O23" s="424"/>
    </row>
    <row r="24" spans="1:15" ht="12.75">
      <c r="A24" s="438"/>
      <c r="B24" s="439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1"/>
    </row>
    <row r="25" spans="1:15" ht="12.75">
      <c r="A25" s="415"/>
      <c r="B25" s="416"/>
      <c r="C25" s="442"/>
      <c r="D25" s="442"/>
      <c r="E25" s="442"/>
      <c r="F25" s="442"/>
      <c r="G25" s="442"/>
      <c r="H25" s="442"/>
      <c r="I25" s="442"/>
      <c r="J25" s="443"/>
      <c r="K25" s="442"/>
      <c r="L25" s="444"/>
      <c r="M25" s="445"/>
      <c r="N25" s="444"/>
      <c r="O25" s="445"/>
    </row>
    <row r="26" spans="1:15" ht="12.75">
      <c r="A26" s="415" t="s">
        <v>390</v>
      </c>
      <c r="B26" s="416"/>
      <c r="C26" s="442"/>
      <c r="D26" s="442"/>
      <c r="E26" s="442"/>
      <c r="F26" s="442"/>
      <c r="G26" s="442"/>
      <c r="H26" s="442"/>
      <c r="I26" s="442"/>
      <c r="J26" s="443"/>
      <c r="K26" s="442"/>
      <c r="L26" s="444"/>
      <c r="M26" s="445"/>
      <c r="N26" s="444"/>
      <c r="O26" s="445"/>
    </row>
    <row r="27" spans="1:15" ht="9" customHeight="1">
      <c r="A27" s="415"/>
      <c r="B27" s="416"/>
      <c r="C27" s="416"/>
      <c r="D27" s="416"/>
      <c r="E27" s="416"/>
      <c r="F27" s="416"/>
      <c r="G27" s="416"/>
      <c r="H27" s="416"/>
      <c r="I27" s="416"/>
      <c r="J27" s="416"/>
      <c r="K27" s="417"/>
      <c r="L27" s="187"/>
      <c r="M27" s="187"/>
      <c r="N27" s="187"/>
      <c r="O27" s="187"/>
    </row>
    <row r="28" spans="1:15" ht="12.75">
      <c r="A28" s="415" t="s">
        <v>391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187"/>
      <c r="M28" s="187"/>
      <c r="N28" s="187"/>
      <c r="O28" s="187"/>
    </row>
    <row r="29" spans="1:15" ht="12.75">
      <c r="A29" s="418" t="s">
        <v>392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187"/>
      <c r="M29" s="187"/>
      <c r="N29" s="187"/>
      <c r="O29" s="187"/>
    </row>
    <row r="30" spans="1:15" ht="9" customHeight="1">
      <c r="A30" s="187"/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187"/>
      <c r="M30" s="187"/>
      <c r="N30" s="187"/>
      <c r="O30" s="187"/>
    </row>
    <row r="31" spans="1:15" ht="12.75">
      <c r="A31" s="433" t="s">
        <v>393</v>
      </c>
      <c r="B31" s="80"/>
      <c r="C31" s="80"/>
      <c r="D31" s="80"/>
      <c r="E31" s="80"/>
      <c r="F31" s="80"/>
      <c r="G31" s="80"/>
      <c r="H31" s="80"/>
      <c r="I31" s="429"/>
      <c r="J31" s="429"/>
      <c r="K31" s="429"/>
      <c r="L31" s="429"/>
      <c r="M31" s="429"/>
      <c r="N31" s="429"/>
      <c r="O31" s="429"/>
    </row>
    <row r="32" spans="1:15" ht="9" customHeight="1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</row>
    <row r="33" spans="1:19" ht="12.75">
      <c r="A33" s="501" t="s">
        <v>394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402"/>
      <c r="Q33" s="402"/>
      <c r="R33" s="402"/>
      <c r="S33" s="402"/>
    </row>
    <row r="34" spans="1:19" ht="12.75">
      <c r="A34" s="500" t="s">
        <v>395</v>
      </c>
      <c r="B34" s="503"/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402"/>
      <c r="Q34" s="402"/>
      <c r="R34" s="402"/>
      <c r="S34" s="402"/>
    </row>
    <row r="35" spans="1:19" ht="12.75">
      <c r="A35" s="500" t="s">
        <v>416</v>
      </c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402"/>
      <c r="Q35" s="402"/>
      <c r="R35" s="402"/>
      <c r="S35" s="402"/>
    </row>
    <row r="36" spans="1:19" ht="12.75">
      <c r="A36" s="500" t="s">
        <v>396</v>
      </c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402"/>
      <c r="Q36" s="402"/>
      <c r="R36" s="402"/>
      <c r="S36" s="402"/>
    </row>
    <row r="37" spans="1:19" ht="12.75">
      <c r="A37" s="419" t="s">
        <v>359</v>
      </c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02"/>
      <c r="Q37" s="402"/>
      <c r="R37" s="402"/>
      <c r="S37" s="402"/>
    </row>
    <row r="38" spans="1:19" ht="12.75">
      <c r="A38" s="419" t="s">
        <v>360</v>
      </c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02"/>
      <c r="Q38" s="402"/>
      <c r="R38" s="402"/>
      <c r="S38" s="402"/>
    </row>
    <row r="39" spans="1:19" ht="12.75">
      <c r="A39" s="419" t="s">
        <v>397</v>
      </c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02"/>
      <c r="Q39" s="402"/>
      <c r="R39" s="402"/>
      <c r="S39" s="402"/>
    </row>
    <row r="40" spans="1:19" ht="12.75">
      <c r="A40" s="419" t="s">
        <v>398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02"/>
      <c r="Q40" s="402"/>
      <c r="R40" s="402"/>
      <c r="S40" s="402"/>
    </row>
    <row r="41" spans="2:19" ht="9" customHeight="1"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02"/>
      <c r="Q41" s="402"/>
      <c r="R41" s="402"/>
      <c r="S41" s="402"/>
    </row>
    <row r="42" spans="1:15" ht="12.75">
      <c r="A42" s="421" t="s">
        <v>399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187"/>
      <c r="M42" s="187"/>
      <c r="N42" s="187"/>
      <c r="O42" s="187"/>
    </row>
    <row r="43" spans="1:15" ht="12.75">
      <c r="A43" s="416" t="s">
        <v>400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187"/>
      <c r="M43" s="187"/>
      <c r="N43" s="187"/>
      <c r="O43" s="187"/>
    </row>
    <row r="44" spans="1:15" ht="9" customHeight="1">
      <c r="A44" s="416"/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187"/>
      <c r="M44" s="187"/>
      <c r="N44" s="187"/>
      <c r="O44" s="187"/>
    </row>
    <row r="45" spans="1:15" ht="12.75">
      <c r="A45" s="421" t="s">
        <v>401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187"/>
      <c r="M45" s="187"/>
      <c r="N45" s="187"/>
      <c r="O45" s="187"/>
    </row>
    <row r="46" spans="1:15" ht="12.75">
      <c r="A46" s="416" t="s">
        <v>402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187"/>
      <c r="M46" s="187"/>
      <c r="N46" s="187"/>
      <c r="O46" s="187"/>
    </row>
    <row r="47" spans="1:15" ht="9" customHeight="1">
      <c r="A47" s="416"/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187"/>
      <c r="M47" s="187"/>
      <c r="N47" s="187"/>
      <c r="O47" s="187"/>
    </row>
    <row r="48" spans="1:15" ht="12.75">
      <c r="A48" s="421" t="s">
        <v>403</v>
      </c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187"/>
      <c r="M48" s="187"/>
      <c r="N48" s="187"/>
      <c r="O48" s="187"/>
    </row>
    <row r="49" spans="1:15" ht="12.75">
      <c r="A49" s="416" t="s">
        <v>404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187"/>
      <c r="M49" s="187"/>
      <c r="N49" s="187"/>
      <c r="O49" s="187"/>
    </row>
    <row r="50" spans="1:15" ht="9" customHeight="1">
      <c r="A50" s="416"/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187"/>
      <c r="M50" s="187"/>
      <c r="N50" s="187"/>
      <c r="O50" s="187"/>
    </row>
    <row r="51" spans="1:15" ht="12.75">
      <c r="A51" s="421" t="s">
        <v>405</v>
      </c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187"/>
      <c r="M51" s="187"/>
      <c r="N51" s="187"/>
      <c r="O51" s="187"/>
    </row>
    <row r="52" spans="1:15" ht="12.75">
      <c r="A52" s="416" t="s">
        <v>402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187"/>
      <c r="M52" s="187"/>
      <c r="N52" s="187"/>
      <c r="O52" s="187"/>
    </row>
    <row r="53" spans="1:15" ht="9" customHeight="1">
      <c r="A53" s="421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187"/>
      <c r="M53" s="187"/>
      <c r="N53" s="187"/>
      <c r="O53" s="187"/>
    </row>
    <row r="54" spans="1:15" ht="12.75">
      <c r="A54" s="416" t="s">
        <v>406</v>
      </c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187"/>
      <c r="M54" s="187"/>
      <c r="N54" s="187"/>
      <c r="O54" s="187"/>
    </row>
    <row r="55" spans="1:15" ht="9" customHeight="1">
      <c r="A55" s="416"/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187"/>
      <c r="M55" s="187"/>
      <c r="N55" s="187"/>
      <c r="O55" s="187"/>
    </row>
    <row r="56" spans="1:15" ht="12.75" customHeight="1">
      <c r="A56" s="421" t="s">
        <v>407</v>
      </c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187"/>
      <c r="M56" s="187"/>
      <c r="N56" s="187"/>
      <c r="O56" s="187"/>
    </row>
    <row r="57" spans="1:15" ht="9" customHeight="1">
      <c r="A57" s="416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187"/>
      <c r="M57" s="187"/>
      <c r="N57" s="187"/>
      <c r="O57" s="187"/>
    </row>
    <row r="58" spans="1:15" ht="12.75">
      <c r="A58" s="416" t="s">
        <v>408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187"/>
      <c r="M58" s="187"/>
      <c r="N58" s="187"/>
      <c r="O58" s="187"/>
    </row>
    <row r="59" spans="1:15" ht="12.75">
      <c r="A59" s="416" t="s">
        <v>409</v>
      </c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187"/>
      <c r="M59" s="187"/>
      <c r="N59" s="187"/>
      <c r="O59" s="187"/>
    </row>
    <row r="60" spans="1:15" ht="12.75">
      <c r="A60" s="416" t="s">
        <v>410</v>
      </c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187"/>
      <c r="M60" s="187"/>
      <c r="N60" s="187"/>
      <c r="O60" s="187"/>
    </row>
    <row r="61" spans="1:15" ht="12.75">
      <c r="A61" s="416" t="s">
        <v>369</v>
      </c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187"/>
      <c r="M61" s="187"/>
      <c r="N61" s="187"/>
      <c r="O61" s="187"/>
    </row>
    <row r="62" spans="1:15" ht="9" customHeight="1">
      <c r="A62" s="416"/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187"/>
      <c r="M62" s="187"/>
      <c r="N62" s="187"/>
      <c r="O62" s="187"/>
    </row>
    <row r="63" spans="1:15" ht="12.75">
      <c r="A63" s="416" t="s">
        <v>411</v>
      </c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187"/>
      <c r="M63" s="187"/>
      <c r="N63" s="187"/>
      <c r="O63" s="187"/>
    </row>
    <row r="64" spans="1:15" ht="12.75">
      <c r="A64" s="416" t="s">
        <v>412</v>
      </c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187"/>
      <c r="M64" s="187"/>
      <c r="N64" s="187"/>
      <c r="O64" s="187"/>
    </row>
    <row r="65" spans="1:15" ht="12.75">
      <c r="A65" s="416" t="s">
        <v>371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187"/>
      <c r="M65" s="187"/>
      <c r="N65" s="187"/>
      <c r="O65" s="187"/>
    </row>
    <row r="66" spans="1:15" ht="3.75" customHeight="1">
      <c r="A66" s="416"/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187"/>
      <c r="M66" s="187"/>
      <c r="N66" s="187"/>
      <c r="O66" s="187"/>
    </row>
    <row r="67" spans="1:15" ht="12.75">
      <c r="A67" s="416" t="s">
        <v>370</v>
      </c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187"/>
      <c r="M67" s="187"/>
      <c r="N67" s="187"/>
      <c r="O67" s="187"/>
    </row>
    <row r="68" spans="1:15" ht="12.75">
      <c r="A68" s="416" t="s">
        <v>372</v>
      </c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187"/>
      <c r="M68" s="187"/>
      <c r="N68" s="187"/>
      <c r="O68" s="187"/>
    </row>
    <row r="69" spans="1:15" ht="3.75" customHeight="1">
      <c r="A69" s="416"/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187"/>
      <c r="M69" s="187"/>
      <c r="N69" s="187"/>
      <c r="O69" s="187"/>
    </row>
    <row r="70" spans="1:15" ht="12.75">
      <c r="A70" s="416" t="s">
        <v>413</v>
      </c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187"/>
      <c r="M70" s="187"/>
      <c r="N70" s="187"/>
      <c r="O70" s="187"/>
    </row>
    <row r="71" spans="1:15" ht="12.75">
      <c r="A71" s="416" t="s">
        <v>414</v>
      </c>
      <c r="B71" s="416"/>
      <c r="C71" s="416"/>
      <c r="D71" s="416"/>
      <c r="E71" s="416"/>
      <c r="F71" s="416"/>
      <c r="G71" s="416"/>
      <c r="H71" s="416"/>
      <c r="I71" s="416"/>
      <c r="J71" s="416"/>
      <c r="K71" s="416"/>
      <c r="L71" s="187"/>
      <c r="M71" s="187"/>
      <c r="N71" s="187"/>
      <c r="O71" s="187"/>
    </row>
    <row r="72" spans="1:15" ht="12.75">
      <c r="A72" s="416" t="s">
        <v>415</v>
      </c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187"/>
      <c r="M72" s="187"/>
      <c r="N72" s="187"/>
      <c r="O72" s="187"/>
    </row>
    <row r="73" spans="1:15" ht="9" customHeight="1">
      <c r="A73" s="416"/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187"/>
      <c r="M73" s="187"/>
      <c r="N73" s="187"/>
      <c r="O73" s="187"/>
    </row>
    <row r="74" spans="1:15" ht="12.75" customHeight="1">
      <c r="A74" s="500" t="s">
        <v>444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2.75">
      <c r="A75" s="416" t="s">
        <v>361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187"/>
      <c r="M75" s="187"/>
      <c r="N75" s="187"/>
      <c r="O75" s="187"/>
    </row>
    <row r="76" spans="1:15" ht="12.75">
      <c r="A76" s="187"/>
      <c r="B76" s="416"/>
      <c r="C76" s="416"/>
      <c r="D76" s="416"/>
      <c r="E76" s="416"/>
      <c r="F76" s="416"/>
      <c r="G76" s="416"/>
      <c r="H76" s="416"/>
      <c r="I76" s="416"/>
      <c r="J76" s="416"/>
      <c r="K76" s="416"/>
      <c r="L76" s="187"/>
      <c r="M76" s="187"/>
      <c r="N76" s="187"/>
      <c r="O76" s="187"/>
    </row>
    <row r="77" spans="1:15" ht="12.75">
      <c r="A77" s="187"/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187"/>
      <c r="M77" s="187"/>
      <c r="N77" s="187"/>
      <c r="O77" s="187"/>
    </row>
    <row r="78" spans="1:17" ht="12.75">
      <c r="A78" s="187"/>
      <c r="B78" s="416"/>
      <c r="C78" s="416"/>
      <c r="D78" s="416"/>
      <c r="E78" s="416"/>
      <c r="F78" s="416"/>
      <c r="G78" s="416"/>
      <c r="H78" s="416"/>
      <c r="I78" s="416"/>
      <c r="J78" s="416"/>
      <c r="K78" s="416"/>
      <c r="L78" s="416"/>
      <c r="M78" s="416"/>
      <c r="N78" s="187"/>
      <c r="O78" s="187"/>
      <c r="P78" s="187"/>
      <c r="Q78" s="187"/>
    </row>
    <row r="79" spans="1:17" ht="12.75">
      <c r="A79" s="187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187"/>
      <c r="O79" s="187"/>
      <c r="P79" s="187"/>
      <c r="Q79" s="187"/>
    </row>
    <row r="80" spans="1:17" ht="12.75">
      <c r="A80" s="187"/>
      <c r="B80" s="416"/>
      <c r="C80" s="416"/>
      <c r="D80" s="416"/>
      <c r="E80" s="416"/>
      <c r="F80" s="416"/>
      <c r="G80" s="416"/>
      <c r="H80" s="416"/>
      <c r="I80" s="416"/>
      <c r="J80" s="416"/>
      <c r="K80" s="416"/>
      <c r="L80" s="416"/>
      <c r="M80" s="416"/>
      <c r="N80" s="187"/>
      <c r="O80" s="187"/>
      <c r="P80" s="187"/>
      <c r="Q80" s="187"/>
    </row>
    <row r="81" spans="1:17" ht="12.75">
      <c r="A81" s="416"/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187"/>
      <c r="O81" s="187"/>
      <c r="P81" s="187"/>
      <c r="Q81" s="187"/>
    </row>
    <row r="82" spans="1:17" ht="12.75">
      <c r="A82" s="187"/>
      <c r="B82" s="187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187"/>
      <c r="O82" s="187"/>
      <c r="P82" s="187"/>
      <c r="Q82" s="187"/>
    </row>
    <row r="83" spans="1:17" ht="12.75">
      <c r="A83" s="187"/>
      <c r="B83" s="187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187"/>
      <c r="O83" s="187"/>
      <c r="P83" s="187"/>
      <c r="Q83" s="187"/>
    </row>
    <row r="84" spans="1:17" ht="12.75">
      <c r="A84" s="416"/>
      <c r="B84" s="41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187"/>
      <c r="O84" s="187"/>
      <c r="P84" s="187"/>
      <c r="Q84" s="187"/>
    </row>
    <row r="85" spans="1:17" ht="12.75">
      <c r="A85" s="187"/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187"/>
      <c r="O85" s="187"/>
      <c r="P85" s="187"/>
      <c r="Q85" s="187"/>
    </row>
    <row r="86" spans="1:17" ht="12.75">
      <c r="A86" s="187"/>
      <c r="B86" s="416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187"/>
      <c r="O86" s="187"/>
      <c r="P86" s="187"/>
      <c r="Q86" s="187"/>
    </row>
    <row r="87" spans="1:17" ht="12.75">
      <c r="A87" s="187"/>
      <c r="B87" s="187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187"/>
      <c r="O87" s="187"/>
      <c r="P87" s="187"/>
      <c r="Q87" s="187"/>
    </row>
    <row r="88" spans="1:17" ht="12.75">
      <c r="A88" s="187"/>
      <c r="B88" s="187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187"/>
      <c r="O88" s="187"/>
      <c r="P88" s="187"/>
      <c r="Q88" s="187"/>
    </row>
    <row r="89" spans="1:17" ht="12.75">
      <c r="A89" s="187"/>
      <c r="B89" s="187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187"/>
      <c r="O89" s="187"/>
      <c r="P89" s="187"/>
      <c r="Q89" s="187"/>
    </row>
    <row r="90" spans="1:17" ht="12.75">
      <c r="A90" s="187"/>
      <c r="B90" s="187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187"/>
      <c r="O90" s="187"/>
      <c r="P90" s="187"/>
      <c r="Q90" s="187"/>
    </row>
    <row r="91" spans="1:17" ht="12.75">
      <c r="A91" s="187"/>
      <c r="B91" s="187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187"/>
      <c r="O91" s="187"/>
      <c r="P91" s="187"/>
      <c r="Q91" s="187"/>
    </row>
    <row r="92" spans="1:17" ht="12.75">
      <c r="A92" s="187"/>
      <c r="B92" s="187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  <c r="P92" s="500"/>
      <c r="Q92" s="500"/>
    </row>
    <row r="93" spans="1:17" ht="12.75">
      <c r="A93" s="187"/>
      <c r="B93" s="187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Mona Habashy</cp:lastModifiedBy>
  <cp:lastPrinted>2011-07-07T18:02:45Z</cp:lastPrinted>
  <dcterms:created xsi:type="dcterms:W3CDTF">2001-11-07T16:15:53Z</dcterms:created>
  <dcterms:modified xsi:type="dcterms:W3CDTF">2012-09-19T19:04:02Z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