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Analysis'!$A$1:$O$24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<sst xmlns="http://schemas.openxmlformats.org/spreadsheetml/2006/main" count="1027" uniqueCount="611">
  <si>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</si>
  <si>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</si>
  <si>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</si>
  <si>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</si>
  <si>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</si>
  <si>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</si>
  <si>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</si>
  <si>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</si>
  <si>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</si>
  <si>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</si>
  <si>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</si>
  <si>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</si>
  <si>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</si>
  <si>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</si>
  <si>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</si>
  <si>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</si>
  <si>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</si>
  <si>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</si>
  <si>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</si>
  <si>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</si>
  <si>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</si>
  <si>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</si>
  <si>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</si>
  <si>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</si>
  <si>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</si>
  <si>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</si>
  <si>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</si>
  <si>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</si>
  <si>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</si>
  <si>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</si>
  <si>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</si>
  <si>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</si>
  <si>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</si>
  <si>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</si>
  <si>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</si>
  <si>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</si>
  <si>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</si>
  <si>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</si>
  <si>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</si>
  <si>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</si>
  <si>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</si>
  <si>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</si>
  <si>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</si>
  <si>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</si>
  <si>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</si>
  <si>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</si>
  <si>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</si>
  <si>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</si>
  <si>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</si>
  <si>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</si>
  <si>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</si>
  <si>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</si>
  <si>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</si>
  <si>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</si>
  <si>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</si>
  <si>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</si>
  <si>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</si>
  <si>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</si>
  <si>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</si>
  <si>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</si>
  <si>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</si>
  <si>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</si>
  <si>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</si>
  <si>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</si>
  <si>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</si>
  <si>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</si>
  <si>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</si>
  <si>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</si>
  <si>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</si>
  <si>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</si>
  <si>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</si>
  <si>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</si>
  <si>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</si>
  <si>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</si>
  <si>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</si>
  <si>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</si>
  <si>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</si>
  <si>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</si>
  <si>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</si>
  <si>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</si>
  <si>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</si>
  <si>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</si>
  <si>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</si>
  <si>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</si>
  <si>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</si>
  <si>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</si>
  <si>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</si>
  <si>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</si>
  <si>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</si>
  <si>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</si>
  <si>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</si>
  <si>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</si>
  <si>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</si>
  <si>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</si>
  <si>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</si>
  <si>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</si>
  <si>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</si>
  <si>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</si>
  <si>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</si>
  <si>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</si>
  <si>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</si>
  <si>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</si>
  <si>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</si>
  <si>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</si>
  <si>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</si>
  <si>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</si>
  <si>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</si>
  <si>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</si>
  <si>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</si>
  <si>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</si>
  <si>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</si>
  <si>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</si>
  <si>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</si>
  <si>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</si>
  <si>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</si>
  <si>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</si>
  <si>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</si>
  <si>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</si>
  <si>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</si>
  <si>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</si>
  <si>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</si>
  <si>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</si>
  <si>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</si>
  <si>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</si>
  <si>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</si>
  <si>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</si>
  <si>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</si>
  <si>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</si>
  <si>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</si>
  <si>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</si>
  <si>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</si>
  <si>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</si>
  <si>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</si>
  <si>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</si>
  <si>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</si>
  <si>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</si>
  <si>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</si>
  <si>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</si>
  <si>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</si>
  <si>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</si>
  <si>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</si>
  <si>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</si>
  <si>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</si>
  <si>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</si>
  <si>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</si>
  <si>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</si>
  <si>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</si>
  <si>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</si>
  <si>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</si>
  <si>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</si>
  <si>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</si>
  <si>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</si>
  <si>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</si>
  <si>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</si>
  <si>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</si>
  <si>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</si>
  <si>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</si>
  <si>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</si>
  <si>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</si>
  <si>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</si>
  <si>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</si>
  <si>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</si>
  <si>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</si>
  <si>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</si>
  <si>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</si>
  <si>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</si>
  <si>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</si>
  <si>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</si>
  <si>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</si>
  <si>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</si>
  <si>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</si>
  <si>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</si>
  <si>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</si>
  <si>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</si>
  <si>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</si>
  <si>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</si>
  <si>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</si>
  <si>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</si>
  <si>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</si>
  <si>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</si>
  <si>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</si>
  <si>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</si>
  <si>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</si>
  <si>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</si>
  <si>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</si>
  <si>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</si>
  <si>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</si>
  <si>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</si>
  <si>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</si>
  <si>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</si>
  <si>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</si>
  <si>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</si>
  <si>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</si>
  <si>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</si>
  <si>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</si>
  <si>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</si>
  <si>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</si>
  <si>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</si>
  <si>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</si>
  <si>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</si>
  <si>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</si>
  <si>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</si>
  <si>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</si>
  <si>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</si>
  <si>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</si>
  <si>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</si>
  <si>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</si>
  <si>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</si>
  <si>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</si>
  <si>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</si>
  <si>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</si>
  <si>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</si>
  <si>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</si>
  <si>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</si>
  <si>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</si>
  <si>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</si>
  <si>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</si>
  <si>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</si>
  <si>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</si>
  <si>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</si>
  <si>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</si>
  <si>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</si>
  <si>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</si>
  <si>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</si>
  <si>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</si>
  <si>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</si>
  <si>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</si>
  <si>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</si>
  <si>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</si>
  <si>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</si>
  <si>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</si>
  <si>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</si>
  <si>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</si>
  <si>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</si>
  <si>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</si>
  <si>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</si>
  <si>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</si>
  <si>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</si>
  <si>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</si>
  <si>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</si>
  <si>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</si>
  <si>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</si>
  <si>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</si>
  <si>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</si>
  <si>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</si>
  <si>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</si>
  <si>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</si>
  <si>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</si>
  <si>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</si>
  <si>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</si>
  <si>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</si>
  <si>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</si>
  <si>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</si>
  <si>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</si>
  <si>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</si>
  <si>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</si>
  <si>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</si>
  <si>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</si>
  <si>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</si>
  <si>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</si>
  <si>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</si>
  <si>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</si>
  <si>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</si>
  <si>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</si>
  <si>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</si>
  <si>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</si>
  <si>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</si>
  <si>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</si>
  <si>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</si>
  <si>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</si>
  <si>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</si>
  <si>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</si>
  <si>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</si>
  <si>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</si>
  <si>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</si>
  <si>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</si>
  <si>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</si>
  <si>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</si>
  <si>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</si>
  <si>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</si>
  <si>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</si>
  <si>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</si>
  <si>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</si>
  <si>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</si>
  <si>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</si>
  <si>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</si>
  <si>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</si>
  <si>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</si>
  <si>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</si>
  <si>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</si>
  <si>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</si>
  <si>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</si>
  <si>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</si>
  <si>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</si>
  <si>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</si>
  <si>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</si>
  <si>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</si>
  <si>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</si>
  <si>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</si>
  <si>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</si>
  <si>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</si>
  <si>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</si>
  <si>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</si>
  <si>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</si>
  <si>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</si>
  <si>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</si>
  <si>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</si>
  <si>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</si>
  <si>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</si>
  <si>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</si>
  <si>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</si>
  <si>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</si>
  <si>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</si>
  <si>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</si>
  <si>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</si>
  <si>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</si>
  <si>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</si>
  <si>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</si>
  <si>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</si>
  <si>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</si>
  <si>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</si>
  <si>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</si>
  <si>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</si>
  <si>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</si>
  <si>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</si>
  <si>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</si>
  <si>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</si>
  <si>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</si>
  <si>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</si>
  <si>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</si>
  <si>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</si>
  <si>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</si>
  <si>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</si>
  <si>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</si>
  <si>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</si>
  <si>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</si>
  <si>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</si>
  <si>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</si>
  <si>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</si>
  <si>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</si>
  <si>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</si>
  <si>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</si>
  <si>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</si>
  <si>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</si>
  <si>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</si>
  <si>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</si>
  <si>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</si>
  <si>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</si>
  <si>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</si>
  <si>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</si>
  <si>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</si>
  <si>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</si>
  <si>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</si>
  <si>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</si>
  <si>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</si>
  <si>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</si>
  <si>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</si>
  <si>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</si>
  <si>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</si>
  <si>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</si>
  <si>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</si>
  <si>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</si>
  <si>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</si>
  <si>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</si>
  <si>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</si>
  <si>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</si>
  <si>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</si>
  <si>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</si>
  <si>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</si>
  <si>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</si>
  <si>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</si>
  <si>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</si>
  <si>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</si>
  <si>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</si>
  <si>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</si>
  <si>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</si>
  <si>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</si>
  <si>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</si>
  <si>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</si>
  <si>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</si>
  <si>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</si>
  <si>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</si>
  <si>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</si>
  <si>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</si>
  <si>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</si>
  <si>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</si>
  <si>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</si>
  <si>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</si>
  <si>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</si>
  <si>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</si>
  <si>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</si>
  <si>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</si>
  <si>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</si>
  <si>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</si>
  <si>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</si>
  <si>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</si>
  <si>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</si>
  <si>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</si>
  <si>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</si>
  <si>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</si>
  <si>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</si>
  <si>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</si>
  <si>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</si>
  <si>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</si>
  <si>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</si>
  <si>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</si>
  <si>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</si>
  <si>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</si>
  <si>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</si>
  <si>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</si>
  <si>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</si>
  <si>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</si>
  <si>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</si>
  <si>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</si>
  <si>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</si>
  <si>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</si>
  <si>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</si>
  <si>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</si>
  <si>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</si>
  <si>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</si>
  <si>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</si>
  <si>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</si>
  <si>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</si>
  <si>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</si>
  <si>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</si>
  <si>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</si>
  <si>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</si>
  <si>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</si>
  <si>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</si>
  <si>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</si>
  <si>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</si>
  <si>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</si>
  <si>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</si>
  <si>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</si>
  <si>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</si>
  <si>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</si>
  <si>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</si>
  <si>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</si>
  <si>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</si>
  <si>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</si>
  <si>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</si>
  <si>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</si>
  <si>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</si>
  <si>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</si>
  <si>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</si>
  <si>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</si>
  <si>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</si>
  <si>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</si>
  <si>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</si>
  <si>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</si>
  <si>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</si>
  <si>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</si>
  <si>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</si>
  <si>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</si>
  <si>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</si>
  <si>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</si>
  <si>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</si>
  <si>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</si>
  <si>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</si>
  <si>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</si>
  <si>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</si>
  <si>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</si>
  <si>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</si>
  <si>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</si>
  <si>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</si>
  <si>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</si>
  <si>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</si>
  <si>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</si>
  <si>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</si>
  <si>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</si>
  <si>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</si>
  <si>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</si>
  <si>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</si>
  <si>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</si>
  <si>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</si>
  <si>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</si>
  <si>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</si>
  <si>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</si>
  <si>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</si>
  <si>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</si>
  <si>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</si>
  <si>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</si>
  <si>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</si>
  <si>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</si>
  <si>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</si>
  <si>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</si>
  <si>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</si>
  <si>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</si>
  <si>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</si>
  <si>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</si>
  <si>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</si>
  <si>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</si>
  <si>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</si>
  <si>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</si>
  <si>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</si>
  <si>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</si>
  <si>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</si>
  <si>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</si>
  <si>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</si>
  <si>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</si>
  <si>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</si>
  <si>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</si>
  <si>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</si>
  <si>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</si>
  <si>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</si>
  <si>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</si>
  <si>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</si>
  <si>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</si>
  <si>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</si>
  <si>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</si>
  <si>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</si>
  <si>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</si>
  <si>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</si>
  <si>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</si>
  <si>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</si>
  <si>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</si>
  <si>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</si>
  <si>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</si>
  <si>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</si>
  <si>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</si>
  <si>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</si>
  <si>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</si>
  <si>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</si>
  <si>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</si>
  <si>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</si>
  <si>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</si>
  <si>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</si>
  <si>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</si>
  <si>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</si>
  <si>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</si>
  <si>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</si>
  <si>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</si>
  <si>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</si>
  <si>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</si>
  <si>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</si>
  <si>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</si>
  <si>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</si>
  <si>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</si>
  <si>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</si>
  <si>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</si>
  <si>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</si>
  <si>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</si>
  <si>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</si>
  <si>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</si>
  <si>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</si>
  <si>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</si>
  <si>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</si>
  <si>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</si>
  <si>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</si>
  <si>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</si>
  <si>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</si>
  <si>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</si>
  <si>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</si>
  <si>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</si>
  <si>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</si>
  <si>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</si>
  <si>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</si>
  <si>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</si>
  <si>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</si>
  <si>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</si>
  <si>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</si>
  <si>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</si>
  <si>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</si>
  <si>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</si>
  <si>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</si>
  <si>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</si>
  <si>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</si>
  <si>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</si>
  <si>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</si>
  <si>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</si>
  <si>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</si>
  <si>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</si>
  <si>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</si>
  <si>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</si>
  <si>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</si>
  <si>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</si>
  <si>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</si>
  <si>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</si>
  <si>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</si>
  <si>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</si>
  <si>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</si>
  <si>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</si>
  <si>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</si>
  <si>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</si>
  <si>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</si>
  <si>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</si>
  <si>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</si>
  <si>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</si>
  <si>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</si>
  <si>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</si>
  <si>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</si>
  <si>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</si>
  <si>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</si>
  <si>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</si>
  <si>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</si>
  <si>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</si>
  <si>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</si>
  <si>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</si>
  <si>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</si>
  <si>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</si>
  <si>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</si>
  <si>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</si>
  <si>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</si>
  <si>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</si>
  <si>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</si>
  <si>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 xml:space="preserve">Utility Name:  HYDRONAME  </t>
  </si>
  <si>
    <t xml:space="preserve">Reporting period:  Dec. 31, 2001 Revised </t>
  </si>
  <si>
    <t>Employee Future benefits</t>
  </si>
  <si>
    <t>Employee Future Benefits</t>
  </si>
  <si>
    <t>Y</t>
  </si>
  <si>
    <t>N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</si>
</sst>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/>
      <c r="H1" s="8"/>
    </row>
    <row r="2" spans="1:8" ht="12.75">
      <c r="A2" s="2" t="s">
        <v>131</v>
      </c>
      <c r="B2" s="8"/>
      <c r="C2" s="8"/>
      <c r="E2" s="27"/>
      <c r="H2" s="8"/>
    </row>
    <row r="3" spans="1:8" ht="12.75">
      <c r="A3" s="2" t="s">
        <v>605</v>
      </c>
      <c r="C3" s="8"/>
      <c r="E3" s="8"/>
      <c r="F3" s="8"/>
      <c r="G3" s="8"/>
      <c r="H3" s="8"/>
    </row>
    <row r="4" spans="1:8" ht="12.75">
      <c r="A4" s="2" t="s">
        <v>606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6">
        <v>92</v>
      </c>
      <c r="C6" s="8" t="s">
        <v>210</v>
      </c>
      <c r="D6" s="27"/>
      <c r="H6" s="8"/>
    </row>
    <row r="7" spans="1:8" ht="13.5" thickBot="1">
      <c r="A7" s="58" t="s">
        <v>384</v>
      </c>
      <c r="B7" s="289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609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610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610</v>
      </c>
    </row>
    <row r="18" spans="1:4" ht="15" customHeight="1">
      <c r="A18" s="457" t="s">
        <v>464</v>
      </c>
      <c r="C18" s="8"/>
      <c r="D18" s="8"/>
    </row>
    <row r="19" spans="1:4" ht="15" customHeight="1">
      <c r="A19" s="522" t="s">
        <v>465</v>
      </c>
      <c r="B19" s="8" t="s">
        <v>462</v>
      </c>
      <c r="C19" s="8" t="s">
        <v>136</v>
      </c>
      <c r="D19" s="456" t="s">
        <v>610</v>
      </c>
    </row>
    <row r="20" spans="1:4" ht="13.5" thickBot="1">
      <c r="A20" s="523"/>
      <c r="B20" s="8" t="s">
        <v>463</v>
      </c>
      <c r="C20" s="8" t="s">
        <v>136</v>
      </c>
      <c r="D20" s="298" t="s">
        <v>610</v>
      </c>
    </row>
    <row r="21" spans="1:4" ht="12.75">
      <c r="A21" s="522" t="s">
        <v>461</v>
      </c>
      <c r="B21" s="8" t="s">
        <v>462</v>
      </c>
      <c r="C21" s="8"/>
      <c r="D21" s="497"/>
    </row>
    <row r="22" spans="1:4" ht="12.75">
      <c r="A22" s="522"/>
      <c r="B22" s="8" t="s">
        <v>463</v>
      </c>
      <c r="C22" s="8"/>
      <c r="D22" s="497"/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498">
        <v>37256</v>
      </c>
    </row>
    <row r="25" ht="6.75" customHeight="1" thickBot="1">
      <c r="A25" s="12"/>
    </row>
    <row r="26" spans="1:5" ht="12.75">
      <c r="A26" s="295" t="s">
        <v>139</v>
      </c>
      <c r="C26" s="8"/>
      <c r="E26" s="519" t="s">
        <v>430</v>
      </c>
    </row>
    <row r="27" spans="1:5" ht="12.75">
      <c r="A27" s="296" t="s">
        <v>140</v>
      </c>
      <c r="C27" s="8"/>
      <c r="E27" s="520" t="s">
        <v>431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420</v>
      </c>
      <c r="D31" s="495">
        <v>11068045</v>
      </c>
      <c r="H31" s="5"/>
    </row>
    <row r="32" ht="6" customHeight="1"/>
    <row r="33" spans="1:8" ht="12.75">
      <c r="A33" t="s">
        <v>143</v>
      </c>
      <c r="D33" s="496">
        <v>0.5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6">
        <v>0.0988</v>
      </c>
      <c r="H37" s="47"/>
    </row>
    <row r="38" ht="4.5" customHeight="1">
      <c r="H38" s="40"/>
    </row>
    <row r="39" spans="1:8" ht="12.75">
      <c r="A39" t="s">
        <v>146</v>
      </c>
      <c r="D39" s="496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947978.05425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9">
        <v>255161</v>
      </c>
      <c r="E43" s="455">
        <f>D43</f>
        <v>255161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692817.05425</v>
      </c>
      <c r="H45" s="46"/>
      <c r="J45" s="5"/>
      <c r="K45" s="5"/>
    </row>
    <row r="46" spans="1:11" ht="12.75">
      <c r="A46" s="2" t="s">
        <v>421</v>
      </c>
      <c r="D46" s="46"/>
      <c r="H46" s="46"/>
      <c r="J46" s="5"/>
      <c r="K46" s="5"/>
    </row>
    <row r="47" spans="1:11" ht="12.75">
      <c r="A47" t="s">
        <v>422</v>
      </c>
      <c r="D47" s="500">
        <v>230939</v>
      </c>
      <c r="E47" s="455">
        <f aca="true" t="shared" si="0" ref="E47:E52">D47</f>
        <v>230939</v>
      </c>
      <c r="H47" s="46"/>
      <c r="J47" s="5"/>
      <c r="K47" s="5"/>
    </row>
    <row r="48" spans="1:11" ht="12.75">
      <c r="A48" t="s">
        <v>423</v>
      </c>
      <c r="D48" s="500">
        <v>230939</v>
      </c>
      <c r="E48" s="455">
        <f t="shared" si="0"/>
        <v>230939</v>
      </c>
      <c r="F48" s="28"/>
      <c r="H48" s="46"/>
      <c r="J48" s="5"/>
      <c r="K48" s="5"/>
    </row>
    <row r="49" spans="1:11" ht="12.75">
      <c r="A49" t="s">
        <v>424</v>
      </c>
      <c r="D49" s="501">
        <v>230939</v>
      </c>
      <c r="E49" s="455">
        <f t="shared" si="0"/>
        <v>230939</v>
      </c>
      <c r="F49" s="28"/>
      <c r="H49" s="46"/>
      <c r="J49" s="5"/>
      <c r="K49" s="5"/>
    </row>
    <row r="50" spans="1:11" ht="12.75">
      <c r="A50" t="s">
        <v>425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426</v>
      </c>
      <c r="E53" s="294">
        <f>SUM(E43:E52)</f>
        <v>947978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5534022.5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546761.423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5534022.5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460</v>
      </c>
      <c r="B61" s="5"/>
      <c r="C61" s="5"/>
      <c r="D61" s="292">
        <f>D59*D39</f>
        <v>401216.63125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427</v>
      </c>
      <c r="B63" s="5"/>
      <c r="C63" s="5"/>
      <c r="D63" s="293">
        <f>IF(D41&gt;0,(((D43+D47)/D41)*D61),0)</f>
        <v>205734.09223584353</v>
      </c>
      <c r="F63" s="5"/>
      <c r="H63" s="38"/>
      <c r="J63" s="5"/>
      <c r="K63" s="5"/>
    </row>
    <row r="64" spans="1:11" ht="12.75">
      <c r="A64" s="39" t="s">
        <v>579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428</v>
      </c>
      <c r="B65" s="5"/>
      <c r="C65" s="5"/>
      <c r="D65" s="293">
        <f>IF(D41&gt;0,(((D43+D47+D48)/D41)*D61),0)</f>
        <v>303475.350262697</v>
      </c>
      <c r="F65" s="5"/>
      <c r="H65" s="38"/>
      <c r="J65" s="5"/>
      <c r="K65" s="5"/>
    </row>
    <row r="66" spans="1:11" ht="12.75">
      <c r="A66" s="39" t="s">
        <v>580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429</v>
      </c>
      <c r="B67" s="5"/>
      <c r="C67" s="5"/>
      <c r="D67" s="293">
        <f>IF(D41&gt;0,(((D43+D47+D48)/D41)*D61),0)</f>
        <v>303475.350262697</v>
      </c>
      <c r="F67" s="5"/>
      <c r="H67" s="38"/>
      <c r="J67" s="5"/>
    </row>
    <row r="68" spans="1:10" ht="12.75">
      <c r="A68" s="39" t="s">
        <v>581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46">
      <selection activeCell="I169" sqref="I16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376</v>
      </c>
      <c r="J4" s="245" t="s">
        <v>32</v>
      </c>
      <c r="K4" s="158" t="s">
        <v>48</v>
      </c>
      <c r="L4" s="242"/>
    </row>
    <row r="5" spans="1:12" ht="12.75">
      <c r="A5" s="235">
        <f>REGINFO!E2</f>
        <v>0</v>
      </c>
      <c r="B5" s="247"/>
      <c r="C5" s="244"/>
      <c r="D5" s="239"/>
      <c r="E5" s="239"/>
      <c r="F5" s="239"/>
      <c r="G5" s="239"/>
      <c r="H5" s="239"/>
      <c r="I5" s="158"/>
      <c r="J5" s="245"/>
      <c r="K5" s="205">
        <f>REGINFO!E1</f>
        <v>0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HYDRONAME  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Dec. 31, 2001 Revised 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503">
        <f>REGINFO!B6</f>
        <v>92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384</v>
      </c>
      <c r="B10" s="503">
        <f>REGINFO!B7</f>
        <v>365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503</v>
      </c>
      <c r="B15" s="143">
        <v>1</v>
      </c>
      <c r="C15" s="300">
        <v>63790</v>
      </c>
      <c r="D15" s="18"/>
      <c r="E15" s="18"/>
      <c r="F15" s="18"/>
      <c r="G15" s="22"/>
      <c r="H15" s="22"/>
      <c r="I15" s="308">
        <f>K15-C15</f>
        <v>-63790</v>
      </c>
      <c r="J15" s="3"/>
      <c r="K15" s="308">
        <f>TAXREC!E50</f>
        <v>0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165876</v>
      </c>
      <c r="D20" s="20"/>
      <c r="E20" s="20"/>
      <c r="F20" s="20"/>
      <c r="G20" s="23"/>
      <c r="H20" s="23"/>
      <c r="I20" s="308">
        <f>K20-C20</f>
        <v>-25397</v>
      </c>
      <c r="J20" s="6"/>
      <c r="K20" s="308">
        <f>TAXREC!E61</f>
        <v>140479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123643</v>
      </c>
      <c r="J21" s="6"/>
      <c r="K21" s="308">
        <f>TAXREC!E62</f>
        <v>123643</v>
      </c>
      <c r="L21" s="172"/>
    </row>
    <row r="22" spans="1:12" ht="12.75">
      <c r="A22" s="179" t="s">
        <v>395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394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396</v>
      </c>
      <c r="B24" s="145">
        <v>5</v>
      </c>
      <c r="C24" s="302">
        <v>0</v>
      </c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453</v>
      </c>
      <c r="J27" s="6"/>
      <c r="K27" s="308">
        <f>TAXREC!E92</f>
        <v>453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100</v>
      </c>
      <c r="J29" s="6"/>
      <c r="K29" s="308">
        <f>TAXREC!E67</f>
        <v>100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504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57506</v>
      </c>
      <c r="D32" s="20"/>
      <c r="E32" s="20"/>
      <c r="F32" s="20"/>
      <c r="G32" s="150"/>
      <c r="H32" s="150"/>
      <c r="I32" s="308">
        <f aca="true" t="shared" si="0" ref="I32:I41">K32-C32</f>
        <v>93771</v>
      </c>
      <c r="J32" s="6"/>
      <c r="K32" s="308">
        <f>TAXREC!E96+TAXREC!E97</f>
        <v>151277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34846</v>
      </c>
      <c r="J33" s="6"/>
      <c r="K33" s="308">
        <f>TAXREC!E98</f>
        <v>34846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397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v>51434</v>
      </c>
      <c r="D36" s="20"/>
      <c r="E36" s="20"/>
      <c r="F36" s="20"/>
      <c r="G36" s="150"/>
      <c r="H36" s="150"/>
      <c r="I36" s="308">
        <f t="shared" si="0"/>
        <v>-51434</v>
      </c>
      <c r="J36" s="6"/>
      <c r="K36" s="308">
        <f>TAXREC!E51</f>
        <v>0</v>
      </c>
      <c r="L36" s="172"/>
    </row>
    <row r="37" spans="1:12" ht="12.75">
      <c r="A37" s="176" t="s">
        <v>393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392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483</v>
      </c>
      <c r="B48" s="143"/>
      <c r="C48" s="304">
        <f>C15+SUM(C20:C29)-SUM(C32:C46)</f>
        <v>120726</v>
      </c>
      <c r="D48" s="24"/>
      <c r="E48" s="24"/>
      <c r="F48" s="24"/>
      <c r="G48" s="117"/>
      <c r="H48" s="117"/>
      <c r="I48" s="304">
        <f>SUM(I15:I47)</f>
        <v>112192</v>
      </c>
      <c r="J48" s="505" t="s">
        <v>554</v>
      </c>
      <c r="K48" s="304">
        <f>K15+SUM(K20:K29)-SUM(K32:K46)</f>
        <v>78552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498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502</v>
      </c>
      <c r="B51" s="145">
        <v>13</v>
      </c>
      <c r="C51" s="303">
        <v>0.3412</v>
      </c>
      <c r="D51" s="116"/>
      <c r="E51" s="116"/>
      <c r="F51" s="116"/>
      <c r="G51" s="117"/>
      <c r="H51" s="117"/>
      <c r="I51" s="309">
        <f>+K51-C51</f>
        <v>-0.0398</v>
      </c>
      <c r="J51" s="130"/>
      <c r="K51" s="303">
        <v>0.3014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ROUND(IF(C48&gt;0,C48*C51,0),2)</f>
        <v>41191.71</v>
      </c>
      <c r="D53" s="24"/>
      <c r="E53" s="24"/>
      <c r="F53" s="24"/>
      <c r="G53" s="117"/>
      <c r="H53" s="117"/>
      <c r="I53" s="308">
        <f>K53-C53</f>
        <v>-41191.71</v>
      </c>
      <c r="J53" s="505" t="s">
        <v>555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555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41191.71</v>
      </c>
      <c r="D58" s="151"/>
      <c r="E58" s="151"/>
      <c r="F58" s="151"/>
      <c r="G58" s="152"/>
      <c r="H58" s="152"/>
      <c r="I58" s="310">
        <f>+I53-I56</f>
        <v>-41191.71</v>
      </c>
      <c r="J58" s="505" t="s">
        <v>555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11068045</v>
      </c>
      <c r="D64" s="116"/>
      <c r="E64" s="116"/>
      <c r="F64" s="116"/>
      <c r="G64" s="117"/>
      <c r="H64" s="117"/>
      <c r="I64" s="308">
        <f>K64-C64</f>
        <v>5642059</v>
      </c>
      <c r="J64" s="6"/>
      <c r="K64" s="308">
        <f>TAXREC!E217</f>
        <v>16710104</v>
      </c>
      <c r="L64" s="172"/>
    </row>
    <row r="65" spans="1:12" ht="12.75">
      <c r="A65" s="173" t="s">
        <v>546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0</v>
      </c>
      <c r="J65" s="6"/>
      <c r="K65" s="308">
        <f>TAXREC!E220</f>
        <v>5000000</v>
      </c>
      <c r="L65" s="172"/>
    </row>
    <row r="66" spans="1:12" ht="12.75">
      <c r="A66" s="173" t="s">
        <v>53</v>
      </c>
      <c r="B66" s="143"/>
      <c r="C66" s="305">
        <f>IF((C64-C65)&gt;0,C64-C65,0)</f>
        <v>6068045</v>
      </c>
      <c r="D66" s="116"/>
      <c r="E66" s="116"/>
      <c r="F66" s="116"/>
      <c r="G66" s="117"/>
      <c r="H66" s="117"/>
      <c r="I66" s="308">
        <f>SUM(I64:I65)</f>
        <v>5642059</v>
      </c>
      <c r="J66" s="130"/>
      <c r="K66" s="305">
        <f>IF((K64-K65)&gt;0,K64-K65,0)</f>
        <v>11710104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547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466</v>
      </c>
      <c r="B70" s="143"/>
      <c r="C70" s="305">
        <f>IF(C66&gt;0,C66*C68,0)*0.25</f>
        <v>4551.0337500000005</v>
      </c>
      <c r="D70" s="114"/>
      <c r="E70" s="114"/>
      <c r="F70" s="114"/>
      <c r="G70" s="115"/>
      <c r="H70" s="115"/>
      <c r="I70" s="308">
        <f>+K70-C70</f>
        <v>4303.72982260274</v>
      </c>
      <c r="J70" s="130"/>
      <c r="K70" s="305">
        <f>TAXREC!E229</f>
        <v>8854.76357260274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335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11068045</v>
      </c>
      <c r="D73" s="116"/>
      <c r="E73" s="116"/>
      <c r="F73" s="116"/>
      <c r="G73" s="117"/>
      <c r="H73" s="117"/>
      <c r="I73" s="308">
        <f>+K73-C73</f>
        <v>3167494</v>
      </c>
      <c r="J73" s="6"/>
      <c r="K73" s="308">
        <f>TAXREC!E280</f>
        <v>14235539</v>
      </c>
      <c r="L73" s="172"/>
    </row>
    <row r="74" spans="1:12" ht="12.75">
      <c r="A74" s="173" t="s">
        <v>546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0</v>
      </c>
      <c r="J74" s="6"/>
      <c r="K74" s="308">
        <f>TAXREC!E282</f>
        <v>10000000</v>
      </c>
      <c r="L74" s="172"/>
    </row>
    <row r="75" spans="1:12" ht="12.75">
      <c r="A75" s="173" t="s">
        <v>53</v>
      </c>
      <c r="B75" s="143"/>
      <c r="C75" s="305">
        <f>IF((C73-C74)&gt;0,C73-C74,0)</f>
        <v>1068045</v>
      </c>
      <c r="D75" s="24"/>
      <c r="E75" s="24"/>
      <c r="F75" s="24"/>
      <c r="G75" s="25"/>
      <c r="H75" s="25"/>
      <c r="I75" s="308">
        <f>SUM(I73:I74)</f>
        <v>3167494</v>
      </c>
      <c r="J75" s="130"/>
      <c r="K75" s="305">
        <f>IF((K73-K74)&gt;0,K73-K74,0)</f>
        <v>4235539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547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0</v>
      </c>
      <c r="J77" s="6"/>
      <c r="K77" s="309">
        <f>TAXREC!E286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467</v>
      </c>
      <c r="B79" s="143"/>
      <c r="C79" s="305">
        <f>IF(C75&gt;0,C75*C77,0)</f>
        <v>2403.1012499999997</v>
      </c>
      <c r="D79" s="116"/>
      <c r="E79" s="116"/>
      <c r="F79" s="116"/>
      <c r="G79" s="117"/>
      <c r="H79" s="117"/>
      <c r="I79" s="308">
        <f>+K79-C79</f>
        <v>-1.0284472602738788</v>
      </c>
      <c r="J79" s="6"/>
      <c r="K79" s="305">
        <f>TAXREC!E291</f>
        <v>2402.072802739726</v>
      </c>
      <c r="L79" s="172"/>
    </row>
    <row r="80" spans="1:12" ht="12.75">
      <c r="A80" s="173" t="s">
        <v>468</v>
      </c>
      <c r="B80" s="143">
        <v>21</v>
      </c>
      <c r="C80" s="355">
        <f>IF(C75&gt;0,IF(C58&gt;0,C48*'Tax Rates'!C20,0),0)</f>
        <v>1352.1312</v>
      </c>
      <c r="D80" s="116"/>
      <c r="E80" s="116"/>
      <c r="F80" s="116"/>
      <c r="G80" s="117"/>
      <c r="H80" s="117"/>
      <c r="I80" s="308">
        <f>+K80-C80</f>
        <v>-1352.1312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v>0</v>
      </c>
      <c r="D82" s="21"/>
      <c r="E82" s="114"/>
      <c r="F82" s="21"/>
      <c r="G82" s="16"/>
      <c r="H82" s="16"/>
      <c r="I82" s="308">
        <f>SUM(I79:I81)</f>
        <v>-1353.159647260274</v>
      </c>
      <c r="J82" s="118"/>
      <c r="K82" s="305">
        <f>K79-K80</f>
        <v>2402.072802739726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352</v>
      </c>
      <c r="B86" s="143"/>
      <c r="C86" s="303">
        <f>C51</f>
        <v>0.3412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556</v>
      </c>
      <c r="B88" s="145">
        <v>22</v>
      </c>
      <c r="C88" s="305">
        <f>ROUND(C58/(1-C86),0)</f>
        <v>62525</v>
      </c>
      <c r="D88" s="113"/>
      <c r="E88" s="113"/>
      <c r="F88" s="113"/>
      <c r="G88" s="26"/>
      <c r="H88" s="26"/>
      <c r="I88" s="160"/>
      <c r="J88" s="504" t="s">
        <v>548</v>
      </c>
      <c r="K88" s="311">
        <f>TAXREC!E303</f>
        <v>0</v>
      </c>
      <c r="L88" s="172"/>
    </row>
    <row r="89" spans="1:12" ht="12.75">
      <c r="A89" s="179" t="s">
        <v>557</v>
      </c>
      <c r="B89" s="145">
        <v>23</v>
      </c>
      <c r="C89" s="305">
        <f>C82/(1-C86)</f>
        <v>0</v>
      </c>
      <c r="D89" s="113"/>
      <c r="E89" s="113"/>
      <c r="F89" s="113"/>
      <c r="G89" s="26"/>
      <c r="H89" s="26"/>
      <c r="I89" s="160"/>
      <c r="J89" s="504" t="s">
        <v>548</v>
      </c>
      <c r="K89" s="311">
        <f>TAXREC!E305</f>
        <v>2402.072802739726</v>
      </c>
      <c r="L89" s="172"/>
    </row>
    <row r="90" spans="1:12" ht="12.75">
      <c r="A90" s="179" t="s">
        <v>513</v>
      </c>
      <c r="B90" s="145">
        <v>24</v>
      </c>
      <c r="C90" s="305">
        <f>C70</f>
        <v>4551.0337500000005</v>
      </c>
      <c r="D90" s="113"/>
      <c r="E90" s="113"/>
      <c r="F90" s="113"/>
      <c r="G90" s="26"/>
      <c r="H90" s="26"/>
      <c r="I90" s="160"/>
      <c r="J90" s="504" t="s">
        <v>548</v>
      </c>
      <c r="K90" s="311">
        <f>TAXREC!E304</f>
        <v>8854.76357260274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482</v>
      </c>
      <c r="B93" s="143">
        <v>25</v>
      </c>
      <c r="C93" s="310">
        <f>SUM(C88:C91)</f>
        <v>67076.03375</v>
      </c>
      <c r="D93" s="99"/>
      <c r="E93" s="99"/>
      <c r="F93" s="99"/>
      <c r="G93" s="6"/>
      <c r="H93" s="6"/>
      <c r="I93" s="160"/>
      <c r="J93" s="504" t="s">
        <v>548</v>
      </c>
      <c r="K93" s="484">
        <f>SUM(K88:K92)</f>
        <v>11256.836375342466</v>
      </c>
      <c r="L93" s="185"/>
    </row>
    <row r="94" spans="1:12" ht="12.75">
      <c r="A94" s="473" t="s">
        <v>452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440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373</v>
      </c>
      <c r="B98" s="140"/>
      <c r="C98" s="128"/>
      <c r="D98" s="3"/>
      <c r="E98" s="3"/>
      <c r="F98" s="3"/>
      <c r="G98" s="3"/>
      <c r="H98" s="3"/>
      <c r="I98" s="164" t="s">
        <v>375</v>
      </c>
      <c r="J98" s="43"/>
      <c r="K98" s="223"/>
      <c r="L98" s="185"/>
    </row>
    <row r="99" spans="1:12" ht="12.75">
      <c r="A99" s="177" t="s">
        <v>511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123643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550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551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549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34846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471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552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553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337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88797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453</v>
      </c>
      <c r="B120" s="145"/>
      <c r="C120" s="128"/>
      <c r="D120" s="3"/>
      <c r="E120" s="3"/>
      <c r="F120" s="3"/>
      <c r="G120" s="3"/>
      <c r="H120" s="3" t="s">
        <v>357</v>
      </c>
      <c r="I120" s="367">
        <f>K51</f>
        <v>0.3014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372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26763.4158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26763.4158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I120-0.0112</f>
        <v>0.2902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535</v>
      </c>
      <c r="B130" s="148"/>
      <c r="C130" s="128"/>
      <c r="D130" s="3"/>
      <c r="E130" s="3"/>
      <c r="F130" s="3"/>
      <c r="G130" s="3"/>
      <c r="H130" s="3"/>
      <c r="I130" s="304">
        <f>I126/(1-I128)</f>
        <v>37705.573119188506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361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120726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363</v>
      </c>
      <c r="B136" s="148"/>
      <c r="C136" s="128"/>
      <c r="D136" s="3"/>
      <c r="E136" s="3"/>
      <c r="F136" s="3"/>
      <c r="G136" s="136"/>
      <c r="H136" s="136" t="s">
        <v>357</v>
      </c>
      <c r="I136" s="367">
        <f>I120</f>
        <v>0.3014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355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36386.8164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364</v>
      </c>
      <c r="B140" s="148"/>
      <c r="C140" s="128"/>
      <c r="D140" s="3"/>
      <c r="E140" s="3"/>
      <c r="F140" s="3"/>
      <c r="G140" s="135"/>
      <c r="H140" s="135" t="s">
        <v>278</v>
      </c>
      <c r="I140" s="359">
        <v>1436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356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34950.8164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365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41191.71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358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-6240.893599999996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11068045</v>
      </c>
      <c r="J149" s="43"/>
      <c r="K149" s="224"/>
      <c r="L149" s="185"/>
    </row>
    <row r="150" spans="1:12" ht="12.75">
      <c r="A150" s="192" t="s">
        <v>544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359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6068045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545</v>
      </c>
      <c r="B153" s="148"/>
      <c r="C153" s="128"/>
      <c r="D153" s="3"/>
      <c r="E153" s="3"/>
      <c r="F153" s="3"/>
      <c r="G153" s="136"/>
      <c r="H153" s="136" t="s">
        <v>357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360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I151*I153*REGINFO!B6/REGINFO!B7</f>
        <v>4588.439506849316</v>
      </c>
      <c r="J155" s="43"/>
      <c r="K155" s="224"/>
      <c r="L155" s="185"/>
    </row>
    <row r="156" spans="1:12" ht="25.5">
      <c r="A156" s="192" t="s">
        <v>454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4551.0337500000005</v>
      </c>
      <c r="J156" s="43"/>
      <c r="K156" s="224"/>
      <c r="L156" s="185"/>
    </row>
    <row r="157" spans="1:12" ht="12.75" customHeight="1">
      <c r="A157" s="193" t="s">
        <v>370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37.40575684931537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362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11068045</v>
      </c>
      <c r="J160" s="43"/>
      <c r="K160" s="224"/>
      <c r="L160" s="185"/>
    </row>
    <row r="161" spans="1:12" ht="12.75">
      <c r="A161" s="192" t="s">
        <v>543</v>
      </c>
      <c r="B161" s="148"/>
      <c r="C161" s="128"/>
      <c r="D161" s="3"/>
      <c r="E161" s="3"/>
      <c r="F161" s="3"/>
      <c r="G161" s="135"/>
      <c r="H161" s="135" t="s">
        <v>278</v>
      </c>
      <c r="I161" s="360">
        <v>10000000</v>
      </c>
      <c r="J161" s="43"/>
      <c r="K161" s="224"/>
      <c r="L161" s="185"/>
    </row>
    <row r="162" spans="1:12" ht="12.75">
      <c r="A162" s="192" t="s">
        <v>366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1068045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455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0.00225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367</v>
      </c>
      <c r="B166" s="148"/>
      <c r="C166" s="128"/>
      <c r="D166" s="3"/>
      <c r="E166" s="3"/>
      <c r="F166" s="3"/>
      <c r="G166" s="136"/>
      <c r="H166" s="136"/>
      <c r="I166" s="357">
        <f>I162*I164*REGINFO!B6/REGINFO!B7</f>
        <v>605.7131917808218</v>
      </c>
      <c r="J166" s="43"/>
      <c r="K166" s="224"/>
      <c r="L166" s="185"/>
    </row>
    <row r="167" spans="1:12" ht="12.75">
      <c r="A167" s="192" t="s">
        <v>469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1352.1312</v>
      </c>
      <c r="J167" s="43"/>
      <c r="K167" s="224"/>
      <c r="L167" s="185"/>
    </row>
    <row r="168" spans="1:12" ht="12.75">
      <c r="A168" s="192" t="s">
        <v>368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IF(I166-I167&lt;0,0,I166-I167)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512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0</v>
      </c>
      <c r="J170" s="43"/>
      <c r="K170" s="224"/>
      <c r="L170" s="185"/>
    </row>
    <row r="171" spans="1:12" ht="12.75">
      <c r="A171" s="176" t="s">
        <v>371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509</v>
      </c>
      <c r="B173" s="148"/>
      <c r="C173" s="128"/>
      <c r="D173" s="3"/>
      <c r="E173" s="3"/>
      <c r="F173" s="3"/>
      <c r="G173" s="136"/>
      <c r="H173" s="136"/>
      <c r="I173" s="367">
        <f>I128</f>
        <v>0.2902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369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-8792.467737390809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37.40575684931537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536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-8755.061980541494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510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37705.573119188506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537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28950.511138647013</v>
      </c>
      <c r="J183" s="43"/>
      <c r="K183" s="224"/>
      <c r="L183" s="185"/>
    </row>
    <row r="184" spans="1:12" ht="12.75">
      <c r="A184" s="183" t="s">
        <v>374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346</v>
      </c>
      <c r="B191" s="145"/>
      <c r="C191" s="128"/>
      <c r="D191" s="118"/>
      <c r="E191" s="118"/>
      <c r="F191" s="118"/>
      <c r="G191" s="137"/>
      <c r="H191" s="137"/>
      <c r="I191" s="363">
        <f>REGINFO!D61</f>
        <v>401216.63125</v>
      </c>
      <c r="J191" s="3"/>
      <c r="K191" s="140"/>
      <c r="L191" s="185"/>
    </row>
    <row r="192" spans="1:12" ht="12.75">
      <c r="A192" s="176" t="s">
        <v>377</v>
      </c>
      <c r="B192" s="145"/>
      <c r="C192" s="128"/>
      <c r="D192" s="118"/>
      <c r="E192" s="118"/>
      <c r="F192" s="118"/>
      <c r="G192" s="137"/>
      <c r="H192" s="137"/>
      <c r="I192" s="363">
        <f>C36</f>
        <v>51434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506</v>
      </c>
      <c r="B194" s="145"/>
      <c r="C194" s="128"/>
      <c r="D194" s="118"/>
      <c r="E194" s="118"/>
      <c r="F194" s="118"/>
      <c r="G194" s="137"/>
      <c r="H194" s="137"/>
      <c r="I194" s="363">
        <f>I191-I192</f>
        <v>349782.63125</v>
      </c>
      <c r="J194" s="3"/>
      <c r="K194" s="140"/>
      <c r="L194" s="185"/>
    </row>
    <row r="195" spans="1:12" ht="12.75">
      <c r="A195" s="176" t="s">
        <v>507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385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378</v>
      </c>
      <c r="B199" s="145"/>
      <c r="C199" s="128"/>
      <c r="D199" s="118"/>
      <c r="E199" s="118"/>
      <c r="F199" s="118"/>
      <c r="G199" s="137"/>
      <c r="H199" s="137"/>
      <c r="I199" s="363">
        <f>K36+K41</f>
        <v>0</v>
      </c>
      <c r="J199" s="3"/>
      <c r="K199" s="140"/>
      <c r="L199" s="185"/>
    </row>
    <row r="200" spans="1:12" ht="12.75">
      <c r="A200" s="176" t="s">
        <v>508</v>
      </c>
      <c r="B200" s="145"/>
      <c r="C200" s="128"/>
      <c r="D200" s="118"/>
      <c r="E200" s="118"/>
      <c r="F200" s="118"/>
      <c r="G200" s="137"/>
      <c r="H200" s="137"/>
      <c r="I200" s="363">
        <f>REGINFO!D61</f>
        <v>401216.63125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470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347</v>
      </c>
      <c r="B206" s="199"/>
      <c r="C206" s="200"/>
      <c r="D206" s="201"/>
      <c r="E206" s="201"/>
      <c r="F206" s="201"/>
      <c r="G206" s="202"/>
      <c r="H206" s="202"/>
      <c r="I206" s="364">
        <f>+I194-I202</f>
        <v>349782.63125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92" bottom="0.39" header="0.51" footer="0.1"/>
  <pageSetup horizontalDpi="600" verticalDpi="600" orientation="portrait" scale="60" r:id="rId1"/>
  <headerFooter alignWithMargins="0">
    <oddFooter>&amp;L&amp;F&amp;C&amp;P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="80" zoomScaleNormal="80" zoomScalePageLayoutView="0" workbookViewId="0" topLeftCell="A106">
      <selection activeCell="C63" sqref="C6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>
        <f>REGINFO!E2</f>
        <v>0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>
        <f>REGINFO!E1</f>
        <v>0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HYDRONAME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 Revised 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1">
        <v>92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299">
        <f>Ratebase*REGINFO!D33*0.25%</f>
        <v>13835.05625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4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1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480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387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345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478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479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406</v>
      </c>
      <c r="B31" s="29" t="s">
        <v>277</v>
      </c>
      <c r="C31" s="327">
        <v>0</v>
      </c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/>
      <c r="D33" s="328"/>
      <c r="E33" s="326">
        <f>C33-D33</f>
        <v>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/>
      <c r="D39" s="328"/>
      <c r="E39" s="326">
        <f>C39-D39</f>
        <v>0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7"/>
      <c r="D42" s="328"/>
      <c r="E42" s="326">
        <f t="shared" si="0"/>
        <v>0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7"/>
      <c r="D43" s="328"/>
      <c r="E43" s="326">
        <f t="shared" si="0"/>
        <v>0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v>-371600</v>
      </c>
      <c r="D50" s="323">
        <f>SUM(D31:D36)-SUM(D39:D49)</f>
        <v>0</v>
      </c>
      <c r="E50" s="323">
        <f>SUM(E31:E35)-SUM(E39:E48)</f>
        <v>0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/>
      <c r="D51" s="327"/>
      <c r="E51" s="324">
        <f>+C51-D51</f>
        <v>0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-858800</v>
      </c>
      <c r="D52" s="327"/>
      <c r="E52" s="325">
        <f>+C52-D52</f>
        <v>-858800</v>
      </c>
      <c r="F52" s="8"/>
    </row>
    <row r="53" spans="1:6" ht="12.75">
      <c r="A53" s="2" t="s">
        <v>214</v>
      </c>
      <c r="B53" s="8" t="s">
        <v>280</v>
      </c>
      <c r="C53" s="323">
        <f>C50-C51-C52</f>
        <v>487200</v>
      </c>
      <c r="D53" s="323">
        <f>D50-D51-D52</f>
        <v>0</v>
      </c>
      <c r="E53" s="323">
        <f>E50-E51-E52</f>
        <v>858800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-858800</v>
      </c>
      <c r="D59" s="329">
        <f>D52</f>
        <v>0</v>
      </c>
      <c r="E59" s="313">
        <f>+C59-D59</f>
        <v>-858800</v>
      </c>
      <c r="F59" s="8"/>
    </row>
    <row r="60" spans="1:6" ht="12.75">
      <c r="A60" s="4" t="s">
        <v>481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v>140479</v>
      </c>
      <c r="D61" s="329">
        <f>D43</f>
        <v>0</v>
      </c>
      <c r="E61" s="313">
        <f>+C61-D61</f>
        <v>140479</v>
      </c>
      <c r="F61" s="8"/>
    </row>
    <row r="62" spans="1:6" ht="12.75">
      <c r="A62" t="s">
        <v>16</v>
      </c>
      <c r="B62" s="8" t="s">
        <v>277</v>
      </c>
      <c r="C62" s="373">
        <f>123643</f>
        <v>123643</v>
      </c>
      <c r="D62" s="329">
        <v>0</v>
      </c>
      <c r="E62" s="313">
        <f>+C62-D62</f>
        <v>123643</v>
      </c>
      <c r="F62" s="8"/>
    </row>
    <row r="63" spans="1:6" ht="12.75">
      <c r="A63" s="37" t="s">
        <v>411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389</v>
      </c>
      <c r="B65" s="8" t="s">
        <v>277</v>
      </c>
      <c r="C65" s="328">
        <v>0</v>
      </c>
      <c r="D65" s="328">
        <v>0</v>
      </c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100</v>
      </c>
      <c r="D67" s="291">
        <f>'TAXREC 2'!D96</f>
        <v>0</v>
      </c>
      <c r="E67" s="313">
        <f>+C67-D67</f>
        <v>100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-594578</v>
      </c>
      <c r="D69" s="313">
        <f>SUM(D59:D67)</f>
        <v>0</v>
      </c>
      <c r="E69" s="313">
        <f>SUM(E59:E67)</f>
        <v>-594578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>
        <v>453</v>
      </c>
      <c r="D73" s="338"/>
      <c r="E73" s="313">
        <f t="shared" si="1"/>
        <v>453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453</v>
      </c>
      <c r="D79" s="291">
        <f>SUM(D72:D78)</f>
        <v>0</v>
      </c>
      <c r="E79" s="291">
        <f>SUM(E72:E78)</f>
        <v>453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-594125</v>
      </c>
      <c r="D81" s="291">
        <f>D69+D79</f>
        <v>0</v>
      </c>
      <c r="E81" s="291">
        <f>E69+E79</f>
        <v>-594125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453</v>
      </c>
      <c r="D92" s="291">
        <f>D79-D91</f>
        <v>0</v>
      </c>
      <c r="E92" s="291">
        <f>E79-E91</f>
        <v>453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453</v>
      </c>
      <c r="D93" s="291">
        <f>D91+D92</f>
        <v>0</v>
      </c>
      <c r="E93" s="291">
        <f>E91+E92</f>
        <v>453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136815</v>
      </c>
      <c r="D96" s="338"/>
      <c r="E96" s="313">
        <f>+C96-D96</f>
        <v>136815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14462</v>
      </c>
      <c r="D97" s="338"/>
      <c r="E97" s="313">
        <f>+C97-D97</f>
        <v>14462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>
        <v>34846</v>
      </c>
      <c r="D98" s="338"/>
      <c r="E98" s="313">
        <f>+C98-D98</f>
        <v>34846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>
        <v>0</v>
      </c>
      <c r="D102" s="338">
        <v>0</v>
      </c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>
        <v>0</v>
      </c>
      <c r="D107" s="338">
        <v>0</v>
      </c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186123</v>
      </c>
      <c r="D111" s="291">
        <f>SUM(D96:D109)</f>
        <v>0</v>
      </c>
      <c r="E111" s="291">
        <f>SUM(E96:E109)</f>
        <v>186123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>
        <v>0</v>
      </c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344</v>
      </c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603</v>
      </c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186123</v>
      </c>
      <c r="D120" s="291">
        <f>D111+D118</f>
        <v>0</v>
      </c>
      <c r="E120" s="291">
        <f>+E111+E118</f>
        <v>186123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-293048</v>
      </c>
      <c r="D132" s="291">
        <f>D53+D81-D120</f>
        <v>0</v>
      </c>
      <c r="E132" s="291">
        <f>E53+E81-E120</f>
        <v>78552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576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577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-293048</v>
      </c>
      <c r="D137" s="292">
        <f>D132-D134-D135-D136</f>
        <v>0</v>
      </c>
      <c r="E137" s="292">
        <f>E132-E134-E135-E136</f>
        <v>78552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444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477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476</v>
      </c>
      <c r="B141" s="8" t="s">
        <v>277</v>
      </c>
      <c r="C141" s="349"/>
      <c r="D141" s="349"/>
      <c r="E141" s="334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493</v>
      </c>
      <c r="B143" s="8" t="s">
        <v>278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444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484</v>
      </c>
      <c r="B147" s="8"/>
      <c r="C147" s="474">
        <v>0.2812</v>
      </c>
      <c r="D147" s="5"/>
      <c r="E147" s="475">
        <f>C147</f>
        <v>0.2812</v>
      </c>
      <c r="F147" s="8"/>
      <c r="G147" s="51"/>
      <c r="H147" s="51"/>
      <c r="I147" s="51"/>
      <c r="J147" s="51"/>
      <c r="K147" s="51"/>
    </row>
    <row r="148" spans="1:11" ht="12.75">
      <c r="A148" s="52" t="s">
        <v>485</v>
      </c>
      <c r="B148" s="8"/>
      <c r="C148" s="474">
        <v>0.125</v>
      </c>
      <c r="D148" s="5"/>
      <c r="E148" s="475">
        <f>C148</f>
        <v>0.125</v>
      </c>
      <c r="F148" s="8"/>
      <c r="G148" s="51"/>
      <c r="H148" s="51"/>
      <c r="I148" s="51"/>
      <c r="J148" s="51"/>
      <c r="K148" s="51"/>
    </row>
    <row r="149" spans="1:11" ht="12.75">
      <c r="A149" t="s">
        <v>486</v>
      </c>
      <c r="B149" s="8"/>
      <c r="C149" s="475">
        <f>SUM(C147:C148)</f>
        <v>0.4062</v>
      </c>
      <c r="D149" s="5"/>
      <c r="E149" s="475">
        <f>SUM(E147:E148)</f>
        <v>0.4062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100</v>
      </c>
      <c r="D157" s="338"/>
      <c r="E157" s="313">
        <f>C157-D157</f>
        <v>100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8566527</v>
      </c>
      <c r="D158" s="338"/>
      <c r="E158" s="313">
        <f aca="true" t="shared" si="7" ref="E158:E170">C158-D158</f>
        <v>8566527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>
        <v>4402373</v>
      </c>
      <c r="D159" s="338"/>
      <c r="E159" s="313">
        <f t="shared" si="7"/>
        <v>4402373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/>
      <c r="D161" s="338"/>
      <c r="E161" s="31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>
        <v>0</v>
      </c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>
        <v>-865000</v>
      </c>
      <c r="D167" s="338"/>
      <c r="E167" s="313">
        <f t="shared" si="7"/>
        <v>-865000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>
        <v>4606104</v>
      </c>
      <c r="D168" s="338"/>
      <c r="E168" s="313">
        <f t="shared" si="7"/>
        <v>4606104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16710104</v>
      </c>
      <c r="D171" s="291">
        <f>SUM(D157:D170)</f>
        <v>0</v>
      </c>
      <c r="E171" s="291">
        <f>SUM(E157:E170)</f>
        <v>16710104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/>
      <c r="D173" s="339"/>
      <c r="E173" s="336">
        <f>C173-D173</f>
        <v>0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16710104</v>
      </c>
      <c r="D175" s="337">
        <f>D171-D173-D174</f>
        <v>0</v>
      </c>
      <c r="E175" s="291">
        <f>E171-E173-E174</f>
        <v>16710104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16179739</v>
      </c>
      <c r="D191" s="338"/>
      <c r="E191" s="313">
        <f>C191-D191</f>
        <v>16179739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16179739</v>
      </c>
      <c r="D196" s="291">
        <f>D191+D192+D193-D194</f>
        <v>0</v>
      </c>
      <c r="E196" s="291">
        <f>E191+E192+E193-E194</f>
        <v>16179739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/>
      <c r="D202" s="339"/>
      <c r="E202" s="336">
        <f t="shared" si="9"/>
        <v>0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16179739</v>
      </c>
      <c r="D207" s="337">
        <f>D196+D199+D200-D202-D203-D204+D205</f>
        <v>0</v>
      </c>
      <c r="E207" s="291">
        <f>E196+E199+E200-E202-E203-E204+E205</f>
        <v>16179739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16710104</v>
      </c>
      <c r="D214" s="321">
        <f>+D175</f>
        <v>0</v>
      </c>
      <c r="E214" s="325">
        <f>+C214-D214</f>
        <v>16710104</v>
      </c>
      <c r="F214" s="8"/>
    </row>
    <row r="215" spans="1:6" ht="12.75">
      <c r="A215" s="4" t="s">
        <v>88</v>
      </c>
      <c r="B215" s="75" t="s">
        <v>278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16710104</v>
      </c>
      <c r="D217" s="291">
        <f>IF(D214&gt;D215,D214-D215,0)</f>
        <v>0</v>
      </c>
      <c r="E217" s="291">
        <f>IF(E214&gt;E215,E214-E215,0)</f>
        <v>16710104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449</v>
      </c>
      <c r="B220" s="8"/>
      <c r="C220" s="294">
        <v>5000000</v>
      </c>
      <c r="D220" s="294">
        <v>0</v>
      </c>
      <c r="E220" s="313">
        <f>+C220-D220</f>
        <v>5000000</v>
      </c>
      <c r="F220" s="8"/>
    </row>
    <row r="221" spans="1:6" ht="12.75">
      <c r="A221" s="2" t="s">
        <v>488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11710104</v>
      </c>
      <c r="D222" s="291">
        <f>D217-D220</f>
        <v>0</v>
      </c>
      <c r="E222" s="291">
        <f>E217-E220</f>
        <v>11710104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473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92</v>
      </c>
      <c r="D226" s="292">
        <f>C226</f>
        <v>92</v>
      </c>
      <c r="E226" s="292">
        <f>C226</f>
        <v>92</v>
      </c>
      <c r="F226" s="8"/>
    </row>
    <row r="227" spans="1:6" ht="12.75">
      <c r="A227" s="4" t="s">
        <v>604</v>
      </c>
      <c r="B227" s="8"/>
      <c r="C227" s="341">
        <f>+C226/REGINFO!B7</f>
        <v>0.25205479452054796</v>
      </c>
      <c r="D227" s="341">
        <f>+D226/REGINFO!B7</f>
        <v>0.25205479452054796</v>
      </c>
      <c r="E227" s="341">
        <f>+E226/REGINFO!B7</f>
        <v>0.25205479452054796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487</v>
      </c>
      <c r="B229" s="8"/>
      <c r="C229" s="291">
        <f>+C222*C224*C227</f>
        <v>8854.76357260274</v>
      </c>
      <c r="D229" s="291">
        <f>+D222*D224*D227</f>
        <v>0</v>
      </c>
      <c r="E229" s="291">
        <f>+E222*E224*E227</f>
        <v>8854.76357260274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539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1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>
        <v>2131539</v>
      </c>
      <c r="D237" s="342"/>
      <c r="E237" s="336">
        <f>+C237-D237</f>
        <v>2131539</v>
      </c>
      <c r="F237" s="8"/>
    </row>
    <row r="238" spans="1:6" ht="12.75">
      <c r="A238" s="74" t="s">
        <v>94</v>
      </c>
      <c r="B238" s="77" t="s">
        <v>277</v>
      </c>
      <c r="C238" s="346">
        <v>100</v>
      </c>
      <c r="D238" s="346"/>
      <c r="E238" s="313">
        <f aca="true" t="shared" si="10" ref="E238:E246">+C238-D238</f>
        <v>100</v>
      </c>
      <c r="F238" s="8"/>
    </row>
    <row r="239" spans="1:6" ht="12.75">
      <c r="A239" s="74" t="s">
        <v>95</v>
      </c>
      <c r="B239" s="77" t="s">
        <v>277</v>
      </c>
      <c r="C239" s="343">
        <v>8566527</v>
      </c>
      <c r="D239" s="343"/>
      <c r="E239" s="313">
        <f t="shared" si="10"/>
        <v>8566527</v>
      </c>
      <c r="F239" s="8"/>
    </row>
    <row r="240" spans="1:6" ht="12.75">
      <c r="A240" s="74" t="s">
        <v>96</v>
      </c>
      <c r="B240" s="77" t="s">
        <v>277</v>
      </c>
      <c r="C240" s="344">
        <v>4402373</v>
      </c>
      <c r="D240" s="344"/>
      <c r="E240" s="313">
        <f t="shared" si="10"/>
        <v>4402373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15100539</v>
      </c>
      <c r="D248" s="291">
        <f>SUM(D237:D247)</f>
        <v>0</v>
      </c>
      <c r="E248" s="291">
        <f>SUM(E237:E247)</f>
        <v>15100539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>
        <v>865000</v>
      </c>
      <c r="D251" s="338"/>
      <c r="E251" s="313">
        <f>+C251-D251</f>
        <v>865000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865000</v>
      </c>
      <c r="D256" s="291">
        <f>SUM(D251:D255)</f>
        <v>0</v>
      </c>
      <c r="E256" s="291">
        <f>SUM(E251:E255)</f>
        <v>865000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14235539</v>
      </c>
      <c r="D258" s="291">
        <f>+D248-D256</f>
        <v>0</v>
      </c>
      <c r="E258" s="291">
        <f>+E248-E256</f>
        <v>14235539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/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14235539</v>
      </c>
      <c r="D276" s="291">
        <f>+D258</f>
        <v>0</v>
      </c>
      <c r="E276" s="313">
        <f>+E258</f>
        <v>14235539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14235539</v>
      </c>
      <c r="D280" s="291">
        <f>IF(D276&gt;D278,D276-D278,0)</f>
        <v>0</v>
      </c>
      <c r="E280" s="291">
        <f>IF(E276&gt;E278,E276-E278,0)</f>
        <v>14235539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450</v>
      </c>
      <c r="B282" s="75" t="s">
        <v>278</v>
      </c>
      <c r="C282" s="445">
        <f>'Tax Rates'!C58</f>
        <v>10000000</v>
      </c>
      <c r="D282" s="291">
        <v>0</v>
      </c>
      <c r="E282" s="313">
        <f>+C282-D282</f>
        <v>10000000</v>
      </c>
      <c r="F282" s="8"/>
    </row>
    <row r="283" spans="1:6" ht="12.75">
      <c r="A283" s="4" t="s">
        <v>451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4235539</v>
      </c>
      <c r="D284" s="291">
        <f>IF(D280&gt;D282,D280-D282,0)</f>
        <v>0</v>
      </c>
      <c r="E284" s="291">
        <f>IF(E280&gt;E282,E280-E282,0)</f>
        <v>4235539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445</v>
      </c>
      <c r="B286" s="8"/>
      <c r="C286" s="351">
        <f>'Tax Rates'!C55</f>
        <v>0.00225</v>
      </c>
      <c r="D286" s="351">
        <f>C286</f>
        <v>0.00225</v>
      </c>
      <c r="E286" s="352">
        <f>C286</f>
        <v>0.00225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92</v>
      </c>
      <c r="D288" s="292">
        <f>C11</f>
        <v>92</v>
      </c>
      <c r="E288" s="292">
        <f>C11</f>
        <v>92</v>
      </c>
      <c r="F288" s="8"/>
    </row>
    <row r="289" spans="1:6" ht="12.75">
      <c r="A289" s="4" t="s">
        <v>540</v>
      </c>
      <c r="B289" s="8"/>
      <c r="C289" s="353">
        <f>+C288/REGINFO!B7</f>
        <v>0.25205479452054796</v>
      </c>
      <c r="D289" s="353">
        <f>+D288/REGINFO!B7</f>
        <v>0.25205479452054796</v>
      </c>
      <c r="E289" s="353">
        <f>+E288/REGINFO!B7</f>
        <v>0.25205479452054796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474</v>
      </c>
      <c r="B291" s="8" t="s">
        <v>280</v>
      </c>
      <c r="C291" s="291">
        <f>C284*C286*C289</f>
        <v>2402.072802739726</v>
      </c>
      <c r="D291" s="291">
        <f>D284*D286*D289</f>
        <v>0</v>
      </c>
      <c r="E291" s="291">
        <f>E284*E286*E289</f>
        <v>2402.072802739726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505</v>
      </c>
      <c r="B295" s="75" t="s">
        <v>278</v>
      </c>
      <c r="C295" s="346">
        <v>0</v>
      </c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475</v>
      </c>
      <c r="B297" s="8" t="s">
        <v>280</v>
      </c>
      <c r="C297" s="291">
        <f>IF(C291&gt;C295,C291-C295,0)</f>
        <v>2402.072802739726</v>
      </c>
      <c r="D297" s="291">
        <f>IF(D291&gt;D295,D291-D295,0)</f>
        <v>0</v>
      </c>
      <c r="E297" s="291">
        <f>IF(E291&gt;E295,E291-E295,0)</f>
        <v>2402.072802739726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542</v>
      </c>
      <c r="B300" s="8"/>
    </row>
    <row r="301" spans="1:2" ht="12.75">
      <c r="A301" s="14"/>
      <c r="B301" s="8"/>
    </row>
    <row r="302" spans="1:2" ht="12.75">
      <c r="A302" s="2" t="s">
        <v>494</v>
      </c>
      <c r="B302" s="8"/>
    </row>
    <row r="303" spans="1:5" ht="12.75">
      <c r="A303" t="s">
        <v>336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8854.76357260274</v>
      </c>
      <c r="D304" s="291">
        <f>D229</f>
        <v>0</v>
      </c>
      <c r="E304" s="291">
        <f>E229</f>
        <v>8854.76357260274</v>
      </c>
    </row>
    <row r="305" spans="1:5" ht="12.75">
      <c r="A305" t="s">
        <v>335</v>
      </c>
      <c r="B305" s="97" t="s">
        <v>277</v>
      </c>
      <c r="C305" s="291">
        <f>C297</f>
        <v>2402.072802739726</v>
      </c>
      <c r="D305" s="291">
        <f>D297</f>
        <v>0</v>
      </c>
      <c r="E305" s="291">
        <f>E297</f>
        <v>2402.072802739726</v>
      </c>
    </row>
    <row r="306" ht="12.75">
      <c r="B306" s="8"/>
    </row>
    <row r="307" spans="1:5" ht="12.75">
      <c r="A307" s="2" t="s">
        <v>437</v>
      </c>
      <c r="B307" s="75" t="s">
        <v>280</v>
      </c>
      <c r="C307" s="291">
        <f>C303+C304+C305</f>
        <v>11256.836375342466</v>
      </c>
      <c r="D307" s="291">
        <f>D303+D304+D305</f>
        <v>0</v>
      </c>
      <c r="E307" s="291">
        <f>E303+E304+E305</f>
        <v>11256.836375342466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25" bottom="0.25" header="0.17" footer="0.13"/>
  <pageSetup horizontalDpi="600" verticalDpi="600" orientation="portrait" scale="59" r:id="rId1"/>
  <headerFooter alignWithMargins="0">
    <oddFooter>&amp;L&amp;F&amp;C&amp;P of &amp;N&amp;R&amp;A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37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435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436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104">
        <f>REGINFO!E1</f>
        <v>0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HYDRONAME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 Revised 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405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413</v>
      </c>
      <c r="B14" s="67"/>
      <c r="C14" s="338">
        <v>0</v>
      </c>
      <c r="D14" s="338"/>
      <c r="E14" s="291">
        <f aca="true" t="shared" si="0" ref="E14:E21">C14-D14</f>
        <v>0</v>
      </c>
    </row>
    <row r="15" spans="1:5" ht="12.75">
      <c r="A15" s="67" t="s">
        <v>414</v>
      </c>
      <c r="B15" s="67"/>
      <c r="C15" s="338"/>
      <c r="D15" s="338"/>
      <c r="E15" s="291">
        <f t="shared" si="0"/>
        <v>0</v>
      </c>
    </row>
    <row r="16" spans="1:5" ht="12.75">
      <c r="A16" s="67" t="s">
        <v>415</v>
      </c>
      <c r="B16" s="67"/>
      <c r="C16" s="338"/>
      <c r="D16" s="338"/>
      <c r="E16" s="291">
        <f t="shared" si="0"/>
        <v>0</v>
      </c>
    </row>
    <row r="17" spans="1:5" ht="12.75">
      <c r="A17" s="67" t="s">
        <v>416</v>
      </c>
      <c r="B17" s="67"/>
      <c r="C17" s="338"/>
      <c r="D17" s="338"/>
      <c r="E17" s="291">
        <f t="shared" si="0"/>
        <v>0</v>
      </c>
    </row>
    <row r="18" spans="1:5" ht="12.75">
      <c r="A18" s="67" t="s">
        <v>402</v>
      </c>
      <c r="B18" s="67"/>
      <c r="C18" s="338"/>
      <c r="D18" s="338"/>
      <c r="E18" s="291">
        <f t="shared" si="0"/>
        <v>0</v>
      </c>
    </row>
    <row r="19" spans="1:5" ht="12.75">
      <c r="A19" s="67" t="s">
        <v>402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404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413</v>
      </c>
      <c r="B26" s="67"/>
      <c r="C26" s="338">
        <v>0</v>
      </c>
      <c r="D26" s="338"/>
      <c r="E26" s="291">
        <f aca="true" t="shared" si="1" ref="E26:E33">C26-D26</f>
        <v>0</v>
      </c>
    </row>
    <row r="27" spans="1:5" ht="12.75">
      <c r="A27" s="67" t="s">
        <v>414</v>
      </c>
      <c r="B27" s="67"/>
      <c r="C27" s="338"/>
      <c r="D27" s="338"/>
      <c r="E27" s="291">
        <f t="shared" si="1"/>
        <v>0</v>
      </c>
    </row>
    <row r="28" spans="1:5" ht="12.75">
      <c r="A28" s="67" t="s">
        <v>415</v>
      </c>
      <c r="B28" s="67"/>
      <c r="C28" s="338"/>
      <c r="D28" s="338"/>
      <c r="E28" s="291">
        <f t="shared" si="1"/>
        <v>0</v>
      </c>
    </row>
    <row r="29" spans="1:5" ht="12.75">
      <c r="A29" s="67" t="s">
        <v>416</v>
      </c>
      <c r="B29" s="67"/>
      <c r="C29" s="338"/>
      <c r="D29" s="338"/>
      <c r="E29" s="291">
        <f t="shared" si="1"/>
        <v>0</v>
      </c>
    </row>
    <row r="30" spans="1:5" ht="12.75">
      <c r="A30" s="67" t="s">
        <v>402</v>
      </c>
      <c r="B30" s="67"/>
      <c r="C30" s="338"/>
      <c r="D30" s="338"/>
      <c r="E30" s="291">
        <f t="shared" si="1"/>
        <v>0</v>
      </c>
    </row>
    <row r="31" spans="1:5" ht="12.75">
      <c r="A31" s="67" t="s">
        <v>402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405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398</v>
      </c>
      <c r="B43" s="67"/>
      <c r="C43" s="338"/>
      <c r="D43" s="338"/>
      <c r="E43" s="291">
        <f t="shared" si="2"/>
        <v>0</v>
      </c>
    </row>
    <row r="44" spans="1:5" ht="12.75">
      <c r="A44" s="67" t="s">
        <v>399</v>
      </c>
      <c r="B44" s="67"/>
      <c r="C44" s="338">
        <v>0</v>
      </c>
      <c r="D44" s="338"/>
      <c r="E44" s="291">
        <f t="shared" si="2"/>
        <v>0</v>
      </c>
    </row>
    <row r="45" spans="1:5" ht="12.75">
      <c r="A45" s="67" t="s">
        <v>400</v>
      </c>
      <c r="B45" s="67"/>
      <c r="C45" s="338"/>
      <c r="D45" s="338"/>
      <c r="E45" s="291">
        <f t="shared" si="2"/>
        <v>0</v>
      </c>
    </row>
    <row r="46" spans="1:5" ht="12.75">
      <c r="A46" s="67" t="s">
        <v>401</v>
      </c>
      <c r="B46" s="67"/>
      <c r="C46" s="338"/>
      <c r="D46" s="338"/>
      <c r="E46" s="291">
        <f t="shared" si="2"/>
        <v>0</v>
      </c>
    </row>
    <row r="47" spans="1:5" ht="12.75">
      <c r="A47" s="67" t="s">
        <v>607</v>
      </c>
      <c r="B47" s="67"/>
      <c r="C47" s="338"/>
      <c r="D47" s="338"/>
      <c r="E47" s="291">
        <f t="shared" si="2"/>
        <v>0</v>
      </c>
    </row>
    <row r="48" spans="1:5" ht="12.75">
      <c r="A48" s="67" t="s">
        <v>402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404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398</v>
      </c>
      <c r="B55" s="67"/>
      <c r="C55" s="338"/>
      <c r="D55" s="338"/>
      <c r="E55" s="291">
        <f t="shared" si="3"/>
        <v>0</v>
      </c>
    </row>
    <row r="56" spans="1:5" ht="12.75">
      <c r="A56" s="286" t="s">
        <v>399</v>
      </c>
      <c r="B56" s="67"/>
      <c r="C56" s="338">
        <v>0</v>
      </c>
      <c r="D56" s="338"/>
      <c r="E56" s="291">
        <f t="shared" si="3"/>
        <v>0</v>
      </c>
    </row>
    <row r="57" spans="1:5" ht="12.75">
      <c r="A57" s="286" t="s">
        <v>400</v>
      </c>
      <c r="B57" s="67"/>
      <c r="C57" s="338"/>
      <c r="D57" s="338"/>
      <c r="E57" s="291">
        <f t="shared" si="3"/>
        <v>0</v>
      </c>
    </row>
    <row r="58" spans="1:5" ht="12.75">
      <c r="A58" s="286" t="s">
        <v>401</v>
      </c>
      <c r="B58" s="67"/>
      <c r="C58" s="338"/>
      <c r="D58" s="338"/>
      <c r="E58" s="291">
        <f t="shared" si="3"/>
        <v>0</v>
      </c>
    </row>
    <row r="59" spans="1:5" ht="12.75">
      <c r="A59" s="67" t="s">
        <v>608</v>
      </c>
      <c r="B59" s="67"/>
      <c r="C59" s="338"/>
      <c r="D59" s="338"/>
      <c r="E59" s="291">
        <f t="shared" si="3"/>
        <v>0</v>
      </c>
    </row>
    <row r="60" spans="1:5" ht="12.75">
      <c r="A60" s="67" t="s">
        <v>402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78" bottom="0.5" header="0.33" footer="0.21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4" sqref="C1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>
        <f>REGINFO!E2</f>
        <v>0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>
        <f>REGINFO!E1</f>
        <v>0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HYDRONAME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 Revised 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92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13835.05625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380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>
        <v>0</v>
      </c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>
        <v>100</v>
      </c>
      <c r="D20" s="339"/>
      <c r="E20" s="368">
        <f t="shared" si="0"/>
        <v>100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381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441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382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442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 t="s">
        <v>593</v>
      </c>
      <c r="B45" t="s">
        <v>277</v>
      </c>
      <c r="C45" s="338">
        <v>0</v>
      </c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100</v>
      </c>
      <c r="D54" s="291">
        <f>SUM(D15:D53)</f>
        <v>0</v>
      </c>
      <c r="E54" s="291">
        <f>SUM(E15:E53)</f>
        <v>100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100</v>
      </c>
      <c r="D96" s="370">
        <f>D54-D95</f>
        <v>0</v>
      </c>
      <c r="E96" s="370">
        <f>E54-E95</f>
        <v>100</v>
      </c>
    </row>
    <row r="97" spans="1:5" ht="12.75">
      <c r="A97" s="318" t="s">
        <v>256</v>
      </c>
      <c r="B97" s="319"/>
      <c r="C97" s="370">
        <f>C95+C96</f>
        <v>100</v>
      </c>
      <c r="D97" s="370">
        <f>D95+D96</f>
        <v>0</v>
      </c>
      <c r="E97" s="370">
        <f>E95+E96</f>
        <v>100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383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578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443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 t="s">
        <v>594</v>
      </c>
      <c r="B112" s="8" t="s">
        <v>278</v>
      </c>
      <c r="C112" s="338">
        <v>0</v>
      </c>
      <c r="D112" s="338">
        <v>0</v>
      </c>
      <c r="E112" s="291">
        <f t="shared" si="7"/>
        <v>0</v>
      </c>
    </row>
    <row r="113" spans="1:5" ht="12.75">
      <c r="A113" s="78" t="s">
        <v>595</v>
      </c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1.14" top="0.59" bottom="0.25" header="0.25" footer="0.11"/>
  <pageSetup horizontalDpi="600" verticalDpi="600" orientation="portrait" scale="70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8">
      <selection activeCell="C21" sqref="C2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>
        <f>REGINFO!E1</f>
        <v>0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448</v>
      </c>
      <c r="B3" s="407"/>
      <c r="C3" s="407"/>
      <c r="D3" s="407"/>
      <c r="E3" s="407"/>
      <c r="F3" s="409">
        <f>REGINFO!E2</f>
        <v>0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HYDRONAME  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Dec. 31, 2001 Revised 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499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447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434</v>
      </c>
      <c r="B10" s="383"/>
      <c r="C10" s="383" t="s">
        <v>188</v>
      </c>
      <c r="D10" s="383"/>
      <c r="E10" s="383" t="s">
        <v>188</v>
      </c>
      <c r="F10" s="384" t="s">
        <v>438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433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432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439</v>
      </c>
      <c r="B15" s="285"/>
      <c r="C15" s="389">
        <v>0.1912</v>
      </c>
      <c r="D15" s="389"/>
      <c r="E15" s="390">
        <v>0.3412</v>
      </c>
      <c r="F15" s="390">
        <v>0.4062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391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0.4062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491</v>
      </c>
      <c r="B21" s="476" t="s">
        <v>456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492</v>
      </c>
      <c r="B22" s="477" t="s">
        <v>457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4" t="s">
        <v>489</v>
      </c>
      <c r="B23" s="525"/>
      <c r="C23" s="525"/>
      <c r="D23" s="525"/>
      <c r="E23" s="525"/>
      <c r="F23" s="525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500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516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446</v>
      </c>
      <c r="B28" s="383"/>
      <c r="C28" s="441" t="s">
        <v>188</v>
      </c>
      <c r="D28" s="441" t="s">
        <v>188</v>
      </c>
      <c r="E28" s="441" t="s">
        <v>188</v>
      </c>
      <c r="F28" s="442" t="s">
        <v>390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432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391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496</v>
      </c>
      <c r="B39" s="478" t="s">
        <v>458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497</v>
      </c>
      <c r="B40" s="477" t="s">
        <v>459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6" t="s">
        <v>495</v>
      </c>
      <c r="B41" s="527"/>
      <c r="C41" s="527"/>
      <c r="D41" s="527"/>
      <c r="E41" s="527"/>
      <c r="F41" s="527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8"/>
      <c r="B42" s="528"/>
      <c r="C42" s="528"/>
      <c r="D42" s="528"/>
      <c r="E42" s="528"/>
      <c r="F42" s="528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501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490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390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432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391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0.00225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514</v>
      </c>
      <c r="B57" s="478" t="s">
        <v>458</v>
      </c>
      <c r="C57" s="426">
        <v>4969248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515</v>
      </c>
      <c r="B58" s="477" t="s">
        <v>459</v>
      </c>
      <c r="C58" s="427">
        <v>10000000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4" t="s">
        <v>517</v>
      </c>
      <c r="B59" s="529"/>
      <c r="C59" s="529"/>
      <c r="D59" s="529"/>
      <c r="E59" s="529"/>
      <c r="F59" s="529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0"/>
      <c r="B60" s="530"/>
      <c r="C60" s="530"/>
      <c r="D60" s="530"/>
      <c r="E60" s="530"/>
      <c r="F60" s="530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4" bottom="0.35" header="0.17" footer="0.19"/>
  <pageSetup fitToHeight="1" fitToWidth="1" horizontalDpi="600" verticalDpi="600" orientation="portrait" scale="73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>
        <f>REGINFO!E1</f>
        <v>0</v>
      </c>
    </row>
    <row r="3" spans="2:4" ht="12.75">
      <c r="B3" s="2" t="str">
        <f>REGINFO!A3</f>
        <v>Utility Name:  HYDRONAME  </v>
      </c>
      <c r="C3" s="8"/>
      <c r="D3" s="27">
        <f>REGINFO!E2</f>
        <v>0</v>
      </c>
    </row>
    <row r="4" spans="1:5" ht="13.5" thickBot="1">
      <c r="A4" s="266"/>
      <c r="B4" s="267" t="str">
        <f>REGINFO!A4</f>
        <v>Reporting period:  Dec. 31, 2001 Revised 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338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574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518</v>
      </c>
      <c r="C14" s="273" t="s">
        <v>596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519</v>
      </c>
      <c r="C16" s="273" t="s">
        <v>596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596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520</v>
      </c>
      <c r="C20" s="273" t="s">
        <v>596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522</v>
      </c>
      <c r="C22" s="273" t="s">
        <v>596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521</v>
      </c>
      <c r="C24" s="273" t="s">
        <v>596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349</v>
      </c>
      <c r="B26" s="270" t="s">
        <v>322</v>
      </c>
      <c r="C26" s="273" t="s">
        <v>596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525</v>
      </c>
      <c r="B28" s="270" t="s">
        <v>523</v>
      </c>
      <c r="C28" s="273" t="s">
        <v>596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350</v>
      </c>
      <c r="B30" s="270" t="s">
        <v>524</v>
      </c>
      <c r="C30" s="273" t="s">
        <v>596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528</v>
      </c>
      <c r="C32" s="273" t="s">
        <v>597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526</v>
      </c>
      <c r="B34" s="270" t="s">
        <v>575</v>
      </c>
      <c r="C34" s="273" t="s">
        <v>596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527</v>
      </c>
      <c r="B36" s="92" t="s">
        <v>529</v>
      </c>
      <c r="D36" s="266"/>
      <c r="E36" s="266"/>
    </row>
    <row r="37" spans="1:5" ht="13.5" thickBot="1">
      <c r="A37" s="266"/>
      <c r="B37" s="486">
        <v>2001</v>
      </c>
      <c r="C37" s="273" t="s">
        <v>596</v>
      </c>
      <c r="D37" s="266"/>
      <c r="E37" s="266"/>
    </row>
    <row r="38" spans="2:5" ht="13.5" thickBot="1">
      <c r="B38" s="104">
        <v>2002</v>
      </c>
      <c r="C38" s="273" t="s">
        <v>596</v>
      </c>
      <c r="D38" s="266"/>
      <c r="E38" s="266"/>
    </row>
    <row r="39" spans="1:5" ht="13.5" thickBot="1">
      <c r="A39" s="266"/>
      <c r="B39" s="486">
        <v>2003</v>
      </c>
      <c r="C39" s="273" t="s">
        <v>596</v>
      </c>
      <c r="D39" s="266"/>
      <c r="E39" s="266"/>
    </row>
    <row r="40" spans="1:5" ht="13.5" thickBot="1">
      <c r="A40" s="266"/>
      <c r="B40" s="486">
        <v>2004</v>
      </c>
      <c r="C40" s="273" t="s">
        <v>596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532</v>
      </c>
      <c r="B42" s="270" t="s">
        <v>533</v>
      </c>
      <c r="C42" s="490" t="s">
        <v>596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73" bottom="0.2362204724409449" header="0.5118110236220472" footer="0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523</v>
      </c>
      <c r="C2" s="272">
        <f>REGINFO!E1</f>
        <v>0</v>
      </c>
    </row>
    <row r="3" spans="2:3" ht="12.75">
      <c r="B3" s="270" t="str">
        <f>REGINFO!A3</f>
        <v>Utility Name:  HYDRONAME  </v>
      </c>
      <c r="C3" s="272">
        <f>REGINFO!E2</f>
        <v>0</v>
      </c>
    </row>
    <row r="4" spans="1:8" ht="13.5" thickBot="1">
      <c r="A4" s="268"/>
      <c r="B4" s="267" t="str">
        <f>REGINFO!A4</f>
        <v>Reporting period:  Dec. 31, 2001 Revised 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312</v>
      </c>
    </row>
    <row r="7" ht="12.75">
      <c r="B7" s="270" t="s">
        <v>191</v>
      </c>
    </row>
    <row r="8" ht="12.75">
      <c r="B8" s="266" t="s">
        <v>598</v>
      </c>
    </row>
    <row r="10" ht="12.75">
      <c r="B10" s="270" t="s">
        <v>573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191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351</v>
      </c>
    </row>
    <row r="27" ht="12.75">
      <c r="B27" s="270" t="s">
        <v>191</v>
      </c>
    </row>
    <row r="30" spans="1:2" ht="25.5">
      <c r="A30" s="270">
        <v>6</v>
      </c>
      <c r="B30" s="275" t="s">
        <v>530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419</v>
      </c>
    </row>
    <row r="40" ht="12.75">
      <c r="B40" s="270" t="s">
        <v>600</v>
      </c>
    </row>
    <row r="41" ht="12.75">
      <c r="B41" s="270" t="s">
        <v>601</v>
      </c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66" bottom="0.32" header="0.5118110236220472" footer="0.14"/>
  <pageSetup fitToHeight="1" fitToWidth="1" horizontalDpi="600" verticalDpi="600" orientation="portrait" scale="96" r:id="rId1"/>
  <headerFooter alignWithMargins="0">
    <oddFooter>&amp;L&amp;F&amp;C&amp;P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8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582</v>
      </c>
    </row>
    <row r="3" spans="1:15" ht="12.75">
      <c r="A3" s="2" t="str">
        <f>REGINFO!A3</f>
        <v>Utility Name:  HYDRONAME  </v>
      </c>
      <c r="O3" s="489">
        <f>REGINFO!E1</f>
        <v>0</v>
      </c>
    </row>
    <row r="4" spans="1:15" ht="12.75">
      <c r="A4" s="2" t="str">
        <f>REGINFO!A4</f>
        <v>Reporting period:  Dec. 31, 2001 Revised </v>
      </c>
      <c r="O4" s="489">
        <f>REGINFO!E2</f>
        <v>0</v>
      </c>
    </row>
    <row r="5" spans="3:7" ht="12.75">
      <c r="C5" s="491" t="s">
        <v>472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0</v>
      </c>
      <c r="F12" s="493"/>
      <c r="G12" s="465">
        <f>E20</f>
        <v>37705.573119188506</v>
      </c>
      <c r="H12" s="493"/>
      <c r="I12" s="465">
        <f>G20</f>
        <v>37705.573119188506</v>
      </c>
      <c r="J12" s="458"/>
      <c r="K12" s="465">
        <f>I20</f>
        <v>37705.573119188506</v>
      </c>
      <c r="L12" s="458"/>
      <c r="M12" s="458">
        <f>K20</f>
        <v>37705.573119188506</v>
      </c>
      <c r="N12" s="458"/>
      <c r="O12" s="465">
        <f>C12</f>
        <v>0</v>
      </c>
    </row>
    <row r="13" spans="1:15" ht="25.5">
      <c r="A13" s="92" t="s">
        <v>568</v>
      </c>
      <c r="B13" s="75" t="s">
        <v>283</v>
      </c>
      <c r="C13" s="464"/>
      <c r="D13" s="459"/>
      <c r="E13" s="464"/>
      <c r="F13" s="107"/>
      <c r="G13" s="492"/>
      <c r="H13" s="107"/>
      <c r="I13" s="492"/>
      <c r="J13" s="459"/>
      <c r="K13" s="464"/>
      <c r="L13" s="459"/>
      <c r="M13" s="459"/>
      <c r="N13" s="459"/>
      <c r="O13" s="465">
        <f aca="true" t="shared" si="0" ref="O13:O18">SUM(C13:N13)</f>
        <v>0</v>
      </c>
    </row>
    <row r="14" spans="1:15" ht="25.5">
      <c r="A14" s="92" t="s">
        <v>566</v>
      </c>
      <c r="B14" s="75" t="s">
        <v>283</v>
      </c>
      <c r="C14" s="464"/>
      <c r="D14" s="459"/>
      <c r="E14" s="464">
        <f>+TAXCALC!I130</f>
        <v>37705.573119188506</v>
      </c>
      <c r="F14" s="107"/>
      <c r="G14" s="464"/>
      <c r="H14" s="107"/>
      <c r="I14" s="464"/>
      <c r="J14" s="459"/>
      <c r="K14" s="492"/>
      <c r="L14" s="459"/>
      <c r="M14" s="459"/>
      <c r="N14" s="459"/>
      <c r="O14" s="465">
        <f t="shared" si="0"/>
        <v>37705.573119188506</v>
      </c>
    </row>
    <row r="15" spans="1:15" ht="25.5">
      <c r="A15" s="92" t="s">
        <v>567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2"/>
      <c r="L15" s="459"/>
      <c r="M15" s="459"/>
      <c r="N15" s="459"/>
      <c r="O15" s="465">
        <f t="shared" si="0"/>
        <v>0</v>
      </c>
    </row>
    <row r="16" spans="1:15" ht="25.5">
      <c r="A16" s="92" t="s">
        <v>569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353</v>
      </c>
      <c r="B17" s="75" t="s">
        <v>283</v>
      </c>
      <c r="C17" s="464"/>
      <c r="D17" s="459"/>
      <c r="E17" s="464"/>
      <c r="F17" s="107"/>
      <c r="G17" s="464"/>
      <c r="H17" s="107"/>
      <c r="I17" s="464"/>
      <c r="J17" s="459"/>
      <c r="K17" s="464"/>
      <c r="L17" s="459"/>
      <c r="M17" s="459"/>
      <c r="N17" s="459"/>
      <c r="O17" s="465">
        <f t="shared" si="0"/>
        <v>0</v>
      </c>
    </row>
    <row r="18" spans="1:15" ht="24.75" customHeight="1">
      <c r="A18" s="92" t="s">
        <v>570</v>
      </c>
      <c r="B18" s="75" t="s">
        <v>278</v>
      </c>
      <c r="C18" s="492">
        <v>0</v>
      </c>
      <c r="D18" s="459"/>
      <c r="E18" s="464"/>
      <c r="F18" s="107"/>
      <c r="G18" s="464"/>
      <c r="H18" s="107"/>
      <c r="I18" s="464"/>
      <c r="J18" s="459"/>
      <c r="K18" s="464"/>
      <c r="L18" s="459"/>
      <c r="M18" s="459"/>
      <c r="N18" s="459"/>
      <c r="O18" s="465">
        <f t="shared" si="0"/>
        <v>0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562</v>
      </c>
      <c r="B20" s="40"/>
      <c r="C20" s="466">
        <f>SUM(C12:C18)</f>
        <v>0</v>
      </c>
      <c r="D20" s="493"/>
      <c r="E20" s="466">
        <f>SUM(E12:E18)</f>
        <v>37705.573119188506</v>
      </c>
      <c r="F20" s="493"/>
      <c r="G20" s="466">
        <f>SUM(G12:G18)</f>
        <v>37705.573119188506</v>
      </c>
      <c r="H20" s="493"/>
      <c r="I20" s="466">
        <f>SUM(I12:I18)</f>
        <v>37705.573119188506</v>
      </c>
      <c r="J20" s="458"/>
      <c r="K20" s="466">
        <f>SUM(K12:K18)</f>
        <v>37705.573119188506</v>
      </c>
      <c r="L20" s="458"/>
      <c r="M20" s="460">
        <f>SUM(M12:M19)</f>
        <v>37705.573119188506</v>
      </c>
      <c r="N20" s="458"/>
      <c r="O20" s="466">
        <f>SUM(O12:O18)</f>
        <v>37705.573119188506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571</v>
      </c>
      <c r="B22" s="75" t="s">
        <v>278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183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193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194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534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4" t="s">
        <v>599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</row>
    <row r="30" spans="1:15" ht="12.75">
      <c r="A30" s="535"/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</row>
    <row r="31" spans="1:15" ht="12.75">
      <c r="A31" s="535"/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1" t="s">
        <v>0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494"/>
      <c r="Q33" s="494"/>
      <c r="R33" s="494"/>
      <c r="S33" s="494"/>
    </row>
    <row r="34" spans="1:19" ht="12.75">
      <c r="A34" s="533" t="s">
        <v>558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94"/>
      <c r="Q34" s="494"/>
      <c r="R34" s="494"/>
      <c r="S34" s="494"/>
    </row>
    <row r="35" spans="1:19" ht="12.75">
      <c r="A35" s="513" t="s">
        <v>559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560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563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564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1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2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565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592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589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584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583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 t="s">
        <v>585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211"/>
      <c r="M51" s="211"/>
      <c r="N51" s="211"/>
      <c r="O51" s="211"/>
    </row>
    <row r="52" spans="1:15" ht="12.75">
      <c r="A52" s="510" t="s">
        <v>591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 t="s">
        <v>590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 t="s">
        <v>587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510" t="s">
        <v>586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211"/>
      <c r="M56" s="211"/>
      <c r="N56" s="211"/>
      <c r="O56" s="211"/>
    </row>
    <row r="57" spans="1:15" ht="12.75">
      <c r="A57" s="510" t="s">
        <v>588</v>
      </c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211"/>
      <c r="M57" s="211"/>
      <c r="N57" s="211"/>
      <c r="O57" s="211"/>
    </row>
    <row r="58" spans="1:15" ht="12.75">
      <c r="A58" s="510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211"/>
      <c r="M58" s="211"/>
      <c r="N58" s="211"/>
      <c r="O58" s="211"/>
    </row>
    <row r="59" spans="1:15" ht="12.75">
      <c r="A59" s="533" t="s">
        <v>572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</row>
    <row r="60" spans="1:15" ht="12.75">
      <c r="A60" s="510" t="s">
        <v>561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211"/>
      <c r="M60" s="211"/>
      <c r="N60" s="211"/>
      <c r="O60" s="211"/>
    </row>
    <row r="61" spans="1:15" ht="12.7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211"/>
      <c r="M61" s="211"/>
      <c r="N61" s="211"/>
      <c r="O61" s="211"/>
    </row>
    <row r="62" spans="1:15" ht="12.7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211"/>
      <c r="M62" s="211"/>
      <c r="N62" s="211"/>
      <c r="O62" s="211"/>
    </row>
    <row r="63" spans="1:15" ht="12.7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68" right="0.2362204724409449" top="0.89" bottom="0.2362204724409449" header="0.5118110236220472" footer="0"/>
  <pageSetup horizontalDpi="600" verticalDpi="600" orientation="landscape" scale="85" r:id="rId1"/>
  <headerFooter alignWithMargins="0"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Bacon, Bruce</cp:lastModifiedBy>
  <cp:lastPrinted>2011-07-08T17:40:53Z</cp:lastPrinted>
  <dcterms:created xsi:type="dcterms:W3CDTF">2001-11-07T16:15:53Z</dcterms:created>
  <dcterms:modified xsi:type="dcterms:W3CDTF">2012-09-13T18:02:57Z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