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6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<sst xmlns="http://schemas.openxmlformats.org/spreadsheetml/2006/main" count="880" uniqueCount="509">
  <si>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</si>
  <si>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</si>
  <si>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</si>
  <si>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</si>
  <si>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</si>
  <si>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</si>
  <si>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</si>
  <si>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</si>
  <si>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</si>
  <si>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</si>
  <si>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</si>
  <si>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</si>
  <si>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</si>
  <si>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</si>
  <si>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</si>
  <si>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</si>
  <si>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</si>
  <si>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</si>
  <si>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</si>
  <si>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</si>
  <si>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</si>
  <si>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</si>
  <si>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</si>
  <si>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</si>
  <si>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</si>
  <si>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</si>
  <si>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</si>
  <si>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</si>
  <si>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</si>
  <si>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</si>
  <si>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</si>
  <si>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</si>
  <si>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</si>
  <si>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</si>
  <si>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</si>
  <si>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</si>
  <si>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</si>
  <si>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</si>
  <si>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</si>
  <si>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</si>
  <si>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</si>
  <si>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</si>
  <si>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</si>
  <si>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</si>
  <si>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</si>
  <si>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</si>
  <si>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</si>
  <si>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</si>
  <si>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</si>
  <si>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</si>
  <si>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</si>
  <si>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</si>
  <si>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</si>
  <si>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</si>
  <si>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</si>
  <si>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</si>
  <si>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</si>
  <si>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</si>
  <si>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</si>
  <si>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</si>
  <si>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</si>
  <si>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</si>
  <si>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</si>
  <si>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</si>
  <si>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</si>
  <si>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</si>
  <si>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</si>
  <si>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</si>
  <si>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</si>
  <si>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</si>
  <si>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</si>
  <si>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</si>
  <si>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</si>
  <si>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</si>
  <si>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</si>
  <si>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</si>
  <si>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</si>
  <si>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</si>
  <si>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</si>
  <si>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</si>
  <si>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</si>
  <si>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</si>
  <si>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</si>
  <si>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</si>
  <si>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</si>
  <si>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</si>
  <si>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</si>
  <si>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</si>
  <si>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</si>
  <si>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</si>
  <si>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</si>
  <si>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</si>
  <si>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</si>
  <si>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</si>
  <si>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</si>
  <si>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</si>
  <si>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</si>
  <si>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</si>
  <si>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</si>
  <si>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</si>
  <si>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</si>
  <si>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</si>
  <si>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</si>
  <si>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</si>
  <si>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</si>
  <si>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</si>
  <si>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</si>
  <si>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</si>
  <si>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</si>
  <si>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</si>
  <si>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</si>
  <si>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</si>
  <si>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</si>
  <si>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</si>
  <si>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</si>
  <si>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</si>
  <si>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</si>
  <si>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</si>
  <si>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</si>
  <si>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</si>
  <si>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</si>
  <si>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</si>
  <si>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</si>
  <si>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</si>
  <si>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</si>
  <si>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</si>
  <si>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</si>
  <si>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</si>
  <si>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</si>
  <si>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</si>
  <si>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</si>
  <si>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</si>
  <si>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</si>
  <si>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</si>
  <si>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</si>
  <si>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</si>
  <si>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</si>
  <si>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</si>
  <si>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</si>
  <si>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</si>
  <si>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</si>
  <si>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</si>
  <si>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</si>
  <si>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</si>
  <si>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</si>
  <si>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</si>
  <si>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</si>
  <si>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</si>
  <si>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</si>
  <si>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</si>
  <si>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</si>
  <si>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</si>
  <si>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</si>
  <si>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</si>
  <si>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</si>
  <si>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</si>
  <si>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</si>
  <si>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</si>
  <si>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</si>
  <si>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</si>
  <si>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</si>
  <si>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</si>
  <si>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</si>
  <si>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</si>
  <si>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</si>
  <si>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</si>
  <si>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</si>
  <si>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</si>
  <si>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</si>
  <si>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</si>
  <si>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</si>
  <si>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</si>
  <si>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</si>
  <si>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</si>
  <si>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</si>
  <si>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</si>
  <si>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</si>
  <si>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</si>
  <si>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</si>
  <si>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</si>
  <si>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</si>
  <si>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</si>
  <si>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</si>
  <si>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</si>
  <si>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</si>
  <si>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</si>
  <si>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</si>
  <si>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</si>
  <si>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</si>
  <si>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</si>
  <si>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</si>
  <si>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</si>
  <si>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</si>
  <si>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</si>
  <si>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</si>
  <si>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</si>
  <si>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</si>
  <si>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</si>
  <si>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</si>
  <si>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</si>
  <si>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</si>
  <si>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</si>
  <si>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</si>
  <si>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</si>
  <si>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</si>
  <si>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</si>
  <si>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</si>
  <si>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</si>
  <si>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</si>
  <si>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</si>
  <si>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</si>
  <si>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</si>
  <si>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</si>
  <si>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</si>
  <si>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</si>
  <si>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</si>
  <si>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</si>
  <si>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</si>
  <si>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</si>
  <si>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</si>
  <si>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</si>
  <si>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</si>
  <si>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</si>
  <si>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</si>
  <si>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</si>
  <si>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</si>
  <si>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</si>
  <si>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</si>
  <si>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</si>
  <si>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</si>
  <si>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</si>
  <si>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</si>
  <si>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</si>
  <si>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</si>
  <si>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</si>
  <si>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</si>
  <si>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</si>
  <si>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</si>
  <si>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</si>
  <si>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</si>
  <si>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</si>
  <si>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</si>
  <si>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</si>
  <si>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</si>
  <si>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</si>
  <si>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</si>
  <si>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</si>
  <si>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</si>
  <si>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</si>
  <si>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</si>
  <si>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</si>
  <si>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</si>
  <si>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</si>
  <si>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</si>
  <si>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</si>
  <si>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</si>
  <si>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</si>
  <si>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</si>
  <si>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</si>
  <si>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</si>
  <si>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</si>
  <si>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</si>
  <si>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</si>
  <si>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</si>
  <si>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</si>
  <si>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</si>
  <si>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</si>
  <si>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</si>
  <si>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</si>
  <si>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</si>
  <si>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</si>
  <si>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</si>
  <si>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</si>
  <si>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</si>
  <si>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</si>
  <si>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</si>
  <si>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</si>
  <si>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</si>
  <si>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</si>
  <si>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</si>
  <si>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</si>
  <si>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</si>
  <si>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</si>
  <si>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</si>
  <si>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</si>
  <si>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</si>
  <si>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</si>
  <si>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</si>
  <si>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</si>
  <si>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</si>
  <si>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</si>
  <si>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</si>
  <si>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</si>
  <si>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</si>
  <si>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</si>
  <si>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</si>
  <si>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</si>
  <si>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</si>
  <si>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</si>
  <si>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</si>
  <si>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</si>
  <si>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</si>
  <si>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</si>
  <si>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</si>
  <si>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</si>
  <si>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</si>
  <si>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</si>
  <si>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</si>
  <si>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</si>
  <si>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</si>
  <si>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</si>
  <si>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</si>
  <si>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</si>
  <si>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</si>
  <si>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</si>
  <si>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</si>
  <si>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</si>
  <si>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</si>
  <si>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</si>
  <si>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</si>
  <si>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</si>
  <si>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</si>
  <si>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</si>
  <si>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</si>
  <si>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</si>
  <si>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</si>
  <si>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</si>
  <si>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</si>
  <si>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</si>
  <si>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</si>
  <si>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</si>
  <si>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</si>
  <si>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</si>
  <si>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</si>
  <si>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</si>
  <si>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</si>
  <si>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</si>
  <si>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</si>
  <si>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</si>
  <si>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</si>
  <si>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</si>
  <si>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</si>
  <si>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</si>
  <si>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</si>
  <si>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</si>
  <si>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</si>
  <si>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</si>
  <si>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</si>
  <si>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</si>
  <si>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</si>
  <si>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</si>
  <si>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</si>
  <si>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</si>
  <si>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</si>
  <si>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</si>
  <si>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</si>
  <si>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</si>
  <si>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</si>
  <si>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</si>
  <si>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</si>
  <si>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</si>
  <si>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</si>
  <si>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</si>
  <si>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</si>
  <si>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</si>
  <si>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</si>
  <si>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</si>
  <si>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</si>
  <si>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</si>
  <si>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</si>
  <si>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</si>
  <si>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</si>
  <si>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</si>
  <si>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</si>
  <si>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</si>
  <si>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</si>
  <si>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</si>
  <si>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</si>
  <si>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</si>
  <si>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</si>
  <si>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</si>
  <si>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</si>
  <si>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</si>
  <si>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</si>
  <si>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</si>
  <si>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</si>
  <si>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</si>
  <si>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</si>
  <si>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</si>
  <si>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</si>
  <si>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</si>
  <si>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</si>
  <si>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</si>
  <si>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</si>
  <si>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</si>
  <si>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</si>
  <si>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</si>
  <si>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</si>
  <si>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</si>
  <si>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</si>
  <si>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</si>
  <si>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</si>
  <si>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</si>
  <si>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</si>
  <si>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</si>
  <si>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</si>
  <si>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</si>
  <si>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</si>
  <si>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</si>
  <si>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</si>
  <si>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</si>
  <si>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</si>
  <si>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</si>
  <si>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</si>
  <si>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</si>
  <si>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</si>
  <si>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</si>
  <si>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</si>
  <si>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</si>
  <si>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</si>
  <si>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</si>
  <si>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</si>
  <si>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</si>
  <si>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</si>
  <si>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</si>
  <si>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</si>
  <si>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</si>
  <si>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</si>
  <si>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</si>
  <si>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</si>
  <si>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</si>
  <si>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</si>
  <si>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</si>
  <si>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</si>
  <si>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</si>
  <si>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</si>
  <si>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</si>
  <si>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</si>
  <si>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</si>
  <si>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</si>
  <si>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</si>
  <si>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</si>
  <si>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</si>
  <si>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</si>
  <si>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</si>
  <si>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</si>
  <si>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</si>
  <si>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</si>
  <si>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</si>
  <si>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</si>
  <si>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</si>
  <si>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</si>
  <si>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</si>
  <si>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</si>
  <si>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</si>
  <si>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</si>
  <si>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</si>
  <si>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</si>
  <si>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</si>
  <si>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</si>
  <si>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</si>
  <si>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</si>
  <si>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</si>
  <si>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</si>
  <si>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</si>
  <si>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</si>
  <si>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</si>
  <si>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</si>
  <si>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</si>
  <si>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</si>
  <si>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</si>
  <si>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</si>
  <si>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</si>
  <si>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</si>
  <si>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</si>
  <si>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</si>
  <si>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</si>
  <si>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</si>
  <si>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</si>
  <si>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</si>
  <si>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</si>
  <si>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</si>
  <si>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</si>
  <si>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</si>
  <si>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</si>
  <si>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</si>
  <si>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</si>
  <si>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</si>
  <si>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</si>
  <si>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</si>
  <si>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</si>
  <si>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</si>
  <si>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</si>
  <si>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</si>
  <si>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</si>
  <si>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</si>
  <si>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</si>
  <si>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</si>
  <si>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</si>
  <si>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>Reassessment</t>
  </si>
  <si>
    <t>Statement of Adjustments</t>
  </si>
  <si>
    <t>Actual Interest Paid</t>
  </si>
  <si>
    <t>Utility Name: UTILITYNAME</t>
  </si>
  <si>
    <t>Employee Future Benefits</t>
  </si>
  <si>
    <t>ENNERCONNECT LIMITED PARTNERSHIP INCOME</t>
  </si>
  <si>
    <t>Expenses capitalized for accounting</t>
  </si>
  <si>
    <t>Y</t>
  </si>
  <si>
    <t>N</t>
  </si>
  <si>
    <t>Restatement of employee future benefit liability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</si>
</sst>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58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180" fontId="0" fillId="4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9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502</v>
      </c>
      <c r="C3" s="8"/>
      <c r="D3" s="457" t="s">
        <v>447</v>
      </c>
      <c r="E3" s="8"/>
      <c r="F3" s="8"/>
      <c r="G3" s="8"/>
      <c r="H3" s="8"/>
    </row>
    <row r="4" spans="1:8" ht="12.75">
      <c r="A4" s="2" t="s">
        <v>482</v>
      </c>
      <c r="C4" s="8"/>
      <c r="D4" s="456" t="s">
        <v>442</v>
      </c>
      <c r="E4" s="430"/>
      <c r="H4" s="8"/>
    </row>
    <row r="5" spans="1:8" ht="12.75">
      <c r="A5" s="52"/>
      <c r="C5" s="8"/>
      <c r="D5" s="455" t="s">
        <v>443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506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507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507</v>
      </c>
    </row>
    <row r="18" spans="1:4" ht="15" customHeight="1">
      <c r="A18" s="391" t="s">
        <v>315</v>
      </c>
      <c r="C18" s="8"/>
      <c r="D18" s="8"/>
    </row>
    <row r="19" spans="1:4" ht="15" customHeight="1">
      <c r="A19" s="496" t="s">
        <v>316</v>
      </c>
      <c r="B19" s="8" t="s">
        <v>313</v>
      </c>
      <c r="C19" s="8" t="s">
        <v>64</v>
      </c>
      <c r="D19" s="390" t="s">
        <v>506</v>
      </c>
    </row>
    <row r="20" spans="1:4" ht="13.5" thickBot="1">
      <c r="A20" s="497"/>
      <c r="B20" s="8" t="s">
        <v>314</v>
      </c>
      <c r="C20" s="8" t="s">
        <v>64</v>
      </c>
      <c r="D20" s="258" t="s">
        <v>507</v>
      </c>
    </row>
    <row r="21" spans="1:4" ht="12.75">
      <c r="A21" s="496" t="s">
        <v>312</v>
      </c>
      <c r="B21" s="8" t="s">
        <v>313</v>
      </c>
      <c r="C21" s="8"/>
      <c r="D21" s="495">
        <v>0.995</v>
      </c>
    </row>
    <row r="22" spans="1:4" ht="12.75">
      <c r="A22" s="496"/>
      <c r="B22" s="8" t="s">
        <v>314</v>
      </c>
      <c r="C22" s="8"/>
      <c r="D22" s="425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6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45" t="s">
        <v>297</v>
      </c>
    </row>
    <row r="27" spans="1:5" ht="12.75">
      <c r="A27" s="256" t="s">
        <v>68</v>
      </c>
      <c r="C27" s="8"/>
      <c r="E27" s="446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3">
        <v>11068045</v>
      </c>
      <c r="H31" s="5"/>
    </row>
    <row r="32" ht="6" customHeight="1"/>
    <row r="33" spans="1:8" ht="12.75">
      <c r="A33" t="s">
        <v>71</v>
      </c>
      <c r="D33" s="42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4">
        <v>0.0988</v>
      </c>
      <c r="H37" s="41"/>
    </row>
    <row r="38" ht="4.5" customHeight="1">
      <c r="H38" s="34"/>
    </row>
    <row r="39" spans="1:8" ht="12.75">
      <c r="A39" t="s">
        <v>74</v>
      </c>
      <c r="D39" s="42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947978.05425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7">
        <v>255161</v>
      </c>
      <c r="E43" s="389">
        <f>D43</f>
        <v>255161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692817.05425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8">
        <v>230939</v>
      </c>
      <c r="E47" s="389">
        <f aca="true" t="shared" si="0" ref="E47:E53">D47</f>
        <v>230939</v>
      </c>
      <c r="H47" s="40"/>
      <c r="J47" s="5"/>
      <c r="K47" s="5"/>
    </row>
    <row r="48" spans="1:11" ht="12.75">
      <c r="A48" t="s">
        <v>290</v>
      </c>
      <c r="D48" s="428">
        <v>230939</v>
      </c>
      <c r="E48" s="389">
        <f>D48</f>
        <v>230939</v>
      </c>
      <c r="F48" s="22"/>
      <c r="H48" s="40"/>
      <c r="J48" s="5"/>
      <c r="K48" s="5"/>
    </row>
    <row r="49" spans="1:11" ht="12.75">
      <c r="A49" t="s">
        <v>291</v>
      </c>
      <c r="D49" s="429">
        <v>230939</v>
      </c>
      <c r="E49" s="389">
        <v>0</v>
      </c>
      <c r="F49" s="22"/>
      <c r="H49" s="40"/>
      <c r="J49" s="5"/>
      <c r="K49" s="5"/>
    </row>
    <row r="50" spans="1:11" ht="12.75">
      <c r="A50" t="s">
        <v>292</v>
      </c>
      <c r="D50" s="430"/>
      <c r="E50" s="389">
        <f t="shared" si="0"/>
        <v>0</v>
      </c>
      <c r="H50" s="40"/>
      <c r="J50" s="5"/>
      <c r="K50" s="5"/>
    </row>
    <row r="51" spans="1:11" ht="12.75">
      <c r="A51" t="s">
        <v>439</v>
      </c>
      <c r="D51" s="430"/>
      <c r="E51" s="389">
        <f t="shared" si="0"/>
        <v>0</v>
      </c>
      <c r="H51" s="40"/>
      <c r="J51" s="5"/>
      <c r="K51" s="5"/>
    </row>
    <row r="52" spans="1:11" ht="12.75">
      <c r="A52" t="s">
        <v>463</v>
      </c>
      <c r="D52" s="430"/>
      <c r="E52" s="389">
        <f t="shared" si="0"/>
        <v>0</v>
      </c>
      <c r="H52" s="40"/>
      <c r="J52" s="5"/>
      <c r="K52" s="5"/>
    </row>
    <row r="53" spans="4:11" ht="12.75">
      <c r="D53" s="430"/>
      <c r="E53" s="389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717039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5534022.5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546761.423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5534022.5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401216.63125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205734.09223584353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303475.350262697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303475.350262697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401216.63125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05">
      <selection activeCell="J180" sqref="J18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UTILITYNAME</v>
      </c>
      <c r="B6" s="115"/>
      <c r="D6" s="137"/>
      <c r="E6" s="115"/>
      <c r="G6" s="115"/>
      <c r="H6" s="467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7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1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60">
        <f>REGINFO!E54</f>
        <v>717039</v>
      </c>
      <c r="D16" s="17"/>
      <c r="E16" s="268">
        <f>G16-C16</f>
        <v>2506170</v>
      </c>
      <c r="F16" s="3"/>
      <c r="G16" s="268">
        <f>TAXREC!E50</f>
        <v>3223209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663503</v>
      </c>
      <c r="D20" s="18"/>
      <c r="E20" s="268">
        <f>G20-C20</f>
        <v>-46326</v>
      </c>
      <c r="F20" s="6"/>
      <c r="G20" s="268">
        <f>TAXREC!E61</f>
        <v>617177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42147</v>
      </c>
      <c r="F21" s="6"/>
      <c r="G21" s="268">
        <f>TAXREC!E62</f>
        <v>42147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265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2686</v>
      </c>
      <c r="F29" s="6"/>
      <c r="G29" s="268">
        <f>TAXREC!E68</f>
        <v>2686</v>
      </c>
      <c r="H29" s="151"/>
    </row>
    <row r="30" spans="1:8" ht="15.75">
      <c r="A30" s="484" t="s">
        <v>395</v>
      </c>
      <c r="B30" s="127"/>
      <c r="C30" s="260"/>
      <c r="D30" s="18"/>
      <c r="E30" s="268">
        <f>G30-C30</f>
        <v>377651</v>
      </c>
      <c r="F30" s="6"/>
      <c r="G30" s="268">
        <f>TAXREC!E66</f>
        <v>377651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453968</v>
      </c>
      <c r="D33" s="132"/>
      <c r="E33" s="268">
        <f aca="true" t="shared" si="0" ref="E33:E42">G33-C33</f>
        <v>154710</v>
      </c>
      <c r="F33" s="6"/>
      <c r="G33" s="268">
        <f>TAXREC!E97+TAXREC!E98</f>
        <v>608678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36486</v>
      </c>
      <c r="F34" s="6"/>
      <c r="G34" s="268">
        <f>TAXREC!E99</f>
        <v>36486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303475.350262697</v>
      </c>
      <c r="D37" s="132"/>
      <c r="E37" s="268">
        <f t="shared" si="0"/>
        <v>162286.64973730303</v>
      </c>
      <c r="F37" s="6"/>
      <c r="G37" s="268">
        <f>TAXREC!E51</f>
        <v>465762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15324</v>
      </c>
      <c r="F46" s="6"/>
      <c r="G46" s="251">
        <f>TAXREC!E110</f>
        <v>15324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4" t="s">
        <v>395</v>
      </c>
      <c r="B48" s="127"/>
      <c r="C48" s="260"/>
      <c r="D48" s="132"/>
      <c r="E48" s="268">
        <f>G48-C48</f>
        <v>35381</v>
      </c>
      <c r="F48" s="6"/>
      <c r="G48" s="251">
        <f>TAXREC!E108</f>
        <v>35381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4">
        <f>C16+SUM(C20:C30)-SUM(C33:C48)</f>
        <v>623098.649737303</v>
      </c>
      <c r="D50" s="102"/>
      <c r="E50" s="264">
        <f>E16+SUM(E20:E30)-SUM(E33:E48)</f>
        <v>2478140.350262697</v>
      </c>
      <c r="F50" s="433" t="s">
        <v>367</v>
      </c>
      <c r="G50" s="264">
        <f>G16+SUM(G20:G30)-SUM(G33:G48)</f>
        <v>3101239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3">
        <v>0.3862</v>
      </c>
      <c r="D53" s="102"/>
      <c r="E53" s="269">
        <f>+G53-C53</f>
        <v>-0.019999988268637525</v>
      </c>
      <c r="F53" s="114"/>
      <c r="G53" s="475">
        <f>TAXREC!E151</f>
        <v>0.36620001173136246</v>
      </c>
      <c r="H53" s="151"/>
      <c r="I53" s="472" t="s">
        <v>476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240640.69852854643</v>
      </c>
      <c r="D55" s="102"/>
      <c r="E55" s="268">
        <f>G55-C55</f>
        <v>429853.30147145357</v>
      </c>
      <c r="F55" s="433" t="s">
        <v>368</v>
      </c>
      <c r="G55" s="265">
        <f>TAXREC!E144</f>
        <v>670494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3" t="s">
        <v>368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240640.69852854643</v>
      </c>
      <c r="D60" s="133"/>
      <c r="E60" s="270">
        <f>+E55-E58</f>
        <v>429853.30147145357</v>
      </c>
      <c r="F60" s="433" t="s">
        <v>368</v>
      </c>
      <c r="G60" s="270">
        <f>+G55-G58</f>
        <v>670494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11068045</v>
      </c>
      <c r="D66" s="102"/>
      <c r="E66" s="268">
        <f>G66-C66</f>
        <v>-11068045</v>
      </c>
      <c r="F66" s="6"/>
      <c r="G66" s="477"/>
      <c r="H66" s="151"/>
      <c r="I66" s="478" t="s">
        <v>477</v>
      </c>
    </row>
    <row r="67" spans="1:10" ht="12.75">
      <c r="A67" s="152" t="s">
        <v>360</v>
      </c>
      <c r="B67" s="125">
        <v>16</v>
      </c>
      <c r="C67" s="261">
        <f>IF(C66&gt;0,'Tax Rates'!C21,0)</f>
        <v>5000000</v>
      </c>
      <c r="D67" s="102"/>
      <c r="E67" s="268">
        <f>G67-C67</f>
        <v>-313562</v>
      </c>
      <c r="F67" s="6"/>
      <c r="G67" s="268">
        <f>'Tax Rates'!C57</f>
        <v>4686438</v>
      </c>
      <c r="H67" s="151"/>
      <c r="I67" s="478" t="s">
        <v>477</v>
      </c>
      <c r="J67" s="479" t="s">
        <v>478</v>
      </c>
    </row>
    <row r="68" spans="1:8" ht="12.75">
      <c r="A68" s="152" t="s">
        <v>42</v>
      </c>
      <c r="B68" s="125"/>
      <c r="C68" s="265">
        <f>IF((C66-C67)&gt;0,C66-C67,0)</f>
        <v>6068045</v>
      </c>
      <c r="D68" s="102"/>
      <c r="E68" s="268">
        <f>SUM(E66:E67)</f>
        <v>-11381607</v>
      </c>
      <c r="F68" s="114"/>
      <c r="G68" s="265">
        <f>G66-G67</f>
        <v>-4686438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5">
        <f>IF(C68&gt;0,C68*C70,0)*REGINFO!$B$6/REGINFO!$B$7</f>
        <v>18204.135000000002</v>
      </c>
      <c r="D72" s="101"/>
      <c r="E72" s="268">
        <f>+G72-C72</f>
        <v>-18204.135000000002</v>
      </c>
      <c r="F72" s="480"/>
      <c r="G72" s="265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11068045</v>
      </c>
      <c r="D75" s="102"/>
      <c r="E75" s="268">
        <f>+G75-C75</f>
        <v>-11068045</v>
      </c>
      <c r="F75" s="6"/>
      <c r="G75" s="477"/>
      <c r="H75" s="151"/>
      <c r="I75" s="478" t="s">
        <v>477</v>
      </c>
    </row>
    <row r="76" spans="1:9" ht="12.75">
      <c r="A76" s="152" t="s">
        <v>360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f>'Tax Rates'!C58</f>
        <v>10000000</v>
      </c>
      <c r="H76" s="151"/>
      <c r="I76" s="478" t="s">
        <v>477</v>
      </c>
    </row>
    <row r="77" spans="1:8" ht="12.75">
      <c r="A77" s="152" t="s">
        <v>42</v>
      </c>
      <c r="B77" s="125"/>
      <c r="C77" s="265">
        <f>IF((C75-C76)&gt;0,C75-C76,0)</f>
        <v>1068045</v>
      </c>
      <c r="D77" s="19"/>
      <c r="E77" s="268">
        <f>SUM(E75:E76)</f>
        <v>-11068045</v>
      </c>
      <c r="F77" s="114"/>
      <c r="G77" s="265">
        <f>G75-G76</f>
        <v>-10000000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5">
        <f>IF(C77&gt;0,C77*C79,0)*REGINFO!$B$6/REGINFO!$B$7</f>
        <v>2403.1012499999997</v>
      </c>
      <c r="D81" s="102"/>
      <c r="E81" s="268">
        <f>+G81-C81</f>
        <v>-24903.10125</v>
      </c>
      <c r="F81" s="6"/>
      <c r="G81" s="265">
        <f>G77*G79*B9/B10</f>
        <v>-22500</v>
      </c>
      <c r="H81" s="151"/>
    </row>
    <row r="82" spans="1:8" ht="12.75">
      <c r="A82" s="152" t="s">
        <v>319</v>
      </c>
      <c r="B82" s="125">
        <v>21</v>
      </c>
      <c r="C82" s="301">
        <f>IF(C77&gt;0,IF(C60&gt;0,C50*'Tax Rates'!C20,0),0)</f>
        <v>6978.704877057794</v>
      </c>
      <c r="D82" s="102"/>
      <c r="E82" s="268">
        <f>+G82-C82</f>
        <v>-6978.704877057794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IF(C82&gt;C81,0,C81-C82)</f>
        <v>0</v>
      </c>
      <c r="D84" s="16"/>
      <c r="E84" s="268">
        <f>E81-E82</f>
        <v>-17924.396372942207</v>
      </c>
      <c r="F84" s="103"/>
      <c r="G84" s="265">
        <f>G81-G82</f>
        <v>-22500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C53</f>
        <v>0.3862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5">
        <f>C60/(1-C88)</f>
        <v>392050.66557273775</v>
      </c>
      <c r="D90" s="20"/>
      <c r="E90" s="139"/>
      <c r="F90" s="432" t="s">
        <v>484</v>
      </c>
      <c r="G90" s="271">
        <f>TAXREC!E156</f>
        <v>670494</v>
      </c>
      <c r="H90" s="151"/>
    </row>
    <row r="91" spans="1:8" ht="12.75">
      <c r="A91" s="158" t="s">
        <v>370</v>
      </c>
      <c r="B91" s="127">
        <v>23</v>
      </c>
      <c r="C91" s="265">
        <f>C84/(1-C88)</f>
        <v>0</v>
      </c>
      <c r="D91" s="20"/>
      <c r="E91" s="139"/>
      <c r="F91" s="432" t="s">
        <v>484</v>
      </c>
      <c r="G91" s="271">
        <f>TAXREC!E158</f>
        <v>0</v>
      </c>
      <c r="H91" s="151"/>
    </row>
    <row r="92" spans="1:8" ht="12.75">
      <c r="A92" s="158" t="s">
        <v>348</v>
      </c>
      <c r="B92" s="127">
        <v>24</v>
      </c>
      <c r="C92" s="265">
        <f>C72</f>
        <v>18204.135000000002</v>
      </c>
      <c r="D92" s="20"/>
      <c r="E92" s="139"/>
      <c r="F92" s="432" t="s">
        <v>484</v>
      </c>
      <c r="G92" s="271">
        <f>TAXREC!E157</f>
        <v>35381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485</v>
      </c>
      <c r="B95" s="125">
        <v>25</v>
      </c>
      <c r="C95" s="270">
        <f>SUM(C90:C93)</f>
        <v>410254.80057273776</v>
      </c>
      <c r="D95" s="6"/>
      <c r="E95" s="139"/>
      <c r="F95" s="432" t="s">
        <v>484</v>
      </c>
      <c r="G95" s="415">
        <f>SUM(G90:G94)</f>
        <v>705875</v>
      </c>
      <c r="H95" s="164"/>
    </row>
    <row r="96" spans="1:8" ht="12.75">
      <c r="A96" s="405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42147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36486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494</v>
      </c>
      <c r="B112" s="127">
        <v>11</v>
      </c>
      <c r="C112" s="112"/>
      <c r="D112" s="3"/>
      <c r="E112" s="474">
        <f>E206</f>
        <v>64545.36875000002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15324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-74208.36875000002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71">
        <f>+'Tax Rates'!F52</f>
        <v>0.36619999999999997</v>
      </c>
      <c r="F122" s="472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-27175.104636250006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-27175.104636250006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E122-0.0112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8">
        <f>E128/(1-E130)</f>
        <v>-42131.94517248063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623098.649737303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E122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228178.72553380035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228178.72553380035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240640.69852854643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-12461.972994746087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8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11068045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6068045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18204.135000000002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6">
        <f>C72</f>
        <v>18204.135000000002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11068045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1068045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2403.1012499999997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8">
        <f>IF(E164&gt;0,IF(E144&gt;0,E136*'Tax Rates'!C56,0),0)</f>
        <v>6978.704877057794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IF(E168-E169&lt;0,0,E168-E169)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347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1">
        <f>IF((E120+G50)&gt;'Tax Rates'!E47,'Tax Rates'!F52-1.12%,IF((E120+G50)&gt;'Tax Rates'!D47,'Tax Rates'!E52-1.12%,IF((E120+G50)&gt;'Tax Rates'!C47,'Tax Rates'!D52,'Tax Rates'!C52-1.12%)))</f>
        <v>0.355</v>
      </c>
      <c r="F175" s="472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-19320.888363947422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7">
        <f>SUM(E177:E179)</f>
        <v>-19320.888363947422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493</v>
      </c>
      <c r="B183" s="130"/>
      <c r="C183" s="112"/>
      <c r="D183" s="119" t="s">
        <v>187</v>
      </c>
      <c r="E183" s="487">
        <f>E132</f>
        <v>-42131.94517248063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7">
        <f>E181+E183</f>
        <v>-61452.83353642805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401216.63125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303475.350262697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9">
        <f>E193-E194</f>
        <v>97741.280987303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1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465762</v>
      </c>
      <c r="F201" s="3"/>
      <c r="G201" s="491"/>
      <c r="H201" s="164"/>
    </row>
    <row r="202" spans="1:8" ht="12.75">
      <c r="A202" s="155" t="s">
        <v>501</v>
      </c>
      <c r="B202" s="127"/>
      <c r="C202" s="112"/>
      <c r="D202" s="120"/>
      <c r="E202" s="490"/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465762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495</v>
      </c>
      <c r="B206" s="127"/>
      <c r="C206" s="112"/>
      <c r="D206" s="120"/>
      <c r="E206" s="473">
        <f>IF((E201-E193)&gt;0,E201-E193,0)</f>
        <v>64545.36875000002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-368020.719012697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headerFooter alignWithMargins="0">
    <oddFooter>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115">
      <selection activeCell="C149" sqref="C14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UTILITYNAME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Ratebase*REGINFO!D33*0.0025</f>
        <v>13835.05625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506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326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259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324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325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11940399</v>
      </c>
      <c r="D31" s="287"/>
      <c r="E31" s="285">
        <f>C31-D31</f>
        <v>11940399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5097928</v>
      </c>
      <c r="D32" s="287"/>
      <c r="E32" s="285">
        <f>C32-D32</f>
        <v>5097928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584147</v>
      </c>
      <c r="D33" s="287"/>
      <c r="E33" s="285">
        <f>C33-D33</f>
        <v>584147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11940399</v>
      </c>
      <c r="D39" s="287"/>
      <c r="E39" s="285">
        <f>C39-D39</f>
        <v>11940399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679507</v>
      </c>
      <c r="D40" s="287"/>
      <c r="E40" s="285">
        <f aca="true" t="shared" si="0" ref="E40:E48">C40-D40</f>
        <v>679507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>
        <v>523212</v>
      </c>
      <c r="D41" s="287"/>
      <c r="E41" s="285">
        <f t="shared" si="0"/>
        <v>523212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>
        <v>638970</v>
      </c>
      <c r="D42" s="287"/>
      <c r="E42" s="285">
        <f t="shared" si="0"/>
        <v>638970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617177</v>
      </c>
      <c r="D43" s="287"/>
      <c r="E43" s="285">
        <f t="shared" si="0"/>
        <v>617177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417" t="s">
        <v>497</v>
      </c>
      <c r="B45" s="23" t="s">
        <v>188</v>
      </c>
      <c r="C45" s="2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SUM(C31:C35)-SUM(C39:C48)</f>
        <v>3223209</v>
      </c>
      <c r="D50" s="282">
        <f>SUM(D31:D36)-SUM(D39:D49)</f>
        <v>0</v>
      </c>
      <c r="E50" s="282">
        <f>SUM(E31:E35)-SUM(E39:E48)</f>
        <v>3223209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465762</v>
      </c>
      <c r="D51" s="286"/>
      <c r="E51" s="283">
        <f>+C51-D51</f>
        <v>465762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683000</v>
      </c>
      <c r="D52" s="286"/>
      <c r="E52" s="284">
        <f>+C52-D52</f>
        <v>683000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2074447</v>
      </c>
      <c r="D53" s="282">
        <f>D50-D51-D52</f>
        <v>0</v>
      </c>
      <c r="E53" s="282">
        <f>E50-E51-E52</f>
        <v>2074447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683000</v>
      </c>
      <c r="D59" s="288">
        <f>D52</f>
        <v>0</v>
      </c>
      <c r="E59" s="273">
        <f>+C59-D59</f>
        <v>683000</v>
      </c>
      <c r="F59" s="8"/>
      <c r="G59" s="417"/>
    </row>
    <row r="60" spans="1:7" ht="12.75">
      <c r="A60" s="4" t="s">
        <v>327</v>
      </c>
      <c r="B60" s="8" t="s">
        <v>187</v>
      </c>
      <c r="C60" s="319"/>
      <c r="D60" s="319"/>
      <c r="E60" s="273">
        <f>+C60-D60</f>
        <v>0</v>
      </c>
      <c r="F60" s="8"/>
      <c r="G60" t="s">
        <v>500</v>
      </c>
    </row>
    <row r="61" spans="1:7" ht="12.75">
      <c r="A61" t="s">
        <v>4</v>
      </c>
      <c r="B61" s="8" t="s">
        <v>187</v>
      </c>
      <c r="C61" s="288">
        <f>C43</f>
        <v>617177</v>
      </c>
      <c r="D61" s="288">
        <f>D43</f>
        <v>0</v>
      </c>
      <c r="E61" s="273">
        <f>+C61-D61</f>
        <v>617177</v>
      </c>
      <c r="F61" s="8"/>
      <c r="G61" s="417"/>
    </row>
    <row r="62" spans="1:6" ht="12.75">
      <c r="A62" t="s">
        <v>6</v>
      </c>
      <c r="B62" s="8" t="s">
        <v>187</v>
      </c>
      <c r="C62" s="319">
        <f>4753+37394</f>
        <v>42147</v>
      </c>
      <c r="D62" s="288">
        <v>0</v>
      </c>
      <c r="E62" s="273">
        <f>+C62-D62</f>
        <v>42147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444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9" t="s">
        <v>395</v>
      </c>
      <c r="B66" s="8"/>
      <c r="C66" s="448">
        <f>'TAXREC 3 No True-up'!C47</f>
        <v>377651</v>
      </c>
      <c r="D66" s="448">
        <f>'TAXREC 3 No True-up'!D47</f>
        <v>0</v>
      </c>
      <c r="E66" s="273">
        <f>+C66-D66</f>
        <v>377651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2686</v>
      </c>
      <c r="D68" s="251">
        <f>'TAXREC 2'!D78</f>
        <v>0</v>
      </c>
      <c r="E68" s="273">
        <f>+C68-D68</f>
        <v>2686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1722661</v>
      </c>
      <c r="D70" s="273">
        <f>SUM(D59:D68)</f>
        <v>0</v>
      </c>
      <c r="E70" s="273">
        <f>SUM(E59:E68)</f>
        <v>1722661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2:11" ht="12.75"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5">
        <v>0</v>
      </c>
      <c r="D76" s="295"/>
      <c r="E76" s="48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1722661</v>
      </c>
      <c r="D82" s="251">
        <f>D70+D80</f>
        <v>0</v>
      </c>
      <c r="E82" s="251">
        <f>E70+E80</f>
        <v>1722661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432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556260</v>
      </c>
      <c r="D97" s="295"/>
      <c r="E97" s="273">
        <f>+C97-D97</f>
        <v>556260</v>
      </c>
      <c r="F97" s="8"/>
      <c r="G97" s="45" t="s">
        <v>499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52418</v>
      </c>
      <c r="D98" s="295"/>
      <c r="E98" s="273">
        <f>+C98-D98</f>
        <v>52418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36486</v>
      </c>
      <c r="D99" s="295"/>
      <c r="E99" s="273">
        <f>+C99-D99</f>
        <v>36486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9" t="s">
        <v>395</v>
      </c>
      <c r="B108" s="8"/>
      <c r="C108" s="254">
        <f>'TAXREC 3 No True-up'!C73</f>
        <v>35381</v>
      </c>
      <c r="D108" s="254">
        <f>'TAXREC 3 No True-up'!D73</f>
        <v>0</v>
      </c>
      <c r="E108" s="273">
        <f t="shared" si="5"/>
        <v>35381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15324</v>
      </c>
      <c r="D110" s="251">
        <f>'TAXREC 2'!D119</f>
        <v>0</v>
      </c>
      <c r="E110" s="251">
        <f>'TAXREC 2'!E119</f>
        <v>15324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1084721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1780590</v>
      </c>
      <c r="D113" s="251">
        <f>SUM(D97:D111)</f>
        <v>0</v>
      </c>
      <c r="E113" s="251">
        <f>SUM(E97:E111)</f>
        <v>695869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1780590</v>
      </c>
      <c r="D122" s="251">
        <f>D113+D120</f>
        <v>0</v>
      </c>
      <c r="E122" s="251">
        <f>+E113+E120</f>
        <v>695869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2016518</v>
      </c>
      <c r="D134" s="251">
        <f>D53+D82-D122</f>
        <v>0</v>
      </c>
      <c r="E134" s="251">
        <f>E53+E82-E122</f>
        <v>3101239</v>
      </c>
      <c r="F134" s="8"/>
      <c r="G134" s="45"/>
      <c r="H134" s="45"/>
      <c r="I134" s="30">
        <f>C134</f>
        <v>2016518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375</v>
      </c>
      <c r="B136" s="8" t="s">
        <v>188</v>
      </c>
      <c r="C136" s="295">
        <v>141203</v>
      </c>
      <c r="D136" s="295"/>
      <c r="E136" s="265">
        <f>C136-D136</f>
        <v>141203</v>
      </c>
      <c r="F136" s="8"/>
      <c r="G136" s="45"/>
      <c r="H136" s="45"/>
      <c r="I136" s="489">
        <f>I134-I135</f>
        <v>-299988</v>
      </c>
      <c r="J136" s="45"/>
      <c r="K136" s="45"/>
    </row>
    <row r="137" spans="1:11" ht="12.75">
      <c r="A137" s="46" t="s">
        <v>376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1875315</v>
      </c>
      <c r="D139" s="252">
        <f>D134-D136-D137-D138</f>
        <v>0</v>
      </c>
      <c r="E139" s="252">
        <f>E134-E136-E137-E138</f>
        <v>2960036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452326</v>
      </c>
      <c r="D142" s="299"/>
      <c r="E142" s="252">
        <f>C142-D142</f>
        <v>452326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218168</v>
      </c>
      <c r="D143" s="299"/>
      <c r="E143" s="293">
        <f>C143-D143</f>
        <v>218168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670494</v>
      </c>
      <c r="D144" s="252">
        <f>D142+D143</f>
        <v>0</v>
      </c>
      <c r="E144" s="252">
        <f>E142+E143</f>
        <v>670494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670494</v>
      </c>
      <c r="D146" s="252">
        <f>D144-D145</f>
        <v>0</v>
      </c>
      <c r="E146" s="252">
        <f>E144-E145</f>
        <v>670494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6">
        <f>C142/C139</f>
        <v>0.24120001173136246</v>
      </c>
      <c r="D149" s="5"/>
      <c r="E149" s="407">
        <f>C149</f>
        <v>0.24120001173136246</v>
      </c>
      <c r="F149" s="8"/>
      <c r="G149" s="486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6">
        <v>0.125</v>
      </c>
      <c r="D150" s="493"/>
      <c r="E150" s="407">
        <f>C150</f>
        <v>0.125</v>
      </c>
      <c r="F150" s="8"/>
      <c r="G150" s="486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7">
        <f>SUM(C149:C150)</f>
        <v>0.36620001173136246</v>
      </c>
      <c r="D151" s="5"/>
      <c r="E151" s="407">
        <f>SUM(E149:E150)</f>
        <v>0.36620001173136246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670494</v>
      </c>
      <c r="D156" s="251">
        <f>D146</f>
        <v>0</v>
      </c>
      <c r="E156" s="251">
        <f>E146</f>
        <v>670494</v>
      </c>
    </row>
    <row r="157" spans="1:5" ht="12.75">
      <c r="A157" t="s">
        <v>20</v>
      </c>
      <c r="B157" s="86" t="s">
        <v>187</v>
      </c>
      <c r="C157" s="482">
        <v>35381</v>
      </c>
      <c r="D157" s="251"/>
      <c r="E157" s="251">
        <f>C157+D157</f>
        <v>35381</v>
      </c>
    </row>
    <row r="158" spans="1:5" ht="12.75">
      <c r="A158" t="s">
        <v>218</v>
      </c>
      <c r="B158" s="86" t="s">
        <v>187</v>
      </c>
      <c r="C158" s="482"/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705875</v>
      </c>
      <c r="D160" s="251">
        <f>D156+D157+D158</f>
        <v>0</v>
      </c>
      <c r="E160" s="251">
        <f>E156+E157+E158</f>
        <v>705875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26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UTILITYNAME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281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5"/>
      <c r="D15" s="295"/>
      <c r="E15" s="251">
        <f t="shared" si="0"/>
        <v>0</v>
      </c>
    </row>
    <row r="16" spans="1:5" ht="12.75">
      <c r="A16" s="61" t="s">
        <v>283</v>
      </c>
      <c r="B16" s="61"/>
      <c r="C16" s="295"/>
      <c r="D16" s="295"/>
      <c r="E16" s="251">
        <f t="shared" si="0"/>
        <v>0</v>
      </c>
    </row>
    <row r="17" spans="1:5" ht="12.75">
      <c r="A17" s="61" t="s">
        <v>284</v>
      </c>
      <c r="B17" s="61"/>
      <c r="C17" s="295"/>
      <c r="D17" s="295"/>
      <c r="E17" s="251">
        <f t="shared" si="0"/>
        <v>0</v>
      </c>
    </row>
    <row r="18" spans="1:5" ht="12.75">
      <c r="A18" s="61" t="s">
        <v>449</v>
      </c>
      <c r="B18" s="61"/>
      <c r="C18" s="295"/>
      <c r="D18" s="295"/>
      <c r="E18" s="251">
        <f t="shared" si="0"/>
        <v>0</v>
      </c>
    </row>
    <row r="19" spans="1:5" ht="12.75">
      <c r="A19" s="61" t="s">
        <v>449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281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5"/>
      <c r="D27" s="295"/>
      <c r="E27" s="251">
        <f t="shared" si="1"/>
        <v>0</v>
      </c>
    </row>
    <row r="28" spans="1:5" ht="12.75">
      <c r="A28" s="61" t="s">
        <v>283</v>
      </c>
      <c r="B28" s="61"/>
      <c r="C28" s="295"/>
      <c r="D28" s="295"/>
      <c r="E28" s="251">
        <f t="shared" si="1"/>
        <v>0</v>
      </c>
    </row>
    <row r="29" spans="1:5" ht="12.75">
      <c r="A29" s="61" t="s">
        <v>284</v>
      </c>
      <c r="B29" s="61"/>
      <c r="C29" s="295"/>
      <c r="D29" s="295"/>
      <c r="E29" s="251">
        <f t="shared" si="1"/>
        <v>0</v>
      </c>
    </row>
    <row r="30" spans="1:5" ht="12.75">
      <c r="A30" s="61" t="s">
        <v>449</v>
      </c>
      <c r="B30" s="61"/>
      <c r="C30" s="295"/>
      <c r="D30" s="295"/>
      <c r="E30" s="251">
        <f t="shared" si="1"/>
        <v>0</v>
      </c>
    </row>
    <row r="31" spans="1:5" ht="12.75">
      <c r="A31" s="61" t="s">
        <v>449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503</v>
      </c>
      <c r="B47" s="61"/>
      <c r="C47" s="295"/>
      <c r="D47" s="295"/>
      <c r="E47" s="251">
        <f t="shared" si="2"/>
        <v>0</v>
      </c>
    </row>
    <row r="48" spans="1:5" ht="12.75">
      <c r="A48" s="61" t="s">
        <v>449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503</v>
      </c>
      <c r="B59" s="61"/>
      <c r="C59" s="295"/>
      <c r="D59" s="295"/>
      <c r="E59" s="251">
        <f t="shared" si="3"/>
        <v>0</v>
      </c>
    </row>
    <row r="60" spans="1:5" ht="12.75">
      <c r="A60" s="61" t="s">
        <v>449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31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38" sqref="C3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467</v>
      </c>
      <c r="B5" s="8"/>
      <c r="C5" s="8" t="s">
        <v>2</v>
      </c>
      <c r="D5" s="8"/>
      <c r="E5" s="8"/>
      <c r="F5" s="8"/>
    </row>
    <row r="6" spans="1:6" ht="12.75">
      <c r="A6" s="417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UTILITYNAME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13835.05625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450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479</v>
      </c>
      <c r="B36" t="s">
        <v>187</v>
      </c>
      <c r="C36" s="296"/>
      <c r="D36" s="296"/>
      <c r="E36" s="314">
        <f t="shared" si="0"/>
        <v>0</v>
      </c>
    </row>
    <row r="37" spans="1:5" ht="12.75">
      <c r="A37" s="494" t="s">
        <v>505</v>
      </c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494" t="s">
        <v>504</v>
      </c>
      <c r="B41" t="s">
        <v>187</v>
      </c>
      <c r="C41" s="295">
        <v>2686</v>
      </c>
      <c r="D41" s="295"/>
      <c r="E41" s="251">
        <f t="shared" si="0"/>
        <v>2686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2686</v>
      </c>
      <c r="D46" s="251">
        <f>SUM(D17:D45)</f>
        <v>0</v>
      </c>
      <c r="E46" s="251">
        <f>SUM(E17:E45)</f>
        <v>2686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2686</v>
      </c>
      <c r="D78" s="316">
        <f>D46-D77</f>
        <v>0</v>
      </c>
      <c r="E78" s="316">
        <f>E46-E77</f>
        <v>2686</v>
      </c>
    </row>
    <row r="79" spans="1:5" ht="12.75">
      <c r="A79" s="277" t="s">
        <v>170</v>
      </c>
      <c r="B79" s="278"/>
      <c r="C79" s="316">
        <f>C77+C78</f>
        <v>2686</v>
      </c>
      <c r="D79" s="316">
        <f>D77+D78</f>
        <v>0</v>
      </c>
      <c r="E79" s="316">
        <f>E77+E78</f>
        <v>2686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4" t="s">
        <v>508</v>
      </c>
      <c r="B92" s="8" t="s">
        <v>188</v>
      </c>
      <c r="C92" s="295">
        <v>1084721</v>
      </c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480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494" t="s">
        <v>505</v>
      </c>
      <c r="B97" s="8" t="s">
        <v>188</v>
      </c>
      <c r="C97" s="295">
        <v>15324</v>
      </c>
      <c r="D97" s="295"/>
      <c r="E97" s="251">
        <f t="shared" si="5"/>
        <v>15324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1100045</v>
      </c>
      <c r="D99" s="251">
        <f>SUM(D82:D98)</f>
        <v>0</v>
      </c>
      <c r="E99" s="251">
        <f>SUM(E82:E98)</f>
        <v>15324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Expenses capitalized for accounting</v>
      </c>
      <c r="B117" s="274"/>
      <c r="C117" s="251">
        <f t="shared" si="7"/>
        <v>15324</v>
      </c>
      <c r="D117" s="251">
        <f t="shared" si="7"/>
        <v>0</v>
      </c>
      <c r="E117" s="251">
        <f t="shared" si="7"/>
        <v>15324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15324</v>
      </c>
      <c r="D119" s="251">
        <f>SUM(D102:D118)</f>
        <v>0</v>
      </c>
      <c r="E119" s="251">
        <f>SUM(E102:E118)</f>
        <v>15324</v>
      </c>
    </row>
    <row r="120" spans="1:5" ht="12.75">
      <c r="A120" s="279" t="s">
        <v>201</v>
      </c>
      <c r="B120" s="274"/>
      <c r="C120" s="251">
        <f>C99-C119</f>
        <v>1084721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1100045</v>
      </c>
      <c r="D121" s="251">
        <f>D119+D120</f>
        <v>0</v>
      </c>
      <c r="E121" s="251">
        <f>E119+E120</f>
        <v>15324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21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42" sqref="C4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6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8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UTILITYNAME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388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454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391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392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455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438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390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389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433</v>
      </c>
      <c r="B32" t="s">
        <v>187</v>
      </c>
      <c r="C32" s="296">
        <v>2547</v>
      </c>
      <c r="D32" s="296"/>
      <c r="E32" s="314">
        <f t="shared" si="0"/>
        <v>2547</v>
      </c>
    </row>
    <row r="33" spans="1:5" ht="12.75">
      <c r="A33" s="67" t="s">
        <v>434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451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452</v>
      </c>
      <c r="C35" s="296"/>
      <c r="D35" s="296"/>
      <c r="E35" s="314">
        <f t="shared" si="0"/>
        <v>0</v>
      </c>
    </row>
    <row r="36" spans="1:5" ht="12.75">
      <c r="A36" s="67" t="s">
        <v>435</v>
      </c>
      <c r="C36" s="296"/>
      <c r="D36" s="296"/>
      <c r="E36" s="314">
        <f t="shared" si="0"/>
        <v>0</v>
      </c>
    </row>
    <row r="37" spans="1:5" ht="12.75">
      <c r="A37" s="67" t="s">
        <v>436</v>
      </c>
      <c r="C37" s="296"/>
      <c r="D37" s="296"/>
      <c r="E37" s="314">
        <f t="shared" si="0"/>
        <v>0</v>
      </c>
    </row>
    <row r="38" spans="1:5" ht="12.75">
      <c r="A38" s="67" t="s">
        <v>458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393</v>
      </c>
      <c r="B40" t="s">
        <v>187</v>
      </c>
      <c r="C40" s="296">
        <v>37000</v>
      </c>
      <c r="D40" s="296"/>
      <c r="E40" s="314">
        <f t="shared" si="0"/>
        <v>37000</v>
      </c>
    </row>
    <row r="41" spans="1:5" ht="12.75">
      <c r="A41" s="81" t="s">
        <v>387</v>
      </c>
      <c r="B41" t="s">
        <v>187</v>
      </c>
      <c r="C41" s="296">
        <v>338104</v>
      </c>
      <c r="D41" s="296"/>
      <c r="E41" s="314">
        <f t="shared" si="0"/>
        <v>338104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t="s">
        <v>498</v>
      </c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1" t="s">
        <v>397</v>
      </c>
      <c r="B47" t="s">
        <v>189</v>
      </c>
      <c r="C47" s="251">
        <f>SUM(C19:C46)</f>
        <v>377651</v>
      </c>
      <c r="D47" s="251">
        <f>SUM(D19:D46)</f>
        <v>0</v>
      </c>
      <c r="E47" s="251">
        <f>SUM(E19:E46)</f>
        <v>377651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389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437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70" t="s">
        <v>394</v>
      </c>
      <c r="B64" s="8" t="s">
        <v>188</v>
      </c>
      <c r="C64" s="295">
        <v>35381</v>
      </c>
      <c r="D64" s="295"/>
      <c r="E64" s="251">
        <f t="shared" si="2"/>
        <v>35381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70" t="s">
        <v>387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50" t="s">
        <v>396</v>
      </c>
      <c r="B73" s="8" t="s">
        <v>189</v>
      </c>
      <c r="C73" s="251">
        <f>SUM(C51:C72)</f>
        <v>35381</v>
      </c>
      <c r="D73" s="251">
        <f>SUM(D51:D72)</f>
        <v>0</v>
      </c>
      <c r="E73" s="251">
        <f>SUM(E51:E72)</f>
        <v>35381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tabSelected="1" zoomScale="75" zoomScaleNormal="75" zoomScalePageLayoutView="0" workbookViewId="0" topLeftCell="A21">
      <selection activeCell="O40" sqref="O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EB-2008-381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307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UTILITYNAME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4" t="s">
        <v>487</v>
      </c>
      <c r="B8" s="505"/>
      <c r="C8" s="505"/>
      <c r="D8" s="505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469</v>
      </c>
      <c r="B10" s="328"/>
      <c r="C10" s="377" t="s">
        <v>111</v>
      </c>
      <c r="D10" s="377"/>
      <c r="E10" s="377" t="s">
        <v>111</v>
      </c>
      <c r="F10" s="378" t="s">
        <v>492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300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299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304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260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332</v>
      </c>
      <c r="B21" s="408" t="s">
        <v>474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333</v>
      </c>
      <c r="B22" s="409" t="s">
        <v>475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8" t="s">
        <v>496</v>
      </c>
      <c r="B23" s="499"/>
      <c r="C23" s="499"/>
      <c r="D23" s="499"/>
      <c r="E23" s="499"/>
      <c r="F23" s="499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6" t="s">
        <v>488</v>
      </c>
      <c r="B26" s="507"/>
      <c r="C26" s="507"/>
      <c r="D26" s="507"/>
      <c r="E26" s="507"/>
      <c r="F26" s="50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441</v>
      </c>
      <c r="B28" s="328"/>
      <c r="C28" s="371" t="s">
        <v>111</v>
      </c>
      <c r="D28" s="371"/>
      <c r="E28" s="371" t="s">
        <v>111</v>
      </c>
      <c r="F28" s="372" t="s">
        <v>492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299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260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489</v>
      </c>
      <c r="B39" s="408" t="s">
        <v>474</v>
      </c>
      <c r="C39" s="363"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490</v>
      </c>
      <c r="B40" s="409" t="s">
        <v>475</v>
      </c>
      <c r="C40" s="364"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0" t="s">
        <v>335</v>
      </c>
      <c r="B41" s="499"/>
      <c r="C41" s="499"/>
      <c r="D41" s="499"/>
      <c r="E41" s="499"/>
      <c r="F41" s="49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1"/>
      <c r="B42" s="501"/>
      <c r="C42" s="501"/>
      <c r="D42" s="501"/>
      <c r="E42" s="501"/>
      <c r="F42" s="50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491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473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299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492">
        <v>0.2412</v>
      </c>
      <c r="I50" s="492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492">
        <v>0.125</v>
      </c>
      <c r="I51" s="492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260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492">
        <f>+H51+H50</f>
        <v>0.36619999999999997</v>
      </c>
      <c r="I52" s="492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349</v>
      </c>
      <c r="B57" s="408" t="s">
        <v>474</v>
      </c>
      <c r="C57" s="363">
        <v>4686438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350</v>
      </c>
      <c r="B58" s="409" t="s">
        <v>475</v>
      </c>
      <c r="C58" s="364">
        <v>10000000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8" t="s">
        <v>351</v>
      </c>
      <c r="B59" s="502"/>
      <c r="C59" s="502"/>
      <c r="D59" s="502"/>
      <c r="E59" s="502"/>
      <c r="F59" s="50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3"/>
      <c r="B60" s="503"/>
      <c r="C60" s="503"/>
      <c r="D60" s="503"/>
      <c r="E60" s="503"/>
      <c r="F60" s="50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UTILITYNAME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321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398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440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399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400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-42131.94517248063</v>
      </c>
      <c r="N15" s="393"/>
      <c r="O15" s="398">
        <f t="shared" si="0"/>
        <v>-42131.94517248063</v>
      </c>
    </row>
    <row r="16" spans="1:15" ht="27" customHeight="1">
      <c r="A16" s="81" t="s">
        <v>401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402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-19320.888363947422</v>
      </c>
      <c r="N17" s="393"/>
      <c r="O17" s="398">
        <f t="shared" si="0"/>
        <v>-19320.888363947422</v>
      </c>
    </row>
    <row r="18" spans="1:15" ht="25.5">
      <c r="A18" s="81" t="s">
        <v>403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34" t="s">
        <v>404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472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374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-61452.83353642805</v>
      </c>
      <c r="N22" s="392"/>
      <c r="O22" s="452">
        <f>SUM(O11:O20)</f>
        <v>-61452.83353642805</v>
      </c>
    </row>
    <row r="23" spans="1:15" ht="13.5" thickTop="1">
      <c r="A23" s="435"/>
      <c r="B23" s="436"/>
      <c r="C23" s="442"/>
      <c r="D23" s="443"/>
      <c r="E23" s="442"/>
      <c r="F23" s="443"/>
      <c r="G23" s="442"/>
      <c r="H23" s="443"/>
      <c r="I23" s="442"/>
      <c r="J23" s="436"/>
      <c r="K23" s="442"/>
      <c r="L23" s="188"/>
      <c r="M23" s="444"/>
      <c r="N23" s="188"/>
      <c r="O23" s="444"/>
    </row>
    <row r="24" spans="1:15" ht="12.75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1"/>
    </row>
    <row r="25" spans="1:15" ht="12.75">
      <c r="A25" s="435"/>
      <c r="B25" s="436"/>
      <c r="C25" s="462"/>
      <c r="D25" s="462"/>
      <c r="E25" s="462"/>
      <c r="F25" s="462"/>
      <c r="G25" s="462"/>
      <c r="H25" s="462"/>
      <c r="I25" s="462"/>
      <c r="J25" s="463"/>
      <c r="K25" s="462"/>
      <c r="L25" s="464"/>
      <c r="M25" s="465"/>
      <c r="N25" s="464"/>
      <c r="O25" s="465"/>
    </row>
    <row r="26" spans="1:15" ht="12.75">
      <c r="A26" s="435" t="s">
        <v>405</v>
      </c>
      <c r="B26" s="436"/>
      <c r="C26" s="462"/>
      <c r="D26" s="462"/>
      <c r="E26" s="462"/>
      <c r="F26" s="462"/>
      <c r="G26" s="462"/>
      <c r="H26" s="462"/>
      <c r="I26" s="462"/>
      <c r="J26" s="463"/>
      <c r="K26" s="462"/>
      <c r="L26" s="464"/>
      <c r="M26" s="465"/>
      <c r="N26" s="464"/>
      <c r="O26" s="465"/>
    </row>
    <row r="27" spans="1:15" ht="9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  <c r="L27" s="188"/>
      <c r="M27" s="188"/>
      <c r="N27" s="188"/>
      <c r="O27" s="188"/>
    </row>
    <row r="28" spans="1:15" ht="12.75">
      <c r="A28" s="435" t="s">
        <v>406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188"/>
      <c r="M28" s="188"/>
      <c r="N28" s="188"/>
      <c r="O28" s="188"/>
    </row>
    <row r="29" spans="1:15" ht="12.75">
      <c r="A29" s="438" t="s">
        <v>407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188"/>
      <c r="M29" s="188"/>
      <c r="N29" s="188"/>
      <c r="O29" s="188"/>
    </row>
    <row r="30" spans="1:15" ht="9" customHeight="1">
      <c r="A30" s="188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188"/>
      <c r="M30" s="188"/>
      <c r="N30" s="188"/>
      <c r="O30" s="188"/>
    </row>
    <row r="31" spans="1:15" ht="12.75">
      <c r="A31" s="453" t="s">
        <v>408</v>
      </c>
      <c r="B31" s="80"/>
      <c r="C31" s="80"/>
      <c r="D31" s="80"/>
      <c r="E31" s="80"/>
      <c r="F31" s="80"/>
      <c r="G31" s="80"/>
      <c r="H31" s="80"/>
      <c r="I31" s="449"/>
      <c r="J31" s="449"/>
      <c r="K31" s="449"/>
      <c r="L31" s="449"/>
      <c r="M31" s="449"/>
      <c r="N31" s="449"/>
      <c r="O31" s="449"/>
    </row>
    <row r="32" spans="1:15" ht="9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9" ht="12.75">
      <c r="A33" s="509" t="s">
        <v>409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422"/>
      <c r="Q33" s="422"/>
      <c r="R33" s="422"/>
      <c r="S33" s="422"/>
    </row>
    <row r="34" spans="1:19" ht="12.75">
      <c r="A34" s="508" t="s">
        <v>410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422"/>
      <c r="Q34" s="422"/>
      <c r="R34" s="422"/>
      <c r="S34" s="422"/>
    </row>
    <row r="35" spans="1:19" ht="12.75">
      <c r="A35" s="508" t="s">
        <v>431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22"/>
      <c r="Q35" s="422"/>
      <c r="R35" s="422"/>
      <c r="S35" s="422"/>
    </row>
    <row r="36" spans="1:19" ht="12.75">
      <c r="A36" s="508" t="s">
        <v>411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22"/>
      <c r="Q36" s="422"/>
      <c r="R36" s="422"/>
      <c r="S36" s="422"/>
    </row>
    <row r="37" spans="1:19" ht="12.75">
      <c r="A37" s="439" t="s">
        <v>371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22"/>
      <c r="Q37" s="422"/>
      <c r="R37" s="422"/>
      <c r="S37" s="422"/>
    </row>
    <row r="38" spans="1:19" ht="12.75">
      <c r="A38" s="439" t="s">
        <v>372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22"/>
      <c r="Q38" s="422"/>
      <c r="R38" s="422"/>
      <c r="S38" s="422"/>
    </row>
    <row r="39" spans="1:19" ht="12.75">
      <c r="A39" s="439" t="s">
        <v>412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22"/>
      <c r="Q39" s="422"/>
      <c r="R39" s="422"/>
      <c r="S39" s="422"/>
    </row>
    <row r="40" spans="1:19" ht="12.75">
      <c r="A40" s="439" t="s">
        <v>413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22"/>
      <c r="Q40" s="422"/>
      <c r="R40" s="422"/>
      <c r="S40" s="422"/>
    </row>
    <row r="41" spans="2:19" ht="9" customHeight="1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22"/>
      <c r="Q41" s="422"/>
      <c r="R41" s="422"/>
      <c r="S41" s="422"/>
    </row>
    <row r="42" spans="1:15" ht="12.75">
      <c r="A42" s="441" t="s">
        <v>414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188"/>
      <c r="M42" s="188"/>
      <c r="N42" s="188"/>
      <c r="O42" s="188"/>
    </row>
    <row r="43" spans="1:15" ht="12.75">
      <c r="A43" s="436" t="s">
        <v>415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88"/>
      <c r="M43" s="188"/>
      <c r="N43" s="188"/>
      <c r="O43" s="188"/>
    </row>
    <row r="44" spans="1:15" ht="9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88"/>
      <c r="M44" s="188"/>
      <c r="N44" s="188"/>
      <c r="O44" s="188"/>
    </row>
    <row r="45" spans="1:15" ht="12.75">
      <c r="A45" s="441" t="s">
        <v>416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188"/>
      <c r="M45" s="188"/>
      <c r="N45" s="188"/>
      <c r="O45" s="188"/>
    </row>
    <row r="46" spans="1:15" ht="12.75">
      <c r="A46" s="436" t="s">
        <v>417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188"/>
      <c r="M46" s="188"/>
      <c r="N46" s="188"/>
      <c r="O46" s="188"/>
    </row>
    <row r="47" spans="1:15" ht="9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188"/>
      <c r="M47" s="188"/>
      <c r="N47" s="188"/>
      <c r="O47" s="188"/>
    </row>
    <row r="48" spans="1:15" ht="12.75">
      <c r="A48" s="441" t="s">
        <v>418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188"/>
      <c r="M48" s="188"/>
      <c r="N48" s="188"/>
      <c r="O48" s="188"/>
    </row>
    <row r="49" spans="1:15" ht="12.75">
      <c r="A49" s="436" t="s">
        <v>419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88"/>
      <c r="M49" s="188"/>
      <c r="N49" s="188"/>
      <c r="O49" s="188"/>
    </row>
    <row r="50" spans="1:15" ht="9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188"/>
      <c r="M50" s="188"/>
      <c r="N50" s="188"/>
      <c r="O50" s="188"/>
    </row>
    <row r="51" spans="1:15" ht="12.75">
      <c r="A51" s="441" t="s">
        <v>420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188"/>
      <c r="M51" s="188"/>
      <c r="N51" s="188"/>
      <c r="O51" s="188"/>
    </row>
    <row r="52" spans="1:15" ht="12.75">
      <c r="A52" s="436" t="s">
        <v>417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188"/>
      <c r="M52" s="188"/>
      <c r="N52" s="188"/>
      <c r="O52" s="188"/>
    </row>
    <row r="53" spans="1:15" ht="9" customHeight="1">
      <c r="A53" s="441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188"/>
      <c r="M53" s="188"/>
      <c r="N53" s="188"/>
      <c r="O53" s="188"/>
    </row>
    <row r="54" spans="1:15" ht="12.75">
      <c r="A54" s="436" t="s">
        <v>421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188"/>
      <c r="M54" s="188"/>
      <c r="N54" s="188"/>
      <c r="O54" s="188"/>
    </row>
    <row r="55" spans="1:15" ht="9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188"/>
      <c r="M55" s="188"/>
      <c r="N55" s="188"/>
      <c r="O55" s="188"/>
    </row>
    <row r="56" spans="1:15" ht="12.75" customHeight="1">
      <c r="A56" s="441" t="s">
        <v>422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188"/>
      <c r="M56" s="188"/>
      <c r="N56" s="188"/>
      <c r="O56" s="188"/>
    </row>
    <row r="57" spans="1:15" ht="9" customHeight="1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88"/>
      <c r="M57" s="188"/>
      <c r="N57" s="188"/>
      <c r="O57" s="188"/>
    </row>
    <row r="58" spans="1:15" ht="12.75">
      <c r="A58" s="436" t="s">
        <v>423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188"/>
      <c r="M58" s="188"/>
      <c r="N58" s="188"/>
      <c r="O58" s="188"/>
    </row>
    <row r="59" spans="1:15" ht="12.75">
      <c r="A59" s="436" t="s">
        <v>424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188"/>
      <c r="M59" s="188"/>
      <c r="N59" s="188"/>
      <c r="O59" s="188"/>
    </row>
    <row r="60" spans="1:15" ht="12.75">
      <c r="A60" s="436" t="s">
        <v>425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188"/>
      <c r="M60" s="188"/>
      <c r="N60" s="188"/>
      <c r="O60" s="188"/>
    </row>
    <row r="61" spans="1:15" ht="12.75">
      <c r="A61" s="436" t="s">
        <v>381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188"/>
      <c r="M61" s="188"/>
      <c r="N61" s="188"/>
      <c r="O61" s="188"/>
    </row>
    <row r="62" spans="1:15" ht="9" customHeight="1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188"/>
      <c r="M62" s="188"/>
      <c r="N62" s="188"/>
      <c r="O62" s="188"/>
    </row>
    <row r="63" spans="1:15" ht="12.75">
      <c r="A63" s="436" t="s">
        <v>426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188"/>
      <c r="M63" s="188"/>
      <c r="N63" s="188"/>
      <c r="O63" s="188"/>
    </row>
    <row r="64" spans="1:15" ht="12.75">
      <c r="A64" s="436" t="s">
        <v>427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188"/>
      <c r="M64" s="188"/>
      <c r="N64" s="188"/>
      <c r="O64" s="188"/>
    </row>
    <row r="65" spans="1:15" ht="12.75">
      <c r="A65" s="436" t="s">
        <v>383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188"/>
      <c r="M65" s="188"/>
      <c r="N65" s="188"/>
      <c r="O65" s="188"/>
    </row>
    <row r="66" spans="1:15" ht="3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188"/>
      <c r="M66" s="188"/>
      <c r="N66" s="188"/>
      <c r="O66" s="188"/>
    </row>
    <row r="67" spans="1:15" ht="12.75">
      <c r="A67" s="436" t="s">
        <v>382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188"/>
      <c r="M67" s="188"/>
      <c r="N67" s="188"/>
      <c r="O67" s="188"/>
    </row>
    <row r="68" spans="1:15" ht="12.75">
      <c r="A68" s="436" t="s">
        <v>384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188"/>
      <c r="M68" s="188"/>
      <c r="N68" s="188"/>
      <c r="O68" s="188"/>
    </row>
    <row r="69" spans="1:15" ht="3.75" customHeight="1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188"/>
      <c r="M69" s="188"/>
      <c r="N69" s="188"/>
      <c r="O69" s="188"/>
    </row>
    <row r="70" spans="1:15" ht="12.75">
      <c r="A70" s="436" t="s">
        <v>428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188"/>
      <c r="M70" s="188"/>
      <c r="N70" s="188"/>
      <c r="O70" s="188"/>
    </row>
    <row r="71" spans="1:15" ht="12.75">
      <c r="A71" s="436" t="s">
        <v>429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188"/>
      <c r="M71" s="188"/>
      <c r="N71" s="188"/>
      <c r="O71" s="188"/>
    </row>
    <row r="72" spans="1:15" ht="12.75">
      <c r="A72" s="436" t="s">
        <v>430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188"/>
      <c r="M72" s="188"/>
      <c r="N72" s="188"/>
      <c r="O72" s="188"/>
    </row>
    <row r="73" spans="1:15" ht="9" customHeight="1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188"/>
      <c r="M73" s="188"/>
      <c r="N73" s="188"/>
      <c r="O73" s="188"/>
    </row>
    <row r="74" spans="1:15" ht="12.75" customHeight="1">
      <c r="A74" s="508" t="s">
        <v>460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</row>
    <row r="75" spans="1:15" ht="12.75">
      <c r="A75" s="436" t="s">
        <v>373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188"/>
      <c r="M75" s="188"/>
      <c r="N75" s="188"/>
      <c r="O75" s="188"/>
    </row>
    <row r="76" spans="1:15" ht="12.75">
      <c r="A76" s="188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188"/>
      <c r="M76" s="188"/>
      <c r="N76" s="188"/>
      <c r="O76" s="188"/>
    </row>
    <row r="77" spans="1:15" ht="12.75">
      <c r="A77" s="188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188"/>
      <c r="M77" s="188"/>
      <c r="N77" s="188"/>
      <c r="O77" s="188"/>
    </row>
    <row r="78" spans="1:17" ht="12.75">
      <c r="A78" s="188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188"/>
      <c r="O78" s="188"/>
      <c r="P78" s="188"/>
      <c r="Q78" s="188"/>
    </row>
    <row r="79" spans="1:17" ht="12.75">
      <c r="A79" s="188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188"/>
      <c r="O79" s="188"/>
      <c r="P79" s="188"/>
      <c r="Q79" s="188"/>
    </row>
    <row r="80" spans="1:17" ht="12.75">
      <c r="A80" s="188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188"/>
      <c r="O80" s="188"/>
      <c r="P80" s="188"/>
      <c r="Q80" s="188"/>
    </row>
    <row r="81" spans="1:17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188"/>
      <c r="O81" s="188"/>
      <c r="P81" s="188"/>
      <c r="Q81" s="188"/>
    </row>
    <row r="82" spans="1:17" ht="12.75">
      <c r="A82" s="188"/>
      <c r="B82" s="188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188"/>
      <c r="O82" s="188"/>
      <c r="P82" s="188"/>
      <c r="Q82" s="188"/>
    </row>
    <row r="83" spans="1:17" ht="12.75">
      <c r="A83" s="188"/>
      <c r="B83" s="188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188"/>
      <c r="O83" s="188"/>
      <c r="P83" s="188"/>
      <c r="Q83" s="188"/>
    </row>
    <row r="84" spans="1:17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88"/>
      <c r="O84" s="188"/>
      <c r="P84" s="188"/>
      <c r="Q84" s="188"/>
    </row>
    <row r="85" spans="1:17" ht="12.75">
      <c r="A85" s="188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188"/>
      <c r="O85" s="188"/>
      <c r="P85" s="188"/>
      <c r="Q85" s="188"/>
    </row>
    <row r="86" spans="1:17" ht="12.75">
      <c r="A86" s="188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188"/>
      <c r="O86" s="188"/>
      <c r="P86" s="188"/>
      <c r="Q86" s="188"/>
    </row>
    <row r="87" spans="1:17" ht="12.75">
      <c r="A87" s="188"/>
      <c r="B87" s="188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188"/>
      <c r="O87" s="188"/>
      <c r="P87" s="188"/>
      <c r="Q87" s="188"/>
    </row>
    <row r="88" spans="1:17" ht="12.75">
      <c r="A88" s="188"/>
      <c r="B88" s="188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188"/>
      <c r="O88" s="188"/>
      <c r="P88" s="188"/>
      <c r="Q88" s="188"/>
    </row>
    <row r="89" spans="1:17" ht="12.75">
      <c r="A89" s="188"/>
      <c r="B89" s="188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188"/>
      <c r="O89" s="188"/>
      <c r="P89" s="188"/>
      <c r="Q89" s="188"/>
    </row>
    <row r="90" spans="1:17" ht="12.75">
      <c r="A90" s="188"/>
      <c r="B90" s="188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188"/>
      <c r="O90" s="188"/>
      <c r="P90" s="188"/>
      <c r="Q90" s="188"/>
    </row>
    <row r="91" spans="1:17" ht="12.75">
      <c r="A91" s="188"/>
      <c r="B91" s="188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188"/>
      <c r="O91" s="188"/>
      <c r="P91" s="188"/>
      <c r="Q91" s="188"/>
    </row>
    <row r="92" spans="1:17" ht="12.75">
      <c r="A92" s="188"/>
      <c r="B92" s="18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</row>
    <row r="93" spans="1:17" ht="12.75">
      <c r="A93" s="188"/>
      <c r="B93" s="188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50" r:id="rId1"/>
  <headerFooter alignWithMargins="0">
    <oddHeader>&amp;R&amp;9Halton Hills Hydro Inc.
EB-2008-0381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Bacon, Bruce</cp:lastModifiedBy>
  <cp:lastPrinted>2012-05-08T18:58:18Z</cp:lastPrinted>
  <dcterms:created xsi:type="dcterms:W3CDTF">2001-11-07T16:15:53Z</dcterms:created>
  <dcterms:modified xsi:type="dcterms:W3CDTF">2012-09-13T18:00:25Z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