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9320" windowHeight="8580" tabRatio="305" activeTab="0"/>
  </bookViews>
  <sheets>
    <sheet name="Continuity" sheetId="1" r:id="rId1"/>
    <sheet name="First period" sheetId="2" r:id="rId2"/>
    <sheet name="Second period" sheetId="3" r:id="rId3"/>
    <sheet name="Third period" sheetId="4" r:id="rId4"/>
    <sheet name="Rate Derivation" sheetId="5" state="hidden" r:id="rId5"/>
    <sheet name="PILS Entitlement Summary" sheetId="6" state="hidden" r:id="rId6"/>
  </sheets>
  <externalReferences>
    <externalReference r:id="rId9"/>
  </externalReferences>
  <definedNames>
    <definedName name="_xlnm.Print_Area" localSheetId="0">'Continuity'!$A$1:$L$209</definedName>
    <definedName name="_xlnm.Print_Titles" localSheetId="0">'Continuity'!$1:$2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<sst xmlns="http://schemas.openxmlformats.org/spreadsheetml/2006/main" count="563" uniqueCount="116">
  <si>
    <t>Year:</t>
  </si>
  <si>
    <t>Q4 2001</t>
  </si>
  <si>
    <t>Approved PILS Entitlement</t>
  </si>
  <si>
    <t>PILS Revenue</t>
  </si>
  <si>
    <t>Monthly</t>
  </si>
  <si>
    <t>Total Variance</t>
  </si>
  <si>
    <t>Approved Interest Rate</t>
  </si>
  <si>
    <t>January</t>
  </si>
  <si>
    <t>February</t>
  </si>
  <si>
    <t>March</t>
  </si>
  <si>
    <t>October</t>
  </si>
  <si>
    <t>November</t>
  </si>
  <si>
    <t>December</t>
  </si>
  <si>
    <t>Total</t>
  </si>
  <si>
    <t>Variance (neg. = payable)</t>
  </si>
  <si>
    <t>Interest Improvement (neg = payable)</t>
  </si>
  <si>
    <t>April</t>
  </si>
  <si>
    <t>May</t>
  </si>
  <si>
    <t>June</t>
  </si>
  <si>
    <t>July</t>
  </si>
  <si>
    <t>August</t>
  </si>
  <si>
    <t>September</t>
  </si>
  <si>
    <t>PILS Entitlement Amount</t>
  </si>
  <si>
    <t>Comments</t>
  </si>
  <si>
    <t>Monthly Amount</t>
  </si>
  <si>
    <t>Oct. 1, 2001</t>
  </si>
  <si>
    <t>Dec. 31, 2001</t>
  </si>
  <si>
    <t>Effective   Start Date</t>
  </si>
  <si>
    <t>Effective     End Date</t>
  </si>
  <si>
    <t>Jan. 1, 2002</t>
  </si>
  <si>
    <t>Dec. 31, 2002</t>
  </si>
  <si>
    <t>Jan. 1, 2003</t>
  </si>
  <si>
    <t>Dec. 31, 2003</t>
  </si>
  <si>
    <t>Jan. 1, 2004</t>
  </si>
  <si>
    <t>Feb. 28, 2004</t>
  </si>
  <si>
    <t>Mar. 1, 2005</t>
  </si>
  <si>
    <t>Mar. 1, 2004</t>
  </si>
  <si>
    <t>Feb. 28, 2005</t>
  </si>
  <si>
    <t>Apr. 30, 2006</t>
  </si>
  <si>
    <t>2005 Rate Year</t>
  </si>
  <si>
    <t>Effective Date</t>
  </si>
  <si>
    <t>Rate Class</t>
  </si>
  <si>
    <t>Approved Rates</t>
  </si>
  <si>
    <t>Fixed</t>
  </si>
  <si>
    <t>Variable</t>
  </si>
  <si>
    <t>PILS Portion</t>
  </si>
  <si>
    <t>Residential</t>
  </si>
  <si>
    <t>General Service &lt; 50 kW</t>
  </si>
  <si>
    <t>General Service &gt; 50 kW</t>
  </si>
  <si>
    <t>Sentinel Lights</t>
  </si>
  <si>
    <t>Street Lights</t>
  </si>
  <si>
    <t>Aug</t>
  </si>
  <si>
    <t>Sept</t>
  </si>
  <si>
    <t xml:space="preserve">Oct </t>
  </si>
  <si>
    <t>Nov</t>
  </si>
  <si>
    <t>Dec</t>
  </si>
  <si>
    <t>Jan</t>
  </si>
  <si>
    <t xml:space="preserve">Feb </t>
  </si>
  <si>
    <t xml:space="preserve">Mar </t>
  </si>
  <si>
    <t>Apr</t>
  </si>
  <si>
    <t>Calculated PILS Revenue</t>
  </si>
  <si>
    <t>2004 Rate Year</t>
  </si>
  <si>
    <t>Customer Counts</t>
  </si>
  <si>
    <t>2002 Rate Year</t>
  </si>
  <si>
    <t>Mar. 1, 2002</t>
  </si>
  <si>
    <t>Q4 2001 PILS Portion</t>
  </si>
  <si>
    <t>2002 PILS Portion</t>
  </si>
  <si>
    <t>Unmetered Loads (2002 in GS &lt; 50)</t>
  </si>
  <si>
    <t>Unmetered Loads (included in GS &lt; 50)</t>
  </si>
  <si>
    <t>Conclusion Date</t>
  </si>
  <si>
    <t>Billing Determinants</t>
  </si>
  <si>
    <t>Cumulative</t>
  </si>
  <si>
    <t>SIMPILS True-Up Adjustments    (neg = CR)</t>
  </si>
  <si>
    <t>Continuity Schedule</t>
  </si>
  <si>
    <t>Year</t>
  </si>
  <si>
    <t>Q4 2001 Entitlement / 3 months</t>
  </si>
  <si>
    <t>2002 Entitlement / 12 months</t>
  </si>
  <si>
    <t>(Q4 2001 + 2002 Entitlements) / 12 months</t>
  </si>
  <si>
    <t xml:space="preserve">2002 Entitlement / 12 months </t>
  </si>
  <si>
    <t>2004 Entitlement / 12 months</t>
  </si>
  <si>
    <t>2005 Entitlement / 12 months</t>
  </si>
  <si>
    <t>References</t>
  </si>
  <si>
    <t>Rate Model</t>
  </si>
  <si>
    <t>PILS Model</t>
  </si>
  <si>
    <t>Decision</t>
  </si>
  <si>
    <t>Appendix 2</t>
  </si>
  <si>
    <t>Appendix 3</t>
  </si>
  <si>
    <t>Appendix 5</t>
  </si>
  <si>
    <t>Appendix 4</t>
  </si>
  <si>
    <t>Appendices 3&amp;4</t>
  </si>
  <si>
    <t>Appendix 6</t>
  </si>
  <si>
    <t>Appendix 7</t>
  </si>
  <si>
    <t>Appendix 8</t>
  </si>
  <si>
    <t>Appendix 9</t>
  </si>
  <si>
    <t>Appendix 10</t>
  </si>
  <si>
    <t>Appendix 11</t>
  </si>
  <si>
    <t>Feb. 29, 2004</t>
  </si>
  <si>
    <t>Customer Class Allocation</t>
  </si>
  <si>
    <t>2012    Proposed DRR</t>
  </si>
  <si>
    <t>Rate Rider Calculations</t>
  </si>
  <si>
    <t>Allocated 1562 Value</t>
  </si>
  <si>
    <t>Recovery Period (years)</t>
  </si>
  <si>
    <t>Annual Recovery Amount</t>
  </si>
  <si>
    <t>Proposed Rate Rider</t>
  </si>
  <si>
    <t>per kWh</t>
  </si>
  <si>
    <t>per kW</t>
  </si>
  <si>
    <t>2012 Proposed    Billing Determinant (kWh / kW)</t>
  </si>
  <si>
    <t>Allocation %</t>
  </si>
  <si>
    <t>Allocated 1562 Disposition Value                         (including interest to Apr. 30, 2012)</t>
  </si>
  <si>
    <t>Embedded Class</t>
  </si>
  <si>
    <t xml:space="preserve">Newmarket Hydro Ltd - 1562 Deferred PILS </t>
  </si>
  <si>
    <t>Unmetered Loads included in GS&lt;50 kW</t>
  </si>
  <si>
    <t>Unmetered Loads included in GS&lt;50</t>
  </si>
  <si>
    <t xml:space="preserve">BOARD STAFF WORKING COPY TO ADJUST 2001 &amp; 2002 &amp; 2004 PILs PROXY AMOUNTS </t>
  </si>
  <si>
    <t>FROM BOARD DECISION</t>
  </si>
  <si>
    <t>Adjust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</si>
</sst>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000_-;\-&quot;$&quot;* #,##0.0000_-;_-&quot;$&quot;* &quot;-&quot;??_-;_-@_-"/>
    <numFmt numFmtId="173" formatCode="_-* #,##0_-;\-* #,##0_-;_-* &quot;-&quot;??_-;_-@_-"/>
    <numFmt numFmtId="174" formatCode="#,##0;[Red]\(#,##0\)"/>
    <numFmt numFmtId="175" formatCode="_-&quot;$&quot;* #,##0_-;\-&quot;$&quot;* #,##0_-;_-&quot;$&quot;* &quot;-&quot;??_-;_-@_-"/>
    <numFmt numFmtId="176" formatCode="_-&quot;$&quot;* #,##0.00000_-;\-&quot;$&quot;* #,##0.00000_-;_-&quot;$&quot;* &quot;-&quot;??_-;_-@_-"/>
    <numFmt numFmtId="177" formatCode="0.0%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(* #,##0.0000_);_(* \(#,##0.0000\);_(* &quot;-&quot;????_);_(@_)"/>
    <numFmt numFmtId="182" formatCode="_-&quot;$&quot;* #,##0.0_-;\-&quot;$&quot;* #,##0.0_-;_-&quot;$&quot;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4" fontId="0" fillId="0" borderId="0" xfId="45" applyFont="1" applyAlignment="1">
      <alignment/>
    </xf>
    <xf numFmtId="10" fontId="0" fillId="0" borderId="0" xfId="61" applyNumberFormat="1" applyFont="1" applyAlignment="1">
      <alignment/>
    </xf>
    <xf numFmtId="10" fontId="0" fillId="0" borderId="10" xfId="61" applyNumberFormat="1" applyFont="1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left"/>
    </xf>
    <xf numFmtId="172" fontId="0" fillId="0" borderId="0" xfId="45" applyNumberFormat="1" applyFont="1" applyAlignment="1">
      <alignment/>
    </xf>
    <xf numFmtId="0" fontId="5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6" fillId="0" borderId="0" xfId="58">
      <alignment/>
      <protection/>
    </xf>
    <xf numFmtId="174" fontId="6" fillId="0" borderId="0" xfId="58" applyNumberFormat="1">
      <alignment/>
      <protection/>
    </xf>
    <xf numFmtId="0" fontId="6" fillId="0" borderId="0" xfId="58" applyAlignment="1">
      <alignment horizontal="center"/>
      <protection/>
    </xf>
    <xf numFmtId="173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 quotePrefix="1">
      <alignment horizontal="left"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175" fontId="0" fillId="0" borderId="0" xfId="45" applyNumberFormat="1" applyFont="1" applyAlignment="1">
      <alignment/>
    </xf>
    <xf numFmtId="0" fontId="0" fillId="0" borderId="10" xfId="0" applyBorder="1" applyAlignment="1">
      <alignment/>
    </xf>
    <xf numFmtId="175" fontId="0" fillId="0" borderId="10" xfId="45" applyNumberFormat="1" applyFont="1" applyBorder="1" applyAlignment="1">
      <alignment/>
    </xf>
    <xf numFmtId="175" fontId="0" fillId="0" borderId="0" xfId="0" applyNumberFormat="1" applyAlignment="1">
      <alignment/>
    </xf>
    <xf numFmtId="175" fontId="0" fillId="0" borderId="10" xfId="0" applyNumberFormat="1" applyBorder="1" applyAlignment="1">
      <alignment/>
    </xf>
    <xf numFmtId="0" fontId="9" fillId="0" borderId="0" xfId="0" applyFont="1" applyAlignment="1">
      <alignment/>
    </xf>
    <xf numFmtId="175" fontId="2" fillId="0" borderId="0" xfId="45" applyNumberFormat="1" applyFont="1" applyAlignment="1">
      <alignment/>
    </xf>
    <xf numFmtId="10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2" fontId="1" fillId="0" borderId="0" xfId="45" applyNumberFormat="1" applyFont="1" applyAlignment="1">
      <alignment/>
    </xf>
    <xf numFmtId="0" fontId="6" fillId="0" borderId="0" xfId="58" applyFont="1" applyAlignment="1">
      <alignment horizontal="center"/>
      <protection/>
    </xf>
    <xf numFmtId="0" fontId="15" fillId="0" borderId="0" xfId="0" applyFont="1" applyAlignment="1">
      <alignment/>
    </xf>
    <xf numFmtId="10" fontId="15" fillId="0" borderId="0" xfId="61" applyNumberFormat="1" applyFont="1" applyAlignment="1">
      <alignment/>
    </xf>
    <xf numFmtId="44" fontId="15" fillId="0" borderId="0" xfId="45" applyFont="1" applyAlignment="1">
      <alignment/>
    </xf>
    <xf numFmtId="44" fontId="15" fillId="0" borderId="0" xfId="45" applyFont="1" applyFill="1" applyAlignment="1">
      <alignment/>
    </xf>
    <xf numFmtId="44" fontId="15" fillId="0" borderId="10" xfId="45" applyFont="1" applyFill="1" applyBorder="1" applyAlignment="1">
      <alignment/>
    </xf>
    <xf numFmtId="10" fontId="15" fillId="0" borderId="0" xfId="61" applyNumberFormat="1" applyFont="1" applyFill="1" applyAlignment="1">
      <alignment/>
    </xf>
    <xf numFmtId="0" fontId="17" fillId="0" borderId="0" xfId="0" applyFont="1" applyAlignment="1">
      <alignment/>
    </xf>
    <xf numFmtId="44" fontId="17" fillId="0" borderId="0" xfId="45" applyFont="1" applyAlignment="1">
      <alignment/>
    </xf>
    <xf numFmtId="10" fontId="17" fillId="0" borderId="0" xfId="61" applyNumberFormat="1" applyFont="1" applyAlignment="1">
      <alignment/>
    </xf>
    <xf numFmtId="44" fontId="15" fillId="0" borderId="0" xfId="45" applyFont="1" applyFill="1" applyBorder="1" applyAlignment="1">
      <alignment/>
    </xf>
    <xf numFmtId="44" fontId="15" fillId="0" borderId="0" xfId="45" applyFont="1" applyBorder="1" applyAlignment="1">
      <alignment/>
    </xf>
    <xf numFmtId="10" fontId="15" fillId="0" borderId="0" xfId="61" applyNumberFormat="1" applyFont="1" applyBorder="1" applyAlignment="1">
      <alignment/>
    </xf>
    <xf numFmtId="173" fontId="6" fillId="0" borderId="0" xfId="42" applyNumberFormat="1" applyFont="1" applyAlignment="1">
      <alignment/>
    </xf>
    <xf numFmtId="171" fontId="0" fillId="0" borderId="0" xfId="0" applyNumberFormat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44" fontId="13" fillId="0" borderId="0" xfId="45" applyFont="1" applyFill="1" applyAlignment="1">
      <alignment/>
    </xf>
    <xf numFmtId="44" fontId="15" fillId="0" borderId="0" xfId="45" applyFont="1" applyFill="1" applyAlignment="1">
      <alignment horizontal="center"/>
    </xf>
    <xf numFmtId="44" fontId="15" fillId="0" borderId="0" xfId="45" applyFont="1" applyFill="1" applyAlignment="1">
      <alignment horizontal="center" wrapText="1"/>
    </xf>
    <xf numFmtId="10" fontId="15" fillId="0" borderId="0" xfId="61" applyNumberFormat="1" applyFont="1" applyFill="1" applyAlignment="1">
      <alignment horizontal="center" wrapText="1"/>
    </xf>
    <xf numFmtId="10" fontId="15" fillId="0" borderId="10" xfId="61" applyNumberFormat="1" applyFont="1" applyFill="1" applyBorder="1" applyAlignment="1">
      <alignment/>
    </xf>
    <xf numFmtId="1" fontId="13" fillId="0" borderId="0" xfId="45" applyNumberFormat="1" applyFont="1" applyFill="1" applyAlignment="1">
      <alignment horizontal="left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58" applyFont="1">
      <alignment/>
      <protection/>
    </xf>
    <xf numFmtId="0" fontId="18" fillId="0" borderId="0" xfId="0" applyFont="1" applyFill="1" applyAlignment="1">
      <alignment/>
    </xf>
    <xf numFmtId="0" fontId="3" fillId="0" borderId="0" xfId="0" applyFont="1" applyAlignment="1">
      <alignment horizontal="center"/>
    </xf>
    <xf numFmtId="44" fontId="18" fillId="0" borderId="0" xfId="45" applyFont="1" applyAlignment="1">
      <alignment/>
    </xf>
    <xf numFmtId="172" fontId="18" fillId="0" borderId="0" xfId="45" applyNumberFormat="1" applyFont="1" applyAlignment="1">
      <alignment/>
    </xf>
    <xf numFmtId="0" fontId="18" fillId="0" borderId="0" xfId="0" applyFont="1" applyAlignment="1">
      <alignment horizontal="center"/>
    </xf>
    <xf numFmtId="0" fontId="19" fillId="0" borderId="0" xfId="58" applyFont="1" applyAlignment="1">
      <alignment horizontal="center"/>
      <protection/>
    </xf>
    <xf numFmtId="173" fontId="18" fillId="0" borderId="0" xfId="0" applyNumberFormat="1" applyFont="1" applyAlignment="1">
      <alignment/>
    </xf>
    <xf numFmtId="173" fontId="18" fillId="0" borderId="0" xfId="42" applyNumberFormat="1" applyFont="1" applyAlignment="1">
      <alignment/>
    </xf>
    <xf numFmtId="173" fontId="19" fillId="0" borderId="0" xfId="42" applyNumberFormat="1" applyFont="1" applyAlignment="1">
      <alignment/>
    </xf>
    <xf numFmtId="0" fontId="18" fillId="0" borderId="10" xfId="0" applyFont="1" applyBorder="1" applyAlignment="1">
      <alignment/>
    </xf>
    <xf numFmtId="173" fontId="18" fillId="0" borderId="10" xfId="0" applyNumberFormat="1" applyFont="1" applyBorder="1" applyAlignment="1">
      <alignment/>
    </xf>
    <xf numFmtId="174" fontId="19" fillId="0" borderId="0" xfId="58" applyNumberFormat="1" applyFont="1">
      <alignment/>
      <protection/>
    </xf>
    <xf numFmtId="0" fontId="51" fillId="35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44" fontId="15" fillId="0" borderId="0" xfId="45" applyFont="1" applyFill="1" applyAlignment="1">
      <alignment horizontal="center" wrapText="1"/>
    </xf>
    <xf numFmtId="44" fontId="15" fillId="0" borderId="0" xfId="45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37" borderId="0" xfId="0" applyFont="1" applyFill="1" applyAlignment="1">
      <alignment horizontal="center"/>
    </xf>
    <xf numFmtId="0" fontId="7" fillId="38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 wrapText="1"/>
    </xf>
    <xf numFmtId="3" fontId="0" fillId="0" borderId="11" xfId="0" applyNumberFormat="1" applyBorder="1" applyAlignment="1">
      <alignment/>
    </xf>
    <xf numFmtId="0" fontId="49" fillId="35" borderId="0" xfId="0" applyFont="1" applyFill="1" applyAlignment="1">
      <alignment/>
    </xf>
    <xf numFmtId="0" fontId="49" fillId="35" borderId="0" xfId="0" applyFont="1" applyFill="1" applyAlignment="1">
      <alignment horizontal="left"/>
    </xf>
    <xf numFmtId="3" fontId="49" fillId="35" borderId="0" xfId="0" applyNumberFormat="1" applyFont="1" applyFill="1" applyBorder="1" applyAlignment="1">
      <alignment/>
    </xf>
    <xf numFmtId="3" fontId="49" fillId="35" borderId="11" xfId="0" applyNumberFormat="1" applyFont="1" applyFill="1" applyBorder="1" applyAlignment="1">
      <alignment/>
    </xf>
    <xf numFmtId="3" fontId="49" fillId="35" borderId="0" xfId="0" applyNumberFormat="1" applyFont="1" applyFill="1" applyAlignment="1">
      <alignment/>
    </xf>
    <xf numFmtId="1" fontId="49" fillId="35" borderId="0" xfId="0" applyNumberFormat="1" applyFont="1" applyFill="1" applyBorder="1" applyAlignment="1">
      <alignment horizontal="left"/>
    </xf>
    <xf numFmtId="44" fontId="15" fillId="0" borderId="12" xfId="45" applyFont="1" applyFill="1" applyBorder="1" applyAlignment="1">
      <alignment/>
    </xf>
    <xf numFmtId="1" fontId="49" fillId="35" borderId="0" xfId="0" applyNumberFormat="1" applyFont="1" applyFill="1" applyAlignment="1">
      <alignment horizontal="left"/>
    </xf>
    <xf numFmtId="44" fontId="15" fillId="35" borderId="10" xfId="45" applyFont="1" applyFill="1" applyBorder="1" applyAlignment="1">
      <alignment/>
    </xf>
    <xf numFmtId="10" fontId="15" fillId="35" borderId="10" xfId="61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MBSI\Desktop\Client%20Files\Norfolk\1562%20Deferred%20PILS\Data%20Files\Billing%20Stats\2012%20Billing%20Determinan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>
            <v>7841413.62382705</v>
          </cell>
          <cell r="G4">
            <v>148067202.79592174</v>
          </cell>
        </row>
        <row r="5">
          <cell r="D5">
            <v>2264881.1551633594</v>
          </cell>
          <cell r="G5">
            <v>61517376.08651353</v>
          </cell>
        </row>
        <row r="6">
          <cell r="D6">
            <v>1828852.7792381947</v>
          </cell>
          <cell r="G6">
            <v>346440.49091014883</v>
          </cell>
        </row>
        <row r="7">
          <cell r="D7">
            <v>52403.60375125356</v>
          </cell>
          <cell r="G7">
            <v>950.920235491362</v>
          </cell>
        </row>
        <row r="8">
          <cell r="D8">
            <v>170048.6775705382</v>
          </cell>
          <cell r="G8">
            <v>9809.603902139386</v>
          </cell>
        </row>
        <row r="9">
          <cell r="D9">
            <v>18019.15571624915</v>
          </cell>
          <cell r="G9">
            <v>467055.80219343136</v>
          </cell>
        </row>
        <row r="10">
          <cell r="D10">
            <v>33960.97765239544</v>
          </cell>
          <cell r="G10">
            <v>31899332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3"/>
  <sheetViews>
    <sheetView tabSelected="1" zoomScale="85" zoomScaleNormal="85" zoomScalePageLayoutView="40" workbookViewId="0" topLeftCell="A1">
      <selection activeCell="C5" sqref="C5"/>
    </sheetView>
  </sheetViews>
  <sheetFormatPr defaultColWidth="9.140625" defaultRowHeight="15"/>
  <cols>
    <col min="1" max="1" width="10.421875" style="0" bestFit="1" customWidth="1"/>
    <col min="2" max="2" width="15.00390625" style="0" customWidth="1"/>
    <col min="3" max="3" width="14.28125" style="0" bestFit="1" customWidth="1"/>
    <col min="4" max="4" width="16.57421875" style="0" customWidth="1"/>
    <col min="5" max="6" width="14.28125" style="0" bestFit="1" customWidth="1"/>
    <col min="7" max="7" width="2.57421875" style="0" customWidth="1"/>
    <col min="8" max="8" width="13.00390625" style="5" customWidth="1"/>
    <col min="9" max="9" width="11.57421875" style="0" bestFit="1" customWidth="1"/>
    <col min="10" max="10" width="14.28125" style="0" bestFit="1" customWidth="1"/>
    <col min="11" max="11" width="3.57421875" style="0" customWidth="1"/>
    <col min="12" max="12" width="15.28125" style="0" bestFit="1" customWidth="1"/>
    <col min="14" max="14" width="14.28125" style="0" bestFit="1" customWidth="1"/>
    <col min="15" max="15" width="17.8515625" style="0" customWidth="1"/>
    <col min="16" max="16" width="3.28125" style="0" customWidth="1"/>
    <col min="17" max="17" width="11.8515625" style="0" customWidth="1"/>
  </cols>
  <sheetData>
    <row r="1" spans="1:12" ht="23.25">
      <c r="A1" s="80" t="s">
        <v>110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3.25">
      <c r="A2" s="80" t="s">
        <v>73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79" t="s">
        <v>113</v>
      </c>
      <c r="B3" s="79"/>
      <c r="C3" s="79"/>
      <c r="D3" s="79"/>
      <c r="E3" s="79"/>
      <c r="F3" s="79"/>
      <c r="G3" s="79"/>
      <c r="H3" s="79"/>
      <c r="I3" s="79"/>
      <c r="J3" s="54"/>
      <c r="K3" s="54"/>
      <c r="L3" s="54"/>
    </row>
    <row r="4" spans="1:12" ht="18">
      <c r="A4" s="55" t="s">
        <v>0</v>
      </c>
      <c r="B4" s="56" t="s">
        <v>1</v>
      </c>
      <c r="C4" s="43"/>
      <c r="D4" s="43"/>
      <c r="E4" s="43"/>
      <c r="F4" s="43"/>
      <c r="G4" s="43"/>
      <c r="H4" s="45"/>
      <c r="I4" s="43"/>
      <c r="J4" s="43"/>
      <c r="K4" s="43"/>
      <c r="L4" s="43"/>
    </row>
    <row r="5" spans="1:13" ht="15">
      <c r="A5" s="54"/>
      <c r="B5" s="57"/>
      <c r="C5" s="57"/>
      <c r="D5" s="81" t="s">
        <v>72</v>
      </c>
      <c r="E5" s="82" t="s">
        <v>14</v>
      </c>
      <c r="F5" s="82"/>
      <c r="G5" s="57"/>
      <c r="H5" s="82" t="s">
        <v>15</v>
      </c>
      <c r="I5" s="82"/>
      <c r="J5" s="82"/>
      <c r="K5" s="57"/>
      <c r="L5" s="81" t="s">
        <v>5</v>
      </c>
      <c r="M5" s="3"/>
    </row>
    <row r="6" spans="1:21" ht="28.5" customHeight="1">
      <c r="A6" s="54"/>
      <c r="B6" s="58" t="s">
        <v>2</v>
      </c>
      <c r="C6" s="58" t="s">
        <v>3</v>
      </c>
      <c r="D6" s="81"/>
      <c r="E6" s="57" t="s">
        <v>4</v>
      </c>
      <c r="F6" s="57" t="s">
        <v>71</v>
      </c>
      <c r="G6" s="57"/>
      <c r="H6" s="59" t="s">
        <v>6</v>
      </c>
      <c r="I6" s="57" t="s">
        <v>4</v>
      </c>
      <c r="J6" s="57" t="s">
        <v>71</v>
      </c>
      <c r="K6" s="57"/>
      <c r="L6" s="81"/>
      <c r="M6" s="3"/>
      <c r="N6" s="91" t="s">
        <v>114</v>
      </c>
      <c r="O6" s="91"/>
      <c r="S6" s="24"/>
      <c r="T6" s="24"/>
      <c r="U6" s="24"/>
    </row>
    <row r="7" spans="1:21" ht="15">
      <c r="A7" s="54" t="s">
        <v>10</v>
      </c>
      <c r="B7" s="43">
        <f>S10</f>
        <v>168843.66666666666</v>
      </c>
      <c r="C7" s="43">
        <v>0</v>
      </c>
      <c r="D7" s="43"/>
      <c r="E7" s="43">
        <f>B7-C7+D7</f>
        <v>168843.66666666666</v>
      </c>
      <c r="F7" s="43">
        <f>E7</f>
        <v>168843.66666666666</v>
      </c>
      <c r="G7" s="43"/>
      <c r="H7" s="45">
        <v>0.0725</v>
      </c>
      <c r="I7" s="43">
        <v>0</v>
      </c>
      <c r="J7" s="43">
        <f>I7</f>
        <v>0</v>
      </c>
      <c r="K7" s="43"/>
      <c r="L7" s="43">
        <f>F7+J7</f>
        <v>168843.66666666666</v>
      </c>
      <c r="N7" s="91"/>
      <c r="O7" s="91"/>
      <c r="S7" s="24"/>
      <c r="T7" s="24"/>
      <c r="U7" s="24"/>
    </row>
    <row r="8" spans="1:21" ht="15">
      <c r="A8" s="54" t="s">
        <v>11</v>
      </c>
      <c r="B8" s="43">
        <f>B7</f>
        <v>168843.66666666666</v>
      </c>
      <c r="C8" s="43">
        <v>0</v>
      </c>
      <c r="D8" s="43"/>
      <c r="E8" s="43">
        <f>B8-C8+D8</f>
        <v>168843.66666666666</v>
      </c>
      <c r="F8" s="43">
        <f>F7+E8</f>
        <v>337687.3333333333</v>
      </c>
      <c r="G8" s="43"/>
      <c r="H8" s="45">
        <f>H7</f>
        <v>0.0725</v>
      </c>
      <c r="I8" s="43">
        <f>F7*H8/12</f>
        <v>1020.0971527777778</v>
      </c>
      <c r="J8" s="43">
        <f>I8+J7</f>
        <v>1020.0971527777778</v>
      </c>
      <c r="K8" s="43"/>
      <c r="L8" s="43">
        <f>F8+J8</f>
        <v>338707.4304861111</v>
      </c>
      <c r="N8" s="92">
        <v>2001</v>
      </c>
      <c r="O8" s="95">
        <v>512987</v>
      </c>
      <c r="S8" s="24"/>
      <c r="T8" s="24"/>
      <c r="U8" s="24"/>
    </row>
    <row r="9" spans="1:21" ht="15">
      <c r="A9" s="54" t="s">
        <v>12</v>
      </c>
      <c r="B9" s="44">
        <f>B8-1</f>
        <v>168842.66666666666</v>
      </c>
      <c r="C9" s="44">
        <v>0</v>
      </c>
      <c r="D9" s="44"/>
      <c r="E9" s="44">
        <f>B9-C9+D9</f>
        <v>168842.66666666666</v>
      </c>
      <c r="F9" s="44">
        <f>F8+E9</f>
        <v>506530</v>
      </c>
      <c r="G9" s="44"/>
      <c r="H9" s="60">
        <f>H8</f>
        <v>0.0725</v>
      </c>
      <c r="I9" s="44">
        <f>F8*H9/12</f>
        <v>2040.1943055555555</v>
      </c>
      <c r="J9" s="44">
        <f>I9+J8</f>
        <v>3060.291458333333</v>
      </c>
      <c r="K9" s="44"/>
      <c r="L9" s="44">
        <f>F9+J9</f>
        <v>509590.2914583333</v>
      </c>
      <c r="N9" s="91" t="s">
        <v>115</v>
      </c>
      <c r="O9" s="95">
        <v>-6456</v>
      </c>
      <c r="S9" s="24"/>
      <c r="T9" s="24"/>
      <c r="U9" s="24"/>
    </row>
    <row r="10" spans="1:21" ht="15.75" thickBot="1">
      <c r="A10" s="54" t="s">
        <v>13</v>
      </c>
      <c r="B10" s="43">
        <f>SUM(B7:B9)</f>
        <v>506530</v>
      </c>
      <c r="C10" s="43">
        <f>SUM(C7:C9)</f>
        <v>0</v>
      </c>
      <c r="D10" s="43">
        <f>SUM(D7:D9)</f>
        <v>0</v>
      </c>
      <c r="E10" s="43">
        <f>SUM(E7:E9)</f>
        <v>506530</v>
      </c>
      <c r="F10" s="43"/>
      <c r="G10" s="43"/>
      <c r="H10" s="45"/>
      <c r="I10" s="43">
        <f>SUM(I7:I9)</f>
        <v>3060.291458333333</v>
      </c>
      <c r="J10" s="43"/>
      <c r="K10" s="43"/>
      <c r="L10" s="43"/>
      <c r="N10" s="93"/>
      <c r="O10" s="94">
        <f>SUM(O8:O9)</f>
        <v>506531</v>
      </c>
      <c r="Q10" s="24">
        <f>O10</f>
        <v>506531</v>
      </c>
      <c r="R10">
        <v>3</v>
      </c>
      <c r="S10" s="24">
        <f>Q10/R10</f>
        <v>168843.66666666666</v>
      </c>
      <c r="T10" s="24"/>
      <c r="U10" s="24"/>
    </row>
    <row r="11" spans="1:21" ht="15">
      <c r="A11" s="54"/>
      <c r="B11" s="43"/>
      <c r="C11" s="43"/>
      <c r="D11" s="43"/>
      <c r="E11" s="43"/>
      <c r="F11" s="43"/>
      <c r="G11" s="43"/>
      <c r="H11" s="45"/>
      <c r="I11" s="43"/>
      <c r="J11" s="43"/>
      <c r="K11" s="43"/>
      <c r="L11" s="43"/>
      <c r="N11" s="93"/>
      <c r="O11" s="93"/>
      <c r="S11" s="24"/>
      <c r="T11" s="24"/>
      <c r="U11" s="24"/>
    </row>
    <row r="12" spans="1:21" ht="15">
      <c r="A12" s="54"/>
      <c r="B12" s="43"/>
      <c r="C12" s="43"/>
      <c r="D12" s="43"/>
      <c r="E12" s="43"/>
      <c r="F12" s="43"/>
      <c r="G12" s="43"/>
      <c r="H12" s="45"/>
      <c r="I12" s="43"/>
      <c r="J12" s="43"/>
      <c r="K12" s="43"/>
      <c r="L12" s="43"/>
      <c r="N12" s="96">
        <v>2002</v>
      </c>
      <c r="O12" s="93">
        <v>1763900</v>
      </c>
      <c r="S12" s="24"/>
      <c r="T12" s="24"/>
      <c r="U12" s="24"/>
    </row>
    <row r="13" spans="1:21" ht="18">
      <c r="A13" s="55" t="s">
        <v>0</v>
      </c>
      <c r="B13" s="61">
        <v>2002</v>
      </c>
      <c r="C13" s="43"/>
      <c r="D13" s="43"/>
      <c r="E13" s="43"/>
      <c r="F13" s="43"/>
      <c r="G13" s="43"/>
      <c r="H13" s="45"/>
      <c r="I13" s="43"/>
      <c r="J13" s="43"/>
      <c r="K13" s="43"/>
      <c r="L13" s="43"/>
      <c r="N13" s="93" t="s">
        <v>115</v>
      </c>
      <c r="O13" s="93">
        <v>-347920</v>
      </c>
      <c r="S13" s="24"/>
      <c r="T13" s="24"/>
      <c r="U13" s="24"/>
    </row>
    <row r="14" spans="1:21" ht="15.75" thickBot="1">
      <c r="A14" s="54"/>
      <c r="B14" s="57"/>
      <c r="C14" s="57"/>
      <c r="D14" s="81" t="str">
        <f>$D$5</f>
        <v>SIMPILS True-Up Adjustments    (neg = CR)</v>
      </c>
      <c r="E14" s="82" t="s">
        <v>14</v>
      </c>
      <c r="F14" s="82"/>
      <c r="G14" s="57"/>
      <c r="H14" s="82" t="s">
        <v>15</v>
      </c>
      <c r="I14" s="82"/>
      <c r="J14" s="82"/>
      <c r="K14" s="57"/>
      <c r="L14" s="81" t="s">
        <v>5</v>
      </c>
      <c r="N14" s="93"/>
      <c r="O14" s="94">
        <f>SUM(O12:O13)</f>
        <v>1415980</v>
      </c>
      <c r="Q14" s="24">
        <f>O14</f>
        <v>1415980</v>
      </c>
      <c r="R14">
        <v>12</v>
      </c>
      <c r="S14" s="24">
        <f>Q14/R14</f>
        <v>117998.33333333333</v>
      </c>
      <c r="T14" s="24"/>
      <c r="U14" s="24"/>
    </row>
    <row r="15" spans="1:21" ht="26.25">
      <c r="A15" s="54"/>
      <c r="B15" s="58" t="s">
        <v>2</v>
      </c>
      <c r="C15" s="58" t="s">
        <v>3</v>
      </c>
      <c r="D15" s="81"/>
      <c r="E15" s="57" t="s">
        <v>4</v>
      </c>
      <c r="F15" s="57" t="s">
        <v>71</v>
      </c>
      <c r="G15" s="57"/>
      <c r="H15" s="59" t="s">
        <v>6</v>
      </c>
      <c r="I15" s="57" t="s">
        <v>4</v>
      </c>
      <c r="J15" s="57" t="s">
        <v>71</v>
      </c>
      <c r="K15" s="57"/>
      <c r="L15" s="81"/>
      <c r="N15" s="95"/>
      <c r="O15" s="95"/>
      <c r="S15" s="24"/>
      <c r="T15" s="24"/>
      <c r="U15" s="24"/>
    </row>
    <row r="16" spans="1:21" ht="15.75" thickBot="1">
      <c r="A16" s="54" t="s">
        <v>7</v>
      </c>
      <c r="B16" s="43">
        <f>S14</f>
        <v>117998.33333333333</v>
      </c>
      <c r="C16" s="43">
        <v>0</v>
      </c>
      <c r="D16" s="43"/>
      <c r="E16" s="43">
        <f aca="true" t="shared" si="0" ref="E16:E27">B16-C16+D16</f>
        <v>117998.33333333333</v>
      </c>
      <c r="F16" s="43">
        <f>F9+E16</f>
        <v>624528.3333333334</v>
      </c>
      <c r="G16" s="43"/>
      <c r="H16" s="45">
        <f>H9</f>
        <v>0.0725</v>
      </c>
      <c r="I16" s="43">
        <f>H16*F9/12</f>
        <v>3060.285416666666</v>
      </c>
      <c r="J16" s="43">
        <f>J9+I16</f>
        <v>6120.576874999999</v>
      </c>
      <c r="K16" s="43"/>
      <c r="L16" s="43">
        <f aca="true" t="shared" si="1" ref="L16:L27">F16+J16</f>
        <v>630648.9102083334</v>
      </c>
      <c r="N16" s="95"/>
      <c r="O16" s="95"/>
      <c r="Q16" s="90">
        <f>SUM(Q10:Q15)</f>
        <v>1922511</v>
      </c>
      <c r="R16">
        <v>12</v>
      </c>
      <c r="S16" s="24">
        <f>Q16/R16</f>
        <v>160209.25</v>
      </c>
      <c r="T16" s="24"/>
      <c r="U16" s="24"/>
    </row>
    <row r="17" spans="1:21" ht="15">
      <c r="A17" s="54" t="s">
        <v>8</v>
      </c>
      <c r="B17" s="43">
        <f>B16</f>
        <v>117998.33333333333</v>
      </c>
      <c r="C17" s="43">
        <v>0</v>
      </c>
      <c r="D17" s="43"/>
      <c r="E17" s="43">
        <f t="shared" si="0"/>
        <v>117998.33333333333</v>
      </c>
      <c r="F17" s="43">
        <f>F16+E17</f>
        <v>742526.6666666667</v>
      </c>
      <c r="G17" s="43"/>
      <c r="H17" s="45">
        <f>H16</f>
        <v>0.0725</v>
      </c>
      <c r="I17" s="43">
        <f>H17*F16/12</f>
        <v>3773.192013888889</v>
      </c>
      <c r="J17" s="43">
        <f>I17+J16</f>
        <v>9893.768888888888</v>
      </c>
      <c r="K17" s="43"/>
      <c r="L17" s="43">
        <f t="shared" si="1"/>
        <v>752420.4355555556</v>
      </c>
      <c r="N17" s="95"/>
      <c r="O17" s="95"/>
      <c r="S17" s="24"/>
      <c r="T17" s="24"/>
      <c r="U17" s="24"/>
    </row>
    <row r="18" spans="1:21" ht="15">
      <c r="A18" s="54" t="s">
        <v>9</v>
      </c>
      <c r="B18" s="43">
        <f>B17</f>
        <v>117998.33333333333</v>
      </c>
      <c r="C18" s="43">
        <f>'First period'!B47</f>
        <v>19271.7885766</v>
      </c>
      <c r="D18" s="43"/>
      <c r="E18" s="43">
        <f t="shared" si="0"/>
        <v>98726.54475673333</v>
      </c>
      <c r="F18" s="43">
        <f aca="true" t="shared" si="2" ref="F18:F27">F17+E18</f>
        <v>841253.2114234001</v>
      </c>
      <c r="G18" s="43"/>
      <c r="H18" s="45">
        <f aca="true" t="shared" si="3" ref="H18:H27">H17</f>
        <v>0.0725</v>
      </c>
      <c r="I18" s="43">
        <f aca="true" t="shared" si="4" ref="I18:I27">H18*F17/12</f>
        <v>4486.0986111111115</v>
      </c>
      <c r="J18" s="43">
        <f aca="true" t="shared" si="5" ref="J18:J27">I18+J17</f>
        <v>14379.8675</v>
      </c>
      <c r="K18" s="43"/>
      <c r="L18" s="43">
        <f t="shared" si="1"/>
        <v>855633.0789234001</v>
      </c>
      <c r="N18" s="98">
        <v>2005</v>
      </c>
      <c r="O18" s="95">
        <v>1569774</v>
      </c>
      <c r="Q18" s="24">
        <f>O18</f>
        <v>1569774</v>
      </c>
      <c r="R18">
        <v>12</v>
      </c>
      <c r="S18" s="24">
        <f>Q18/R18</f>
        <v>130814.5</v>
      </c>
      <c r="T18" s="24"/>
      <c r="U18" s="24"/>
    </row>
    <row r="19" spans="1:21" ht="15">
      <c r="A19" s="54" t="s">
        <v>16</v>
      </c>
      <c r="B19" s="43">
        <f aca="true" t="shared" si="6" ref="B19:B25">B18</f>
        <v>117998.33333333333</v>
      </c>
      <c r="C19" s="43">
        <f>'First period'!C47</f>
        <v>188097.790065</v>
      </c>
      <c r="D19" s="43"/>
      <c r="E19" s="43">
        <f t="shared" si="0"/>
        <v>-70099.45673166668</v>
      </c>
      <c r="F19" s="43">
        <f t="shared" si="2"/>
        <v>771153.7546917334</v>
      </c>
      <c r="G19" s="43"/>
      <c r="H19" s="45">
        <f t="shared" si="3"/>
        <v>0.0725</v>
      </c>
      <c r="I19" s="43">
        <f>H19*F18/12</f>
        <v>5082.571485683042</v>
      </c>
      <c r="J19" s="43">
        <f>I19+J18</f>
        <v>19462.438985683042</v>
      </c>
      <c r="K19" s="43"/>
      <c r="L19" s="43">
        <f t="shared" si="1"/>
        <v>790616.1936774164</v>
      </c>
      <c r="N19" s="95"/>
      <c r="O19" s="95"/>
      <c r="S19" s="24"/>
      <c r="T19" s="24"/>
      <c r="U19" s="24"/>
    </row>
    <row r="20" spans="1:21" ht="15">
      <c r="A20" s="54" t="s">
        <v>17</v>
      </c>
      <c r="B20" s="43">
        <f t="shared" si="6"/>
        <v>117998.33333333333</v>
      </c>
      <c r="C20" s="43">
        <f>'First period'!D47</f>
        <v>188807.85480600002</v>
      </c>
      <c r="D20" s="43"/>
      <c r="E20" s="43">
        <f t="shared" si="0"/>
        <v>-70809.52147266669</v>
      </c>
      <c r="F20" s="43">
        <f t="shared" si="2"/>
        <v>700344.2332190668</v>
      </c>
      <c r="G20" s="43"/>
      <c r="H20" s="45">
        <f t="shared" si="3"/>
        <v>0.0725</v>
      </c>
      <c r="I20" s="43">
        <f t="shared" si="4"/>
        <v>4659.053934595889</v>
      </c>
      <c r="J20" s="43">
        <f t="shared" si="5"/>
        <v>24121.49292027893</v>
      </c>
      <c r="K20" s="43"/>
      <c r="L20" s="43">
        <f t="shared" si="1"/>
        <v>724465.7261393457</v>
      </c>
      <c r="N20" s="24"/>
      <c r="O20" s="24"/>
      <c r="S20" s="24"/>
      <c r="T20" s="24"/>
      <c r="U20" s="24"/>
    </row>
    <row r="21" spans="1:21" ht="15">
      <c r="A21" s="54" t="s">
        <v>18</v>
      </c>
      <c r="B21" s="43">
        <f t="shared" si="6"/>
        <v>117998.33333333333</v>
      </c>
      <c r="C21" s="43">
        <f>'First period'!E47</f>
        <v>185263.4128024</v>
      </c>
      <c r="D21" s="43"/>
      <c r="E21" s="43">
        <f t="shared" si="0"/>
        <v>-67265.07946906668</v>
      </c>
      <c r="F21" s="43">
        <f t="shared" si="2"/>
        <v>633079.15375</v>
      </c>
      <c r="G21" s="43"/>
      <c r="H21" s="45">
        <f t="shared" si="3"/>
        <v>0.0725</v>
      </c>
      <c r="I21" s="43">
        <f t="shared" si="4"/>
        <v>4231.246409031862</v>
      </c>
      <c r="J21" s="43">
        <f t="shared" si="5"/>
        <v>28352.739329310793</v>
      </c>
      <c r="K21" s="43"/>
      <c r="L21" s="43">
        <f t="shared" si="1"/>
        <v>661431.8930793109</v>
      </c>
      <c r="N21" s="24"/>
      <c r="O21" s="24"/>
      <c r="S21" s="24"/>
      <c r="T21" s="24"/>
      <c r="U21" s="24"/>
    </row>
    <row r="22" spans="1:21" ht="15">
      <c r="A22" s="54" t="s">
        <v>19</v>
      </c>
      <c r="B22" s="43">
        <f t="shared" si="6"/>
        <v>117998.33333333333</v>
      </c>
      <c r="C22" s="43">
        <f>'First period'!F47</f>
        <v>202436.10189710002</v>
      </c>
      <c r="D22" s="43">
        <v>5046</v>
      </c>
      <c r="E22" s="43">
        <f t="shared" si="0"/>
        <v>-79391.76856376669</v>
      </c>
      <c r="F22" s="43">
        <f t="shared" si="2"/>
        <v>553687.3851862333</v>
      </c>
      <c r="G22" s="43"/>
      <c r="H22" s="45">
        <f t="shared" si="3"/>
        <v>0.0725</v>
      </c>
      <c r="I22" s="43">
        <f t="shared" si="4"/>
        <v>3824.8532205729166</v>
      </c>
      <c r="J22" s="43">
        <f t="shared" si="5"/>
        <v>32177.59254988371</v>
      </c>
      <c r="K22" s="43"/>
      <c r="L22" s="43">
        <f t="shared" si="1"/>
        <v>585864.9777361171</v>
      </c>
      <c r="N22" s="24"/>
      <c r="O22" s="24"/>
      <c r="S22" s="24"/>
      <c r="T22" s="24"/>
      <c r="U22" s="24"/>
    </row>
    <row r="23" spans="1:21" ht="15">
      <c r="A23" s="54" t="s">
        <v>20</v>
      </c>
      <c r="B23" s="43">
        <f t="shared" si="6"/>
        <v>117998.33333333333</v>
      </c>
      <c r="C23" s="43">
        <f>'First period'!G47</f>
        <v>218706.7630026</v>
      </c>
      <c r="D23" s="43"/>
      <c r="E23" s="43">
        <f t="shared" si="0"/>
        <v>-100708.42966926667</v>
      </c>
      <c r="F23" s="43">
        <f t="shared" si="2"/>
        <v>452978.95551696664</v>
      </c>
      <c r="G23" s="43"/>
      <c r="H23" s="45">
        <f t="shared" si="3"/>
        <v>0.0725</v>
      </c>
      <c r="I23" s="43">
        <f t="shared" si="4"/>
        <v>3345.1946188334928</v>
      </c>
      <c r="J23" s="43">
        <f t="shared" si="5"/>
        <v>35522.7871687172</v>
      </c>
      <c r="K23" s="43"/>
      <c r="L23" s="43">
        <f t="shared" si="1"/>
        <v>488501.7426856838</v>
      </c>
      <c r="S23" s="24"/>
      <c r="T23" s="24"/>
      <c r="U23" s="24"/>
    </row>
    <row r="24" spans="1:21" ht="15">
      <c r="A24" s="54" t="s">
        <v>21</v>
      </c>
      <c r="B24" s="43">
        <f t="shared" si="6"/>
        <v>117998.33333333333</v>
      </c>
      <c r="C24" s="43">
        <f>'First period'!H47</f>
        <v>214718.44003700002</v>
      </c>
      <c r="D24" s="43"/>
      <c r="E24" s="43">
        <f t="shared" si="0"/>
        <v>-96720.1067036667</v>
      </c>
      <c r="F24" s="43">
        <f t="shared" si="2"/>
        <v>356258.84881329996</v>
      </c>
      <c r="G24" s="43"/>
      <c r="H24" s="45">
        <f t="shared" si="3"/>
        <v>0.0725</v>
      </c>
      <c r="I24" s="43">
        <f t="shared" si="4"/>
        <v>2736.7478562483398</v>
      </c>
      <c r="J24" s="43">
        <f>I24+J23</f>
        <v>38259.53502496554</v>
      </c>
      <c r="K24" s="43"/>
      <c r="L24" s="43">
        <f t="shared" si="1"/>
        <v>394518.3838382655</v>
      </c>
      <c r="S24" s="24"/>
      <c r="T24" s="24"/>
      <c r="U24" s="24"/>
    </row>
    <row r="25" spans="1:21" ht="15">
      <c r="A25" s="54" t="s">
        <v>10</v>
      </c>
      <c r="B25" s="43">
        <f t="shared" si="6"/>
        <v>117998.33333333333</v>
      </c>
      <c r="C25" s="43">
        <f>'First period'!I47</f>
        <v>198066.23239800002</v>
      </c>
      <c r="D25" s="43"/>
      <c r="E25" s="43">
        <f t="shared" si="0"/>
        <v>-80067.8990646667</v>
      </c>
      <c r="F25" s="43">
        <f t="shared" si="2"/>
        <v>276190.94974863325</v>
      </c>
      <c r="G25" s="43"/>
      <c r="H25" s="45">
        <f t="shared" si="3"/>
        <v>0.0725</v>
      </c>
      <c r="I25" s="43">
        <f t="shared" si="4"/>
        <v>2152.397211580354</v>
      </c>
      <c r="J25" s="43">
        <f t="shared" si="5"/>
        <v>40411.932236545894</v>
      </c>
      <c r="K25" s="43"/>
      <c r="L25" s="43">
        <f t="shared" si="1"/>
        <v>316602.88198517915</v>
      </c>
      <c r="S25" s="24"/>
      <c r="T25" s="24"/>
      <c r="U25" s="24"/>
    </row>
    <row r="26" spans="1:12" ht="15">
      <c r="A26" s="54" t="s">
        <v>11</v>
      </c>
      <c r="B26" s="43">
        <f>B25</f>
        <v>117998.33333333333</v>
      </c>
      <c r="C26" s="43">
        <f>'First period'!J47</f>
        <v>197513.3872363</v>
      </c>
      <c r="D26" s="43"/>
      <c r="E26" s="43">
        <f t="shared" si="0"/>
        <v>-79515.05390296668</v>
      </c>
      <c r="F26" s="43">
        <f t="shared" si="2"/>
        <v>196675.8958456666</v>
      </c>
      <c r="G26" s="43"/>
      <c r="H26" s="45">
        <f t="shared" si="3"/>
        <v>0.0725</v>
      </c>
      <c r="I26" s="43">
        <f t="shared" si="4"/>
        <v>1668.653654731326</v>
      </c>
      <c r="J26" s="43">
        <f t="shared" si="5"/>
        <v>42080.58589127722</v>
      </c>
      <c r="K26" s="43"/>
      <c r="L26" s="43">
        <f t="shared" si="1"/>
        <v>238756.4817369438</v>
      </c>
    </row>
    <row r="27" spans="1:12" ht="15">
      <c r="A27" s="54" t="s">
        <v>12</v>
      </c>
      <c r="B27" s="44">
        <f>B26-4</f>
        <v>117994.33333333333</v>
      </c>
      <c r="C27" s="44">
        <f>'First period'!K47</f>
        <v>195053.04446360003</v>
      </c>
      <c r="D27" s="44"/>
      <c r="E27" s="43">
        <f t="shared" si="0"/>
        <v>-77058.7111302667</v>
      </c>
      <c r="F27" s="44">
        <f t="shared" si="2"/>
        <v>119617.18471539988</v>
      </c>
      <c r="G27" s="44"/>
      <c r="H27" s="60">
        <f t="shared" si="3"/>
        <v>0.0725</v>
      </c>
      <c r="I27" s="44">
        <f t="shared" si="4"/>
        <v>1188.2502040675688</v>
      </c>
      <c r="J27" s="44">
        <f t="shared" si="5"/>
        <v>43268.836095344785</v>
      </c>
      <c r="K27" s="44"/>
      <c r="L27" s="44">
        <f t="shared" si="1"/>
        <v>162886.02081074467</v>
      </c>
    </row>
    <row r="28" spans="1:12" ht="15">
      <c r="A28" s="54" t="s">
        <v>13</v>
      </c>
      <c r="B28" s="43">
        <f>SUM(B16:B27)</f>
        <v>1415975.9999999998</v>
      </c>
      <c r="C28" s="43">
        <f>SUM(C16:C27)</f>
        <v>1807934.8152846</v>
      </c>
      <c r="D28" s="43">
        <f>SUM(D16:D27)</f>
        <v>5046</v>
      </c>
      <c r="E28" s="43">
        <f>SUM(E16:E27)</f>
        <v>-386912.81528460025</v>
      </c>
      <c r="F28" s="43"/>
      <c r="G28" s="43"/>
      <c r="H28" s="45"/>
      <c r="I28" s="43">
        <f>SUM(I16:I27)</f>
        <v>40208.54463701145</v>
      </c>
      <c r="J28" s="43"/>
      <c r="K28" s="43"/>
      <c r="L28" s="43"/>
    </row>
    <row r="29" spans="1:12" ht="15">
      <c r="A29" s="54"/>
      <c r="B29" s="43"/>
      <c r="C29" s="43"/>
      <c r="D29" s="43"/>
      <c r="E29" s="43"/>
      <c r="F29" s="43"/>
      <c r="G29" s="43"/>
      <c r="H29" s="45"/>
      <c r="I29" s="43"/>
      <c r="J29" s="43"/>
      <c r="K29" s="43"/>
      <c r="L29" s="43"/>
    </row>
    <row r="30" spans="1:12" ht="15">
      <c r="A30" s="54"/>
      <c r="B30" s="43"/>
      <c r="C30" s="43"/>
      <c r="D30" s="43"/>
      <c r="E30" s="43"/>
      <c r="F30" s="43"/>
      <c r="G30" s="43"/>
      <c r="H30" s="45"/>
      <c r="I30" s="43"/>
      <c r="J30" s="43"/>
      <c r="K30" s="43"/>
      <c r="L30" s="43"/>
    </row>
    <row r="31" spans="1:12" ht="18">
      <c r="A31" s="55" t="s">
        <v>0</v>
      </c>
      <c r="B31" s="61">
        <v>2003</v>
      </c>
      <c r="C31" s="43"/>
      <c r="D31" s="43"/>
      <c r="E31" s="43"/>
      <c r="F31" s="43"/>
      <c r="G31" s="43"/>
      <c r="H31" s="45"/>
      <c r="I31" s="43"/>
      <c r="J31" s="43"/>
      <c r="K31" s="43"/>
      <c r="L31" s="43"/>
    </row>
    <row r="32" spans="1:12" ht="15">
      <c r="A32" s="54"/>
      <c r="B32" s="57"/>
      <c r="C32" s="57"/>
      <c r="D32" s="81" t="str">
        <f>$D$5</f>
        <v>SIMPILS True-Up Adjustments    (neg = CR)</v>
      </c>
      <c r="E32" s="82" t="s">
        <v>14</v>
      </c>
      <c r="F32" s="82"/>
      <c r="G32" s="57"/>
      <c r="H32" s="82" t="s">
        <v>15</v>
      </c>
      <c r="I32" s="82"/>
      <c r="J32" s="82"/>
      <c r="K32" s="57"/>
      <c r="L32" s="81" t="s">
        <v>5</v>
      </c>
    </row>
    <row r="33" spans="1:12" ht="26.25">
      <c r="A33" s="54"/>
      <c r="B33" s="58" t="s">
        <v>2</v>
      </c>
      <c r="C33" s="58" t="s">
        <v>3</v>
      </c>
      <c r="D33" s="81"/>
      <c r="E33" s="57" t="s">
        <v>4</v>
      </c>
      <c r="F33" s="57" t="s">
        <v>71</v>
      </c>
      <c r="G33" s="57"/>
      <c r="H33" s="59" t="s">
        <v>6</v>
      </c>
      <c r="I33" s="57" t="s">
        <v>4</v>
      </c>
      <c r="J33" s="57" t="s">
        <v>71</v>
      </c>
      <c r="K33" s="57"/>
      <c r="L33" s="81"/>
    </row>
    <row r="34" spans="1:12" ht="15">
      <c r="A34" s="54" t="s">
        <v>7</v>
      </c>
      <c r="B34" s="43">
        <f>S16</f>
        <v>160209.25</v>
      </c>
      <c r="C34" s="43">
        <f>'First period'!L47</f>
        <v>213664.8810321</v>
      </c>
      <c r="D34" s="43"/>
      <c r="E34" s="43">
        <f aca="true" t="shared" si="7" ref="E34:E45">B34-C34+D34</f>
        <v>-53455.631032100006</v>
      </c>
      <c r="F34" s="43">
        <f>F27+E34</f>
        <v>66161.55368329988</v>
      </c>
      <c r="G34" s="43"/>
      <c r="H34" s="45">
        <f>H27</f>
        <v>0.0725</v>
      </c>
      <c r="I34" s="43">
        <f>H34*F27/12</f>
        <v>722.6871576555409</v>
      </c>
      <c r="J34" s="43">
        <f>J27+I34</f>
        <v>43991.52325300033</v>
      </c>
      <c r="K34" s="43"/>
      <c r="L34" s="43">
        <f aca="true" t="shared" si="8" ref="L34:L45">F34+J34</f>
        <v>110153.0769363002</v>
      </c>
    </row>
    <row r="35" spans="1:12" ht="15">
      <c r="A35" s="54" t="s">
        <v>8</v>
      </c>
      <c r="B35" s="43">
        <f>B34</f>
        <v>160209.25</v>
      </c>
      <c r="C35" s="43">
        <f>'First period'!M47</f>
        <v>207944.7265635</v>
      </c>
      <c r="D35" s="43"/>
      <c r="E35" s="43">
        <f t="shared" si="7"/>
        <v>-47735.47656350001</v>
      </c>
      <c r="F35" s="43">
        <f>F34+E35</f>
        <v>18426.07711979987</v>
      </c>
      <c r="G35" s="43"/>
      <c r="H35" s="45">
        <f>H34</f>
        <v>0.0725</v>
      </c>
      <c r="I35" s="43">
        <f>H35*F34/12</f>
        <v>399.72605350327007</v>
      </c>
      <c r="J35" s="43">
        <f>I35+J34</f>
        <v>44391.249306503596</v>
      </c>
      <c r="K35" s="43"/>
      <c r="L35" s="43">
        <f t="shared" si="8"/>
        <v>62817.326426303465</v>
      </c>
    </row>
    <row r="36" spans="1:12" ht="15">
      <c r="A36" s="54" t="s">
        <v>9</v>
      </c>
      <c r="B36" s="43">
        <f aca="true" t="shared" si="9" ref="B36:B43">B35</f>
        <v>160209.25</v>
      </c>
      <c r="C36" s="43">
        <f>'First period'!N47</f>
        <v>211316.185414</v>
      </c>
      <c r="D36" s="43"/>
      <c r="E36" s="43">
        <f t="shared" si="7"/>
        <v>-51106.93541400001</v>
      </c>
      <c r="F36" s="43">
        <f aca="true" t="shared" si="10" ref="F36:F45">F35+E36</f>
        <v>-32680.858294200138</v>
      </c>
      <c r="G36" s="43"/>
      <c r="H36" s="45">
        <f aca="true" t="shared" si="11" ref="H36:H45">H35</f>
        <v>0.0725</v>
      </c>
      <c r="I36" s="43">
        <f>H36*F35/12</f>
        <v>111.3242159321242</v>
      </c>
      <c r="J36" s="43">
        <f>I36+J35</f>
        <v>44502.57352243572</v>
      </c>
      <c r="K36" s="43"/>
      <c r="L36" s="43">
        <f t="shared" si="8"/>
        <v>11821.715228235582</v>
      </c>
    </row>
    <row r="37" spans="1:12" ht="15">
      <c r="A37" s="54" t="s">
        <v>16</v>
      </c>
      <c r="B37" s="43">
        <f t="shared" si="9"/>
        <v>160209.25</v>
      </c>
      <c r="C37" s="43">
        <f>'First period'!O47</f>
        <v>144002.3560402</v>
      </c>
      <c r="D37" s="43"/>
      <c r="E37" s="43">
        <f t="shared" si="7"/>
        <v>16206.893959800014</v>
      </c>
      <c r="F37" s="43">
        <f t="shared" si="10"/>
        <v>-16473.964334400123</v>
      </c>
      <c r="G37" s="43"/>
      <c r="H37" s="45">
        <f t="shared" si="11"/>
        <v>0.0725</v>
      </c>
      <c r="I37" s="43">
        <f>H37*F36/12</f>
        <v>-197.4468521941258</v>
      </c>
      <c r="J37" s="43">
        <f>I37+J36</f>
        <v>44305.126670241596</v>
      </c>
      <c r="K37" s="43"/>
      <c r="L37" s="43">
        <f t="shared" si="8"/>
        <v>27831.162335841473</v>
      </c>
    </row>
    <row r="38" spans="1:12" ht="15">
      <c r="A38" s="54" t="s">
        <v>17</v>
      </c>
      <c r="B38" s="43">
        <f t="shared" si="9"/>
        <v>160209.25</v>
      </c>
      <c r="C38" s="43">
        <f>'First period'!P47</f>
        <v>180743.874966</v>
      </c>
      <c r="D38" s="43"/>
      <c r="E38" s="43">
        <f t="shared" si="7"/>
        <v>-20534.624966000003</v>
      </c>
      <c r="F38" s="43">
        <f t="shared" si="10"/>
        <v>-37008.58930040013</v>
      </c>
      <c r="G38" s="43"/>
      <c r="H38" s="45">
        <f t="shared" si="11"/>
        <v>0.0725</v>
      </c>
      <c r="I38" s="43">
        <f aca="true" t="shared" si="12" ref="I38:I45">H38*F37/12</f>
        <v>-99.53020118700074</v>
      </c>
      <c r="J38" s="43">
        <f aca="true" t="shared" si="13" ref="J38:J45">I38+J37</f>
        <v>44205.596469054595</v>
      </c>
      <c r="K38" s="43"/>
      <c r="L38" s="43">
        <f t="shared" si="8"/>
        <v>7197.007168654469</v>
      </c>
    </row>
    <row r="39" spans="1:12" ht="15">
      <c r="A39" s="54" t="s">
        <v>18</v>
      </c>
      <c r="B39" s="43">
        <f t="shared" si="9"/>
        <v>160209.25</v>
      </c>
      <c r="C39" s="43">
        <f>'First period'!Q47</f>
        <v>195592.7918648</v>
      </c>
      <c r="D39" s="43"/>
      <c r="E39" s="43">
        <f t="shared" si="7"/>
        <v>-35383.541864800005</v>
      </c>
      <c r="F39" s="43">
        <f t="shared" si="10"/>
        <v>-72392.13116520013</v>
      </c>
      <c r="G39" s="43"/>
      <c r="H39" s="45">
        <f t="shared" si="11"/>
        <v>0.0725</v>
      </c>
      <c r="I39" s="43">
        <f t="shared" si="12"/>
        <v>-223.5935603565841</v>
      </c>
      <c r="J39" s="43">
        <f t="shared" si="13"/>
        <v>43982.002908698014</v>
      </c>
      <c r="K39" s="43"/>
      <c r="L39" s="43">
        <f t="shared" si="8"/>
        <v>-28410.128256502117</v>
      </c>
    </row>
    <row r="40" spans="1:12" ht="15">
      <c r="A40" s="54" t="s">
        <v>19</v>
      </c>
      <c r="B40" s="43">
        <f t="shared" si="9"/>
        <v>160209.25</v>
      </c>
      <c r="C40" s="43">
        <f>'First period'!R47</f>
        <v>203884.453067</v>
      </c>
      <c r="D40" s="43">
        <v>62801</v>
      </c>
      <c r="E40" s="43">
        <f t="shared" si="7"/>
        <v>19125.796933000005</v>
      </c>
      <c r="F40" s="43">
        <f t="shared" si="10"/>
        <v>-53266.334232200126</v>
      </c>
      <c r="G40" s="43"/>
      <c r="H40" s="45">
        <f t="shared" si="11"/>
        <v>0.0725</v>
      </c>
      <c r="I40" s="43">
        <f t="shared" si="12"/>
        <v>-437.3691257897508</v>
      </c>
      <c r="J40" s="43">
        <f t="shared" si="13"/>
        <v>43544.63378290826</v>
      </c>
      <c r="K40" s="43"/>
      <c r="L40" s="43">
        <f t="shared" si="8"/>
        <v>-9721.700449291864</v>
      </c>
    </row>
    <row r="41" spans="1:12" ht="15">
      <c r="A41" s="54" t="s">
        <v>20</v>
      </c>
      <c r="B41" s="43">
        <f t="shared" si="9"/>
        <v>160209.25</v>
      </c>
      <c r="C41" s="43">
        <f>'First period'!S47</f>
        <v>210348.551944</v>
      </c>
      <c r="D41" s="43"/>
      <c r="E41" s="43">
        <f t="shared" si="7"/>
        <v>-50139.301944000006</v>
      </c>
      <c r="F41" s="43">
        <f t="shared" si="10"/>
        <v>-103405.63617620013</v>
      </c>
      <c r="G41" s="43"/>
      <c r="H41" s="45">
        <f t="shared" si="11"/>
        <v>0.0725</v>
      </c>
      <c r="I41" s="43">
        <f t="shared" si="12"/>
        <v>-321.8174359862091</v>
      </c>
      <c r="J41" s="43">
        <f t="shared" si="13"/>
        <v>43222.81634692205</v>
      </c>
      <c r="K41" s="43"/>
      <c r="L41" s="43">
        <f t="shared" si="8"/>
        <v>-60182.81982927808</v>
      </c>
    </row>
    <row r="42" spans="1:12" ht="15">
      <c r="A42" s="54" t="s">
        <v>21</v>
      </c>
      <c r="B42" s="43">
        <f t="shared" si="9"/>
        <v>160209.25</v>
      </c>
      <c r="C42" s="43">
        <f>'First period'!T47</f>
        <v>208241.92473519998</v>
      </c>
      <c r="D42" s="43"/>
      <c r="E42" s="43">
        <f t="shared" si="7"/>
        <v>-48032.67473519998</v>
      </c>
      <c r="F42" s="43">
        <f t="shared" si="10"/>
        <v>-151438.31091140013</v>
      </c>
      <c r="G42" s="43"/>
      <c r="H42" s="45">
        <f t="shared" si="11"/>
        <v>0.0725</v>
      </c>
      <c r="I42" s="43">
        <f t="shared" si="12"/>
        <v>-624.7423852312091</v>
      </c>
      <c r="J42" s="43">
        <f t="shared" si="13"/>
        <v>42598.07396169085</v>
      </c>
      <c r="K42" s="43"/>
      <c r="L42" s="43">
        <f t="shared" si="8"/>
        <v>-108840.23694970927</v>
      </c>
    </row>
    <row r="43" spans="1:12" ht="15">
      <c r="A43" s="54" t="s">
        <v>10</v>
      </c>
      <c r="B43" s="43">
        <f t="shared" si="9"/>
        <v>160209.25</v>
      </c>
      <c r="C43" s="43">
        <f>'First period'!U47</f>
        <v>195495.05993160003</v>
      </c>
      <c r="D43" s="43"/>
      <c r="E43" s="43">
        <f t="shared" si="7"/>
        <v>-35285.80993160003</v>
      </c>
      <c r="F43" s="43">
        <f t="shared" si="10"/>
        <v>-186724.12084300016</v>
      </c>
      <c r="G43" s="43"/>
      <c r="H43" s="45">
        <f t="shared" si="11"/>
        <v>0.0725</v>
      </c>
      <c r="I43" s="43">
        <f t="shared" si="12"/>
        <v>-914.939795089709</v>
      </c>
      <c r="J43" s="43">
        <f t="shared" si="13"/>
        <v>41683.134166601136</v>
      </c>
      <c r="K43" s="43"/>
      <c r="L43" s="43">
        <f t="shared" si="8"/>
        <v>-145040.986676399</v>
      </c>
    </row>
    <row r="44" spans="1:12" ht="15">
      <c r="A44" s="54" t="s">
        <v>11</v>
      </c>
      <c r="B44" s="43">
        <f>B43</f>
        <v>160209.25</v>
      </c>
      <c r="C44" s="43">
        <f>'First period'!V47</f>
        <v>194660.6573325</v>
      </c>
      <c r="D44" s="43"/>
      <c r="E44" s="43">
        <f t="shared" si="7"/>
        <v>-34451.407332500006</v>
      </c>
      <c r="F44" s="43">
        <f t="shared" si="10"/>
        <v>-221175.52817550016</v>
      </c>
      <c r="G44" s="43"/>
      <c r="H44" s="45">
        <f t="shared" si="11"/>
        <v>0.0725</v>
      </c>
      <c r="I44" s="43">
        <f t="shared" si="12"/>
        <v>-1128.1248967597926</v>
      </c>
      <c r="J44" s="43">
        <f t="shared" si="13"/>
        <v>40555.00926984134</v>
      </c>
      <c r="K44" s="43"/>
      <c r="L44" s="43">
        <f t="shared" si="8"/>
        <v>-180620.51890565883</v>
      </c>
    </row>
    <row r="45" spans="1:12" ht="15">
      <c r="A45" s="54" t="s">
        <v>12</v>
      </c>
      <c r="B45" s="44">
        <f>B44-5</f>
        <v>160204.25</v>
      </c>
      <c r="C45" s="43">
        <f>'First period'!W47</f>
        <v>199999.9022699</v>
      </c>
      <c r="D45" s="44"/>
      <c r="E45" s="44">
        <f t="shared" si="7"/>
        <v>-39795.65226989999</v>
      </c>
      <c r="F45" s="44">
        <f t="shared" si="10"/>
        <v>-260971.18044540015</v>
      </c>
      <c r="G45" s="44"/>
      <c r="H45" s="60">
        <f t="shared" si="11"/>
        <v>0.0725</v>
      </c>
      <c r="I45" s="44">
        <f t="shared" si="12"/>
        <v>-1336.2688160603134</v>
      </c>
      <c r="J45" s="44">
        <f t="shared" si="13"/>
        <v>39218.74045378103</v>
      </c>
      <c r="K45" s="44"/>
      <c r="L45" s="44">
        <f t="shared" si="8"/>
        <v>-221752.43999161912</v>
      </c>
    </row>
    <row r="46" spans="1:12" ht="15">
      <c r="A46" s="54" t="s">
        <v>13</v>
      </c>
      <c r="B46" s="43">
        <f>SUM(B34:B45)</f>
        <v>1922506</v>
      </c>
      <c r="C46" s="97">
        <f>SUM(C34:C45)</f>
        <v>2365895.3651607996</v>
      </c>
      <c r="D46" s="43">
        <f>SUM(D34:D45)</f>
        <v>62801</v>
      </c>
      <c r="E46" s="43">
        <f>SUM(E34:E45)</f>
        <v>-380588.36516079993</v>
      </c>
      <c r="F46" s="43"/>
      <c r="G46" s="43"/>
      <c r="H46" s="45"/>
      <c r="I46" s="43">
        <f>SUM(I34:I45)</f>
        <v>-4050.0956415637597</v>
      </c>
      <c r="J46" s="43"/>
      <c r="K46" s="43"/>
      <c r="L46" s="43"/>
    </row>
    <row r="47" spans="1:12" ht="15">
      <c r="A47" s="54"/>
      <c r="B47" s="43"/>
      <c r="C47" s="43"/>
      <c r="D47" s="43"/>
      <c r="E47" s="43"/>
      <c r="F47" s="43"/>
      <c r="G47" s="43"/>
      <c r="H47" s="45"/>
      <c r="I47" s="43"/>
      <c r="J47" s="43"/>
      <c r="K47" s="43"/>
      <c r="L47" s="43"/>
    </row>
    <row r="48" spans="1:12" ht="15">
      <c r="A48" s="54"/>
      <c r="B48" s="43"/>
      <c r="C48" s="43"/>
      <c r="D48" s="43"/>
      <c r="E48" s="43"/>
      <c r="F48" s="43"/>
      <c r="G48" s="43"/>
      <c r="H48" s="45"/>
      <c r="I48" s="43"/>
      <c r="J48" s="43"/>
      <c r="K48" s="43"/>
      <c r="L48" s="43"/>
    </row>
    <row r="49" spans="1:12" ht="18">
      <c r="A49" s="55" t="s">
        <v>0</v>
      </c>
      <c r="B49" s="61">
        <v>2004</v>
      </c>
      <c r="C49" s="43"/>
      <c r="D49" s="43"/>
      <c r="E49" s="43"/>
      <c r="F49" s="43"/>
      <c r="G49" s="43"/>
      <c r="H49" s="45"/>
      <c r="I49" s="43"/>
      <c r="J49" s="43"/>
      <c r="K49" s="43"/>
      <c r="L49" s="43"/>
    </row>
    <row r="50" spans="1:12" ht="15">
      <c r="A50" s="54"/>
      <c r="B50" s="57"/>
      <c r="C50" s="57"/>
      <c r="D50" s="81" t="str">
        <f>$D$5</f>
        <v>SIMPILS True-Up Adjustments    (neg = CR)</v>
      </c>
      <c r="E50" s="82" t="s">
        <v>14</v>
      </c>
      <c r="F50" s="82"/>
      <c r="G50" s="57"/>
      <c r="H50" s="82" t="s">
        <v>15</v>
      </c>
      <c r="I50" s="82"/>
      <c r="J50" s="82"/>
      <c r="K50" s="57"/>
      <c r="L50" s="81" t="s">
        <v>5</v>
      </c>
    </row>
    <row r="51" spans="1:12" ht="26.25">
      <c r="A51" s="54"/>
      <c r="B51" s="58" t="s">
        <v>2</v>
      </c>
      <c r="C51" s="58" t="s">
        <v>3</v>
      </c>
      <c r="D51" s="81"/>
      <c r="E51" s="57" t="s">
        <v>4</v>
      </c>
      <c r="F51" s="57" t="s">
        <v>71</v>
      </c>
      <c r="G51" s="57"/>
      <c r="H51" s="59" t="s">
        <v>6</v>
      </c>
      <c r="I51" s="57" t="s">
        <v>4</v>
      </c>
      <c r="J51" s="57" t="s">
        <v>71</v>
      </c>
      <c r="K51" s="57"/>
      <c r="L51" s="81"/>
    </row>
    <row r="52" spans="1:12" ht="15">
      <c r="A52" s="54" t="s">
        <v>7</v>
      </c>
      <c r="B52" s="43">
        <f>S16</f>
        <v>160209.25</v>
      </c>
      <c r="C52" s="43">
        <f>'First period'!X$47</f>
        <v>220801.36224550003</v>
      </c>
      <c r="D52" s="43"/>
      <c r="E52" s="43">
        <f aca="true" t="shared" si="14" ref="E52:E63">B52-C52+D52</f>
        <v>-60592.11224550003</v>
      </c>
      <c r="F52" s="43">
        <f>F45+E52</f>
        <v>-321563.29269090015</v>
      </c>
      <c r="G52" s="43"/>
      <c r="H52" s="45">
        <f>H45</f>
        <v>0.0725</v>
      </c>
      <c r="I52" s="43">
        <f>H52*F45/12</f>
        <v>-1576.700881857626</v>
      </c>
      <c r="J52" s="43">
        <f>J45+I52</f>
        <v>37642.0395719234</v>
      </c>
      <c r="K52" s="43"/>
      <c r="L52" s="43">
        <f aca="true" t="shared" si="15" ref="L52:L63">F52+J52</f>
        <v>-283921.2531189768</v>
      </c>
    </row>
    <row r="53" spans="1:12" ht="15">
      <c r="A53" s="54" t="s">
        <v>8</v>
      </c>
      <c r="B53" s="43">
        <f>B52</f>
        <v>160209.25</v>
      </c>
      <c r="C53" s="43">
        <f>'First period'!Y$47</f>
        <v>215545.56755130002</v>
      </c>
      <c r="D53" s="43"/>
      <c r="E53" s="43">
        <f t="shared" si="14"/>
        <v>-55336.31755130002</v>
      </c>
      <c r="F53" s="43">
        <f>F52+E53</f>
        <v>-376899.6102422002</v>
      </c>
      <c r="G53" s="43"/>
      <c r="H53" s="45">
        <f>H52</f>
        <v>0.0725</v>
      </c>
      <c r="I53" s="43">
        <f>H53*F52/12</f>
        <v>-1942.778226674188</v>
      </c>
      <c r="J53" s="43">
        <f>I53+J52</f>
        <v>35699.261345249215</v>
      </c>
      <c r="K53" s="43"/>
      <c r="L53" s="43">
        <f t="shared" si="15"/>
        <v>-341200.348896951</v>
      </c>
    </row>
    <row r="54" spans="1:12" ht="15">
      <c r="A54" s="54" t="s">
        <v>9</v>
      </c>
      <c r="B54" s="43">
        <f>B53</f>
        <v>160209.25</v>
      </c>
      <c r="C54" s="43">
        <f>'First period'!Z$47</f>
        <v>208834.14627250002</v>
      </c>
      <c r="D54" s="43"/>
      <c r="E54" s="43">
        <f t="shared" si="14"/>
        <v>-48624.89627250002</v>
      </c>
      <c r="F54" s="43">
        <f aca="true" t="shared" si="16" ref="F54:F63">F53+E54</f>
        <v>-425524.50651470025</v>
      </c>
      <c r="G54" s="43"/>
      <c r="H54" s="45">
        <f aca="true" t="shared" si="17" ref="H54:H63">H53</f>
        <v>0.0725</v>
      </c>
      <c r="I54" s="43">
        <f>H54*F53/12</f>
        <v>-2277.1018118799593</v>
      </c>
      <c r="J54" s="43">
        <f>I54+J53</f>
        <v>33422.15953336925</v>
      </c>
      <c r="K54" s="43"/>
      <c r="L54" s="43">
        <f t="shared" si="15"/>
        <v>-392102.346981331</v>
      </c>
    </row>
    <row r="55" spans="1:12" ht="15">
      <c r="A55" s="54" t="s">
        <v>16</v>
      </c>
      <c r="B55" s="43">
        <f>S14</f>
        <v>117998.33333333333</v>
      </c>
      <c r="C55" s="43">
        <f>'First period'!AA$47+'First period'!AB47</f>
        <v>204799.1073788</v>
      </c>
      <c r="D55" s="43"/>
      <c r="E55" s="43">
        <f t="shared" si="14"/>
        <v>-86800.77404546666</v>
      </c>
      <c r="F55" s="43">
        <f t="shared" si="16"/>
        <v>-512325.2805601669</v>
      </c>
      <c r="G55" s="43"/>
      <c r="H55" s="45">
        <f t="shared" si="17"/>
        <v>0.0725</v>
      </c>
      <c r="I55" s="43">
        <f>H55*F54/12</f>
        <v>-2570.877226859647</v>
      </c>
      <c r="J55" s="43">
        <f>I55+J54</f>
        <v>30851.282306509605</v>
      </c>
      <c r="K55" s="43"/>
      <c r="L55" s="43">
        <f t="shared" si="15"/>
        <v>-481473.9982536573</v>
      </c>
    </row>
    <row r="56" spans="1:12" ht="15">
      <c r="A56" s="54" t="s">
        <v>17</v>
      </c>
      <c r="B56" s="43">
        <f aca="true" t="shared" si="18" ref="B56:B62">B55</f>
        <v>117998.33333333333</v>
      </c>
      <c r="C56" s="43">
        <f>'Second period'!D$36+'Second period'!B36+'Second period'!C36</f>
        <v>139324.52359720002</v>
      </c>
      <c r="D56" s="43"/>
      <c r="E56" s="43">
        <f t="shared" si="14"/>
        <v>-21326.190263866694</v>
      </c>
      <c r="F56" s="43">
        <f t="shared" si="16"/>
        <v>-533651.4708240336</v>
      </c>
      <c r="G56" s="43"/>
      <c r="H56" s="45">
        <f t="shared" si="17"/>
        <v>0.0725</v>
      </c>
      <c r="I56" s="43">
        <f aca="true" t="shared" si="19" ref="I56:I63">H56*F55/12</f>
        <v>-3095.2985700510085</v>
      </c>
      <c r="J56" s="43">
        <f aca="true" t="shared" si="20" ref="J56:J63">I56+J55</f>
        <v>27755.9837364586</v>
      </c>
      <c r="K56" s="43"/>
      <c r="L56" s="43">
        <f t="shared" si="15"/>
        <v>-505895.487087575</v>
      </c>
    </row>
    <row r="57" spans="1:12" ht="15">
      <c r="A57" s="54" t="s">
        <v>18</v>
      </c>
      <c r="B57" s="43">
        <f t="shared" si="18"/>
        <v>117998.33333333333</v>
      </c>
      <c r="C57" s="43">
        <f>'Second period'!E$36</f>
        <v>137680.7736656</v>
      </c>
      <c r="D57" s="43"/>
      <c r="E57" s="43">
        <f t="shared" si="14"/>
        <v>-19682.440332266662</v>
      </c>
      <c r="F57" s="43">
        <f t="shared" si="16"/>
        <v>-553333.9111563002</v>
      </c>
      <c r="G57" s="43"/>
      <c r="H57" s="45">
        <f t="shared" si="17"/>
        <v>0.0725</v>
      </c>
      <c r="I57" s="43">
        <f t="shared" si="19"/>
        <v>-3224.144302895203</v>
      </c>
      <c r="J57" s="43">
        <f t="shared" si="20"/>
        <v>24531.839433563397</v>
      </c>
      <c r="K57" s="43"/>
      <c r="L57" s="43">
        <f t="shared" si="15"/>
        <v>-528802.0717227368</v>
      </c>
    </row>
    <row r="58" spans="1:12" ht="15">
      <c r="A58" s="54" t="s">
        <v>19</v>
      </c>
      <c r="B58" s="43">
        <f t="shared" si="18"/>
        <v>117998.33333333333</v>
      </c>
      <c r="C58" s="43">
        <f>'Second period'!F$36</f>
        <v>153461.94915839998</v>
      </c>
      <c r="D58" s="43">
        <v>-77058</v>
      </c>
      <c r="E58" s="43">
        <f t="shared" si="14"/>
        <v>-112521.61582506665</v>
      </c>
      <c r="F58" s="43">
        <f t="shared" si="16"/>
        <v>-665855.5269813669</v>
      </c>
      <c r="G58" s="43"/>
      <c r="H58" s="45">
        <f t="shared" si="17"/>
        <v>0.0725</v>
      </c>
      <c r="I58" s="43">
        <f t="shared" si="19"/>
        <v>-3343.0590465693135</v>
      </c>
      <c r="J58" s="43">
        <f t="shared" si="20"/>
        <v>21188.780386994084</v>
      </c>
      <c r="K58" s="43"/>
      <c r="L58" s="43">
        <f t="shared" si="15"/>
        <v>-644666.7465943728</v>
      </c>
    </row>
    <row r="59" spans="1:12" ht="15">
      <c r="A59" s="54" t="s">
        <v>20</v>
      </c>
      <c r="B59" s="43">
        <f t="shared" si="18"/>
        <v>117998.33333333333</v>
      </c>
      <c r="C59" s="43">
        <f>'Second period'!G$36</f>
        <v>164012.60048179998</v>
      </c>
      <c r="D59" s="43"/>
      <c r="E59" s="43">
        <f t="shared" si="14"/>
        <v>-46014.26714846665</v>
      </c>
      <c r="F59" s="43">
        <f t="shared" si="16"/>
        <v>-711869.7941298336</v>
      </c>
      <c r="G59" s="43"/>
      <c r="H59" s="45">
        <f t="shared" si="17"/>
        <v>0.0725</v>
      </c>
      <c r="I59" s="43">
        <f t="shared" si="19"/>
        <v>-4022.8771421790916</v>
      </c>
      <c r="J59" s="43">
        <f t="shared" si="20"/>
        <v>17165.903244814992</v>
      </c>
      <c r="K59" s="43"/>
      <c r="L59" s="43">
        <f t="shared" si="15"/>
        <v>-694703.8908850186</v>
      </c>
    </row>
    <row r="60" spans="1:12" ht="15">
      <c r="A60" s="54" t="s">
        <v>21</v>
      </c>
      <c r="B60" s="43">
        <f t="shared" si="18"/>
        <v>117998.33333333333</v>
      </c>
      <c r="C60" s="43">
        <f>'Second period'!H$36</f>
        <v>135037.38314239998</v>
      </c>
      <c r="D60" s="43"/>
      <c r="E60" s="43">
        <f t="shared" si="14"/>
        <v>-17039.04980906665</v>
      </c>
      <c r="F60" s="43">
        <f t="shared" si="16"/>
        <v>-728908.8439389003</v>
      </c>
      <c r="G60" s="43"/>
      <c r="H60" s="45">
        <f t="shared" si="17"/>
        <v>0.0725</v>
      </c>
      <c r="I60" s="43">
        <f t="shared" si="19"/>
        <v>-4300.880006201078</v>
      </c>
      <c r="J60" s="43">
        <f t="shared" si="20"/>
        <v>12865.023238613914</v>
      </c>
      <c r="K60" s="43"/>
      <c r="L60" s="43">
        <f t="shared" si="15"/>
        <v>-716043.8207002863</v>
      </c>
    </row>
    <row r="61" spans="1:12" ht="15">
      <c r="A61" s="54" t="s">
        <v>10</v>
      </c>
      <c r="B61" s="43">
        <f t="shared" si="18"/>
        <v>117998.33333333333</v>
      </c>
      <c r="C61" s="43">
        <f>'Second period'!I$36</f>
        <v>144920.7599866</v>
      </c>
      <c r="D61" s="43"/>
      <c r="E61" s="43">
        <f t="shared" si="14"/>
        <v>-26922.426653266666</v>
      </c>
      <c r="F61" s="43">
        <f t="shared" si="16"/>
        <v>-755831.2705921669</v>
      </c>
      <c r="G61" s="43"/>
      <c r="H61" s="45">
        <f t="shared" si="17"/>
        <v>0.0725</v>
      </c>
      <c r="I61" s="43">
        <f t="shared" si="19"/>
        <v>-4403.824265464189</v>
      </c>
      <c r="J61" s="43">
        <f t="shared" si="20"/>
        <v>8461.198973149725</v>
      </c>
      <c r="K61" s="43"/>
      <c r="L61" s="43">
        <f t="shared" si="15"/>
        <v>-747370.0716190172</v>
      </c>
    </row>
    <row r="62" spans="1:12" ht="15">
      <c r="A62" s="54" t="s">
        <v>11</v>
      </c>
      <c r="B62" s="43">
        <f t="shared" si="18"/>
        <v>117998.33333333333</v>
      </c>
      <c r="C62" s="43">
        <f>'Second period'!J$36</f>
        <v>135108.8273602</v>
      </c>
      <c r="D62" s="43"/>
      <c r="E62" s="43">
        <f t="shared" si="14"/>
        <v>-17110.49402686667</v>
      </c>
      <c r="F62" s="43">
        <f t="shared" si="16"/>
        <v>-772941.7646190336</v>
      </c>
      <c r="G62" s="43"/>
      <c r="H62" s="45">
        <f t="shared" si="17"/>
        <v>0.0725</v>
      </c>
      <c r="I62" s="43">
        <f t="shared" si="19"/>
        <v>-4566.480593161008</v>
      </c>
      <c r="J62" s="43">
        <f t="shared" si="20"/>
        <v>3894.718379988717</v>
      </c>
      <c r="K62" s="43"/>
      <c r="L62" s="43">
        <f t="shared" si="15"/>
        <v>-769047.0462390449</v>
      </c>
    </row>
    <row r="63" spans="1:12" ht="15">
      <c r="A63" s="54" t="s">
        <v>12</v>
      </c>
      <c r="B63" s="44">
        <f>B62-1</f>
        <v>117997.33333333333</v>
      </c>
      <c r="C63" s="44">
        <f>'Second period'!K$36</f>
        <v>134186.54975419998</v>
      </c>
      <c r="D63" s="44"/>
      <c r="E63" s="44">
        <f t="shared" si="14"/>
        <v>-16189.21642086665</v>
      </c>
      <c r="F63" s="44">
        <f t="shared" si="16"/>
        <v>-789130.9810399002</v>
      </c>
      <c r="G63" s="44"/>
      <c r="H63" s="60">
        <f t="shared" si="17"/>
        <v>0.0725</v>
      </c>
      <c r="I63" s="44">
        <f t="shared" si="19"/>
        <v>-4669.856494573328</v>
      </c>
      <c r="J63" s="44">
        <f t="shared" si="20"/>
        <v>-775.1381145846108</v>
      </c>
      <c r="K63" s="44"/>
      <c r="L63" s="44">
        <f t="shared" si="15"/>
        <v>-789906.1191544848</v>
      </c>
    </row>
    <row r="64" spans="1:12" ht="15">
      <c r="A64" s="54" t="s">
        <v>13</v>
      </c>
      <c r="B64" s="43">
        <f>SUM(B52:B63)</f>
        <v>1542611.7499999998</v>
      </c>
      <c r="C64" s="43">
        <f>SUM(C52:C63)</f>
        <v>1993713.5505945</v>
      </c>
      <c r="D64" s="43">
        <f>SUM(D52:D63)</f>
        <v>-77058</v>
      </c>
      <c r="E64" s="43">
        <f>SUM(E52:E63)</f>
        <v>-528159.8005945</v>
      </c>
      <c r="F64" s="43"/>
      <c r="G64" s="43"/>
      <c r="H64" s="45"/>
      <c r="I64" s="43">
        <f>SUM(I52:I63)</f>
        <v>-39993.878568365646</v>
      </c>
      <c r="J64" s="43"/>
      <c r="K64" s="43"/>
      <c r="L64" s="43"/>
    </row>
    <row r="65" spans="1:12" ht="15">
      <c r="A65" s="54"/>
      <c r="B65" s="43"/>
      <c r="C65" s="43"/>
      <c r="D65" s="43"/>
      <c r="E65" s="43"/>
      <c r="F65" s="43"/>
      <c r="G65" s="43"/>
      <c r="H65" s="45"/>
      <c r="I65" s="43"/>
      <c r="J65" s="43"/>
      <c r="K65" s="43"/>
      <c r="L65" s="43"/>
    </row>
    <row r="66" spans="1:12" ht="15">
      <c r="A66" s="54"/>
      <c r="B66" s="43"/>
      <c r="C66" s="43"/>
      <c r="D66" s="43"/>
      <c r="E66" s="43"/>
      <c r="F66" s="43"/>
      <c r="G66" s="43"/>
      <c r="H66" s="45"/>
      <c r="I66" s="43"/>
      <c r="J66" s="43"/>
      <c r="K66" s="43"/>
      <c r="L66" s="43"/>
    </row>
    <row r="67" spans="1:12" ht="18">
      <c r="A67" s="55" t="s">
        <v>0</v>
      </c>
      <c r="B67" s="61">
        <v>2005</v>
      </c>
      <c r="C67" s="43"/>
      <c r="D67" s="43"/>
      <c r="E67" s="43"/>
      <c r="F67" s="43"/>
      <c r="G67" s="43"/>
      <c r="H67" s="45"/>
      <c r="I67" s="43"/>
      <c r="J67" s="43"/>
      <c r="K67" s="43"/>
      <c r="L67" s="43"/>
    </row>
    <row r="68" spans="1:12" ht="15">
      <c r="A68" s="54"/>
      <c r="B68" s="57"/>
      <c r="C68" s="57"/>
      <c r="D68" s="81" t="str">
        <f>$D$5</f>
        <v>SIMPILS True-Up Adjustments    (neg = CR)</v>
      </c>
      <c r="E68" s="82" t="s">
        <v>14</v>
      </c>
      <c r="F68" s="82"/>
      <c r="G68" s="57"/>
      <c r="H68" s="82" t="s">
        <v>15</v>
      </c>
      <c r="I68" s="82"/>
      <c r="J68" s="82"/>
      <c r="K68" s="57"/>
      <c r="L68" s="81" t="s">
        <v>5</v>
      </c>
    </row>
    <row r="69" spans="1:15" ht="26.25">
      <c r="A69" s="54"/>
      <c r="B69" s="58" t="s">
        <v>2</v>
      </c>
      <c r="C69" s="58" t="s">
        <v>3</v>
      </c>
      <c r="D69" s="81"/>
      <c r="E69" s="57" t="s">
        <v>4</v>
      </c>
      <c r="F69" s="57" t="s">
        <v>71</v>
      </c>
      <c r="G69" s="57"/>
      <c r="H69" s="59" t="s">
        <v>6</v>
      </c>
      <c r="I69" s="57" t="s">
        <v>4</v>
      </c>
      <c r="J69" s="57" t="s">
        <v>71</v>
      </c>
      <c r="K69" s="57"/>
      <c r="L69" s="81"/>
      <c r="N69" s="24">
        <v>1569774</v>
      </c>
      <c r="O69" s="24">
        <f>N69/12</f>
        <v>130814.5</v>
      </c>
    </row>
    <row r="70" spans="1:12" ht="15">
      <c r="A70" s="54" t="s">
        <v>7</v>
      </c>
      <c r="B70" s="43">
        <f>B63</f>
        <v>117997.33333333333</v>
      </c>
      <c r="C70" s="43">
        <f>'Second period'!L$36</f>
        <v>152121.71195499998</v>
      </c>
      <c r="D70" s="43"/>
      <c r="E70" s="43">
        <f aca="true" t="shared" si="21" ref="E70:E81">B70-C70+D70</f>
        <v>-34124.37862166665</v>
      </c>
      <c r="F70" s="43">
        <f>F63+E70</f>
        <v>-823255.3596615669</v>
      </c>
      <c r="G70" s="43"/>
      <c r="H70" s="45">
        <f>H63</f>
        <v>0.0725</v>
      </c>
      <c r="I70" s="43">
        <f>H70*F63/12</f>
        <v>-4767.66634378273</v>
      </c>
      <c r="J70" s="43">
        <f>J63+I70</f>
        <v>-5542.804458367341</v>
      </c>
      <c r="K70" s="43"/>
      <c r="L70" s="43">
        <f aca="true" t="shared" si="22" ref="L70:L81">F70+J70</f>
        <v>-828798.1641199342</v>
      </c>
    </row>
    <row r="71" spans="1:12" ht="15">
      <c r="A71" s="54" t="s">
        <v>8</v>
      </c>
      <c r="B71" s="43">
        <f>B63</f>
        <v>117997.33333333333</v>
      </c>
      <c r="C71" s="43">
        <f>'Second period'!M$36</f>
        <v>163932.3068126</v>
      </c>
      <c r="D71" s="43"/>
      <c r="E71" s="43">
        <f t="shared" si="21"/>
        <v>-45934.97347926667</v>
      </c>
      <c r="F71" s="43">
        <f>F70+E71</f>
        <v>-869190.3331408335</v>
      </c>
      <c r="G71" s="43"/>
      <c r="H71" s="45">
        <f>H70</f>
        <v>0.0725</v>
      </c>
      <c r="I71" s="43">
        <f>H71*F70/12</f>
        <v>-4973.834464621967</v>
      </c>
      <c r="J71" s="43">
        <f>I71+J70</f>
        <v>-10516.638922989307</v>
      </c>
      <c r="K71" s="43"/>
      <c r="L71" s="43">
        <f t="shared" si="22"/>
        <v>-879706.9720638228</v>
      </c>
    </row>
    <row r="72" spans="1:12" ht="15">
      <c r="A72" s="54" t="s">
        <v>9</v>
      </c>
      <c r="B72" s="43">
        <f>B63</f>
        <v>117997.33333333333</v>
      </c>
      <c r="C72" s="43">
        <f>'Second period'!N$36+'Third period'!B36</f>
        <v>152781.187194</v>
      </c>
      <c r="D72" s="43"/>
      <c r="E72" s="43">
        <f t="shared" si="21"/>
        <v>-34783.85386066667</v>
      </c>
      <c r="F72" s="43">
        <f aca="true" t="shared" si="23" ref="F72:F81">F71+E72</f>
        <v>-903974.1870015002</v>
      </c>
      <c r="G72" s="43"/>
      <c r="H72" s="45">
        <f aca="true" t="shared" si="24" ref="H72:H81">H71</f>
        <v>0.0725</v>
      </c>
      <c r="I72" s="43">
        <f>H72*F71/12</f>
        <v>-5251.358262725868</v>
      </c>
      <c r="J72" s="43">
        <f>I72+J71</f>
        <v>-15767.997185715176</v>
      </c>
      <c r="K72" s="43"/>
      <c r="L72" s="43">
        <f t="shared" si="22"/>
        <v>-919742.1841872153</v>
      </c>
    </row>
    <row r="73" spans="1:12" ht="15">
      <c r="A73" s="54" t="s">
        <v>16</v>
      </c>
      <c r="B73" s="43">
        <v>130814</v>
      </c>
      <c r="C73" s="43">
        <f>'Second period'!O$36+'Second period'!P36</f>
        <v>183709.97161459998</v>
      </c>
      <c r="D73" s="43"/>
      <c r="E73" s="43">
        <f t="shared" si="21"/>
        <v>-52895.971614599985</v>
      </c>
      <c r="F73" s="43">
        <f t="shared" si="23"/>
        <v>-956870.1586161002</v>
      </c>
      <c r="G73" s="43"/>
      <c r="H73" s="45">
        <f t="shared" si="24"/>
        <v>0.0725</v>
      </c>
      <c r="I73" s="43">
        <f>H73*F72/12</f>
        <v>-5461.510713134063</v>
      </c>
      <c r="J73" s="43">
        <f>I73+J72</f>
        <v>-21229.50789884924</v>
      </c>
      <c r="K73" s="43"/>
      <c r="L73" s="43">
        <f t="shared" si="22"/>
        <v>-978099.6665149494</v>
      </c>
    </row>
    <row r="74" spans="1:12" ht="15">
      <c r="A74" s="54" t="s">
        <v>17</v>
      </c>
      <c r="B74" s="43">
        <f>B73</f>
        <v>130814</v>
      </c>
      <c r="C74" s="43">
        <f>'Third period'!D$36+'Third period'!C36</f>
        <v>104510.74758</v>
      </c>
      <c r="D74" s="43"/>
      <c r="E74" s="43">
        <f t="shared" si="21"/>
        <v>26303.252420000004</v>
      </c>
      <c r="F74" s="43">
        <f t="shared" si="23"/>
        <v>-930566.9061961002</v>
      </c>
      <c r="G74" s="43"/>
      <c r="H74" s="45">
        <f t="shared" si="24"/>
        <v>0.0725</v>
      </c>
      <c r="I74" s="43">
        <f aca="true" t="shared" si="25" ref="I74:I81">H74*F73/12</f>
        <v>-5781.090541638939</v>
      </c>
      <c r="J74" s="43">
        <f aca="true" t="shared" si="26" ref="J74:J81">I74+J73</f>
        <v>-27010.59844048818</v>
      </c>
      <c r="K74" s="43"/>
      <c r="L74" s="43">
        <f t="shared" si="22"/>
        <v>-957577.5046365884</v>
      </c>
    </row>
    <row r="75" spans="1:12" ht="15">
      <c r="A75" s="54" t="s">
        <v>18</v>
      </c>
      <c r="B75" s="43">
        <f aca="true" t="shared" si="27" ref="B75:B80">B74</f>
        <v>130814</v>
      </c>
      <c r="C75" s="43">
        <f>'Third period'!E$36</f>
        <v>126286.12268000001</v>
      </c>
      <c r="D75" s="43"/>
      <c r="E75" s="43">
        <f t="shared" si="21"/>
        <v>4527.877319999985</v>
      </c>
      <c r="F75" s="43">
        <f t="shared" si="23"/>
        <v>-926039.0288761002</v>
      </c>
      <c r="G75" s="43"/>
      <c r="H75" s="45">
        <f t="shared" si="24"/>
        <v>0.0725</v>
      </c>
      <c r="I75" s="43">
        <f t="shared" si="25"/>
        <v>-5622.175058268105</v>
      </c>
      <c r="J75" s="43">
        <f t="shared" si="26"/>
        <v>-32632.773498756284</v>
      </c>
      <c r="K75" s="43"/>
      <c r="L75" s="43">
        <f t="shared" si="22"/>
        <v>-958671.8023748564</v>
      </c>
    </row>
    <row r="76" spans="1:12" ht="15">
      <c r="A76" s="54" t="s">
        <v>19</v>
      </c>
      <c r="B76" s="43">
        <f t="shared" si="27"/>
        <v>130814</v>
      </c>
      <c r="C76" s="43">
        <f>'Third period'!F$36</f>
        <v>155823.42933</v>
      </c>
      <c r="D76" s="43">
        <v>-112507</v>
      </c>
      <c r="E76" s="43">
        <f t="shared" si="21"/>
        <v>-137516.42933</v>
      </c>
      <c r="F76" s="43">
        <f t="shared" si="23"/>
        <v>-1063555.4582061002</v>
      </c>
      <c r="G76" s="43"/>
      <c r="H76" s="45">
        <f t="shared" si="24"/>
        <v>0.0725</v>
      </c>
      <c r="I76" s="43">
        <f t="shared" si="25"/>
        <v>-5594.819132793105</v>
      </c>
      <c r="J76" s="43">
        <f t="shared" si="26"/>
        <v>-38227.592631549385</v>
      </c>
      <c r="K76" s="43"/>
      <c r="L76" s="43">
        <f t="shared" si="22"/>
        <v>-1101783.0508376495</v>
      </c>
    </row>
    <row r="77" spans="1:12" ht="15">
      <c r="A77" s="54" t="s">
        <v>20</v>
      </c>
      <c r="B77" s="43">
        <f t="shared" si="27"/>
        <v>130814</v>
      </c>
      <c r="C77" s="43">
        <f>'Third period'!G$36</f>
        <v>178328.90622</v>
      </c>
      <c r="D77" s="43"/>
      <c r="E77" s="43">
        <f t="shared" si="21"/>
        <v>-47514.906220000004</v>
      </c>
      <c r="F77" s="43">
        <f t="shared" si="23"/>
        <v>-1111070.3644261002</v>
      </c>
      <c r="G77" s="43"/>
      <c r="H77" s="45">
        <f t="shared" si="24"/>
        <v>0.0725</v>
      </c>
      <c r="I77" s="43">
        <f t="shared" si="25"/>
        <v>-6425.647559995188</v>
      </c>
      <c r="J77" s="43">
        <f t="shared" si="26"/>
        <v>-44653.24019154457</v>
      </c>
      <c r="K77" s="43"/>
      <c r="L77" s="43">
        <f t="shared" si="22"/>
        <v>-1155723.6046176448</v>
      </c>
    </row>
    <row r="78" spans="1:12" ht="15">
      <c r="A78" s="54" t="s">
        <v>21</v>
      </c>
      <c r="B78" s="43">
        <f t="shared" si="27"/>
        <v>130814</v>
      </c>
      <c r="C78" s="43">
        <f>'Third period'!H$36</f>
        <v>162053.27691000002</v>
      </c>
      <c r="D78" s="43"/>
      <c r="E78" s="43">
        <f t="shared" si="21"/>
        <v>-31239.276910000015</v>
      </c>
      <c r="F78" s="43">
        <f t="shared" si="23"/>
        <v>-1142309.6413361002</v>
      </c>
      <c r="G78" s="43"/>
      <c r="H78" s="45">
        <f t="shared" si="24"/>
        <v>0.0725</v>
      </c>
      <c r="I78" s="43">
        <f t="shared" si="25"/>
        <v>-6712.716785074354</v>
      </c>
      <c r="J78" s="43">
        <f t="shared" si="26"/>
        <v>-51365.95697661893</v>
      </c>
      <c r="K78" s="43"/>
      <c r="L78" s="43">
        <f t="shared" si="22"/>
        <v>-1193675.598312719</v>
      </c>
    </row>
    <row r="79" spans="1:12" ht="15">
      <c r="A79" s="54" t="s">
        <v>10</v>
      </c>
      <c r="B79" s="43">
        <f t="shared" si="27"/>
        <v>130814</v>
      </c>
      <c r="C79" s="43">
        <f>'Third period'!I$36</f>
        <v>140319.31886</v>
      </c>
      <c r="D79" s="43"/>
      <c r="E79" s="43">
        <f t="shared" si="21"/>
        <v>-9505.31886</v>
      </c>
      <c r="F79" s="43">
        <f t="shared" si="23"/>
        <v>-1151814.9601961002</v>
      </c>
      <c r="G79" s="43"/>
      <c r="H79" s="45">
        <f t="shared" si="24"/>
        <v>0.0725</v>
      </c>
      <c r="I79" s="43">
        <f t="shared" si="25"/>
        <v>-6901.454083072272</v>
      </c>
      <c r="J79" s="43">
        <f t="shared" si="26"/>
        <v>-58267.4110596912</v>
      </c>
      <c r="K79" s="43"/>
      <c r="L79" s="43">
        <f t="shared" si="22"/>
        <v>-1210082.3712557913</v>
      </c>
    </row>
    <row r="80" spans="1:12" ht="15">
      <c r="A80" s="54" t="s">
        <v>11</v>
      </c>
      <c r="B80" s="43">
        <f t="shared" si="27"/>
        <v>130814</v>
      </c>
      <c r="C80" s="43">
        <f>'Third period'!J$36</f>
        <v>128798.29036999999</v>
      </c>
      <c r="D80" s="43"/>
      <c r="E80" s="43">
        <f t="shared" si="21"/>
        <v>2015.709630000012</v>
      </c>
      <c r="F80" s="43">
        <f t="shared" si="23"/>
        <v>-1149799.2505661002</v>
      </c>
      <c r="G80" s="43"/>
      <c r="H80" s="45">
        <f t="shared" si="24"/>
        <v>0.0725</v>
      </c>
      <c r="I80" s="43">
        <f t="shared" si="25"/>
        <v>-6958.882051184771</v>
      </c>
      <c r="J80" s="43">
        <f t="shared" si="26"/>
        <v>-65226.29311087597</v>
      </c>
      <c r="K80" s="43"/>
      <c r="L80" s="43">
        <f t="shared" si="22"/>
        <v>-1215025.543676976</v>
      </c>
    </row>
    <row r="81" spans="1:12" ht="15">
      <c r="A81" s="54" t="s">
        <v>12</v>
      </c>
      <c r="B81" s="44">
        <f>B80+5</f>
        <v>130819</v>
      </c>
      <c r="C81" s="44">
        <f>'Third period'!K$36</f>
        <v>133270.75154</v>
      </c>
      <c r="D81" s="44"/>
      <c r="E81" s="44">
        <f t="shared" si="21"/>
        <v>-2451.7515399999975</v>
      </c>
      <c r="F81" s="44">
        <f t="shared" si="23"/>
        <v>-1152251.0021061003</v>
      </c>
      <c r="G81" s="44"/>
      <c r="H81" s="60">
        <f t="shared" si="24"/>
        <v>0.0725</v>
      </c>
      <c r="I81" s="44">
        <f t="shared" si="25"/>
        <v>-6946.703805503522</v>
      </c>
      <c r="J81" s="44">
        <f t="shared" si="26"/>
        <v>-72172.99691637949</v>
      </c>
      <c r="K81" s="44"/>
      <c r="L81" s="44">
        <f t="shared" si="22"/>
        <v>-1224423.9990224799</v>
      </c>
    </row>
    <row r="82" spans="1:12" ht="15">
      <c r="A82" s="54" t="s">
        <v>13</v>
      </c>
      <c r="B82" s="43">
        <f>SUM(B70:B81)</f>
        <v>1531323</v>
      </c>
      <c r="C82" s="43">
        <f>SUM(C70:C81)</f>
        <v>1781936.0210662</v>
      </c>
      <c r="D82" s="43">
        <f>SUM(D70:D81)</f>
        <v>-112507</v>
      </c>
      <c r="E82" s="43">
        <f>SUM(E70:E81)</f>
        <v>-363120.0210662</v>
      </c>
      <c r="F82" s="43"/>
      <c r="G82" s="43"/>
      <c r="H82" s="45"/>
      <c r="I82" s="43">
        <f>SUM(I70:I81)</f>
        <v>-71397.85880179488</v>
      </c>
      <c r="J82" s="43"/>
      <c r="K82" s="43"/>
      <c r="L82" s="43"/>
    </row>
    <row r="83" spans="1:12" ht="15">
      <c r="A83" s="54"/>
      <c r="B83" s="43"/>
      <c r="C83" s="43"/>
      <c r="D83" s="43"/>
      <c r="E83" s="43"/>
      <c r="F83" s="43"/>
      <c r="G83" s="43"/>
      <c r="H83" s="45"/>
      <c r="I83" s="43"/>
      <c r="J83" s="43"/>
      <c r="K83" s="43"/>
      <c r="L83" s="43"/>
    </row>
    <row r="84" spans="1:12" ht="15">
      <c r="A84" s="54"/>
      <c r="B84" s="43"/>
      <c r="C84" s="43"/>
      <c r="D84" s="43"/>
      <c r="E84" s="43"/>
      <c r="F84" s="43"/>
      <c r="G84" s="43"/>
      <c r="H84" s="45"/>
      <c r="I84" s="43"/>
      <c r="J84" s="43"/>
      <c r="K84" s="43"/>
      <c r="L84" s="43"/>
    </row>
    <row r="85" spans="1:12" ht="18">
      <c r="A85" s="55" t="s">
        <v>0</v>
      </c>
      <c r="B85" s="61">
        <v>2006</v>
      </c>
      <c r="C85" s="43"/>
      <c r="D85" s="43"/>
      <c r="E85" s="43"/>
      <c r="F85" s="43"/>
      <c r="G85" s="43"/>
      <c r="H85" s="45"/>
      <c r="I85" s="43"/>
      <c r="J85" s="43"/>
      <c r="K85" s="43"/>
      <c r="L85" s="43"/>
    </row>
    <row r="86" spans="1:12" ht="15">
      <c r="A86" s="54"/>
      <c r="B86" s="57"/>
      <c r="C86" s="57"/>
      <c r="D86" s="81" t="str">
        <f>$D$5</f>
        <v>SIMPILS True-Up Adjustments    (neg = CR)</v>
      </c>
      <c r="E86" s="82" t="s">
        <v>14</v>
      </c>
      <c r="F86" s="82"/>
      <c r="G86" s="57"/>
      <c r="H86" s="82" t="s">
        <v>15</v>
      </c>
      <c r="I86" s="82"/>
      <c r="J86" s="82"/>
      <c r="K86" s="57"/>
      <c r="L86" s="81" t="s">
        <v>5</v>
      </c>
    </row>
    <row r="87" spans="1:12" ht="26.25">
      <c r="A87" s="54"/>
      <c r="B87" s="58" t="s">
        <v>2</v>
      </c>
      <c r="C87" s="58" t="s">
        <v>3</v>
      </c>
      <c r="D87" s="81"/>
      <c r="E87" s="57" t="s">
        <v>4</v>
      </c>
      <c r="F87" s="57" t="s">
        <v>71</v>
      </c>
      <c r="G87" s="57"/>
      <c r="H87" s="59" t="s">
        <v>6</v>
      </c>
      <c r="I87" s="57" t="s">
        <v>4</v>
      </c>
      <c r="J87" s="57" t="s">
        <v>71</v>
      </c>
      <c r="K87" s="57"/>
      <c r="L87" s="81"/>
    </row>
    <row r="88" spans="1:12" ht="15">
      <c r="A88" s="54" t="s">
        <v>7</v>
      </c>
      <c r="B88" s="43">
        <f>B81</f>
        <v>130819</v>
      </c>
      <c r="C88" s="43">
        <f>'Third period'!L$36</f>
        <v>144460.24831</v>
      </c>
      <c r="D88" s="43"/>
      <c r="E88" s="43">
        <f aca="true" t="shared" si="28" ref="E88:E99">B88-C88+D88</f>
        <v>-13641.248309999995</v>
      </c>
      <c r="F88" s="43">
        <f>F81+E88</f>
        <v>-1165892.2504161003</v>
      </c>
      <c r="G88" s="43"/>
      <c r="H88" s="45">
        <f>H81</f>
        <v>0.0725</v>
      </c>
      <c r="I88" s="43">
        <f>H88*F81/12</f>
        <v>-6961.516471057689</v>
      </c>
      <c r="J88" s="43">
        <f>J81+I88</f>
        <v>-79134.51338743718</v>
      </c>
      <c r="K88" s="43"/>
      <c r="L88" s="43">
        <f aca="true" t="shared" si="29" ref="L88:L99">F88+J88</f>
        <v>-1245026.7638035375</v>
      </c>
    </row>
    <row r="89" spans="1:12" ht="15">
      <c r="A89" s="54" t="s">
        <v>8</v>
      </c>
      <c r="B89" s="43">
        <f>B88</f>
        <v>130819</v>
      </c>
      <c r="C89" s="43">
        <f>'Third period'!M$36</f>
        <v>144980.15317</v>
      </c>
      <c r="D89" s="43"/>
      <c r="E89" s="43">
        <f t="shared" si="28"/>
        <v>-14161.153170000005</v>
      </c>
      <c r="F89" s="43">
        <f>F88+E89</f>
        <v>-1180053.4035861003</v>
      </c>
      <c r="G89" s="43"/>
      <c r="H89" s="45">
        <f>H88</f>
        <v>0.0725</v>
      </c>
      <c r="I89" s="43">
        <f>H89*F88/12</f>
        <v>-7043.932346263938</v>
      </c>
      <c r="J89" s="43">
        <f>I89+J88</f>
        <v>-86178.44573370113</v>
      </c>
      <c r="K89" s="43"/>
      <c r="L89" s="43">
        <f t="shared" si="29"/>
        <v>-1266231.8493198014</v>
      </c>
    </row>
    <row r="90" spans="1:12" ht="15">
      <c r="A90" s="54" t="s">
        <v>9</v>
      </c>
      <c r="B90" s="43">
        <f>B89</f>
        <v>130819</v>
      </c>
      <c r="C90" s="43">
        <f>'Third period'!N$36</f>
        <v>136173.67381</v>
      </c>
      <c r="D90" s="43"/>
      <c r="E90" s="43">
        <f t="shared" si="28"/>
        <v>-5354.6738100000075</v>
      </c>
      <c r="F90" s="43">
        <f aca="true" t="shared" si="30" ref="F90:F99">F89+E90</f>
        <v>-1185408.0773961004</v>
      </c>
      <c r="G90" s="43"/>
      <c r="H90" s="45">
        <f aca="true" t="shared" si="31" ref="H90:H99">H89</f>
        <v>0.0725</v>
      </c>
      <c r="I90" s="43">
        <f>H90*F89/12</f>
        <v>-7129.489313332689</v>
      </c>
      <c r="J90" s="43">
        <f>I90+J89</f>
        <v>-93307.93504703381</v>
      </c>
      <c r="K90" s="43"/>
      <c r="L90" s="43">
        <f t="shared" si="29"/>
        <v>-1278716.012443134</v>
      </c>
    </row>
    <row r="91" spans="1:12" ht="15">
      <c r="A91" s="54" t="s">
        <v>16</v>
      </c>
      <c r="B91" s="43">
        <f>B90+2-10-10</f>
        <v>130801</v>
      </c>
      <c r="C91" s="43">
        <f>'Third period'!O$36</f>
        <v>130377.68200999999</v>
      </c>
      <c r="D91" s="43"/>
      <c r="E91" s="43">
        <f t="shared" si="28"/>
        <v>423.31799000001047</v>
      </c>
      <c r="F91" s="43">
        <f t="shared" si="30"/>
        <v>-1184984.7594061005</v>
      </c>
      <c r="G91" s="43"/>
      <c r="H91" s="45">
        <f>H90</f>
        <v>0.0725</v>
      </c>
      <c r="I91" s="43">
        <f>H91*F90/12</f>
        <v>-7161.84046760144</v>
      </c>
      <c r="J91" s="43">
        <f>I91+J90</f>
        <v>-100469.77551463526</v>
      </c>
      <c r="K91" s="43"/>
      <c r="L91" s="43">
        <f t="shared" si="29"/>
        <v>-1285454.5349207358</v>
      </c>
    </row>
    <row r="92" spans="1:12" ht="15">
      <c r="A92" s="54" t="s">
        <v>17</v>
      </c>
      <c r="B92" s="43"/>
      <c r="C92" s="43">
        <f>'Third period'!P36</f>
        <v>131129.51444</v>
      </c>
      <c r="D92" s="43"/>
      <c r="E92" s="43">
        <f t="shared" si="28"/>
        <v>-131129.51444</v>
      </c>
      <c r="F92" s="43">
        <f t="shared" si="30"/>
        <v>-1316114.2738461006</v>
      </c>
      <c r="G92" s="43"/>
      <c r="H92" s="45">
        <v>0.0414</v>
      </c>
      <c r="I92" s="43">
        <f aca="true" t="shared" si="32" ref="I92:I99">H92*F91/12</f>
        <v>-4088.1974199510464</v>
      </c>
      <c r="J92" s="43">
        <f aca="true" t="shared" si="33" ref="J92:J99">I92+J91</f>
        <v>-104557.9729345863</v>
      </c>
      <c r="K92" s="43"/>
      <c r="L92" s="43">
        <f t="shared" si="29"/>
        <v>-1420672.2467806868</v>
      </c>
    </row>
    <row r="93" spans="1:12" ht="15">
      <c r="A93" s="54" t="s">
        <v>18</v>
      </c>
      <c r="B93" s="43"/>
      <c r="C93" s="43"/>
      <c r="D93" s="43"/>
      <c r="E93" s="43">
        <f t="shared" si="28"/>
        <v>0</v>
      </c>
      <c r="F93" s="43">
        <f t="shared" si="30"/>
        <v>-1316114.2738461006</v>
      </c>
      <c r="G93" s="43"/>
      <c r="H93" s="45">
        <f t="shared" si="31"/>
        <v>0.0414</v>
      </c>
      <c r="I93" s="43">
        <f t="shared" si="32"/>
        <v>-4540.594244769047</v>
      </c>
      <c r="J93" s="43">
        <f t="shared" si="33"/>
        <v>-109098.56717935535</v>
      </c>
      <c r="K93" s="43"/>
      <c r="L93" s="43">
        <f t="shared" si="29"/>
        <v>-1425212.8410254559</v>
      </c>
    </row>
    <row r="94" spans="1:12" ht="15">
      <c r="A94" s="54" t="s">
        <v>19</v>
      </c>
      <c r="B94" s="43"/>
      <c r="C94" s="43"/>
      <c r="D94" s="43">
        <v>55347</v>
      </c>
      <c r="E94" s="43">
        <f t="shared" si="28"/>
        <v>55347</v>
      </c>
      <c r="F94" s="43">
        <f t="shared" si="30"/>
        <v>-1260767.2738461006</v>
      </c>
      <c r="G94" s="43"/>
      <c r="H94" s="45">
        <v>0.0459</v>
      </c>
      <c r="I94" s="43">
        <f t="shared" si="32"/>
        <v>-5034.1370974613355</v>
      </c>
      <c r="J94" s="43">
        <f t="shared" si="33"/>
        <v>-114132.70427681669</v>
      </c>
      <c r="K94" s="43"/>
      <c r="L94" s="43">
        <f t="shared" si="29"/>
        <v>-1374899.9781229172</v>
      </c>
    </row>
    <row r="95" spans="1:12" ht="15">
      <c r="A95" s="54" t="s">
        <v>20</v>
      </c>
      <c r="B95" s="43"/>
      <c r="C95" s="43"/>
      <c r="D95" s="43"/>
      <c r="E95" s="43">
        <f t="shared" si="28"/>
        <v>0</v>
      </c>
      <c r="F95" s="43">
        <f t="shared" si="30"/>
        <v>-1260767.2738461006</v>
      </c>
      <c r="G95" s="43"/>
      <c r="H95" s="45">
        <f t="shared" si="31"/>
        <v>0.0459</v>
      </c>
      <c r="I95" s="43">
        <f t="shared" si="32"/>
        <v>-4822.434822461335</v>
      </c>
      <c r="J95" s="43">
        <f t="shared" si="33"/>
        <v>-118955.13909927802</v>
      </c>
      <c r="K95" s="43"/>
      <c r="L95" s="43">
        <f t="shared" si="29"/>
        <v>-1379722.4129453786</v>
      </c>
    </row>
    <row r="96" spans="1:12" ht="15">
      <c r="A96" s="54" t="s">
        <v>21</v>
      </c>
      <c r="B96" s="43"/>
      <c r="C96" s="43"/>
      <c r="D96" s="43"/>
      <c r="E96" s="43">
        <f t="shared" si="28"/>
        <v>0</v>
      </c>
      <c r="F96" s="43">
        <f t="shared" si="30"/>
        <v>-1260767.2738461006</v>
      </c>
      <c r="G96" s="43"/>
      <c r="H96" s="45">
        <f t="shared" si="31"/>
        <v>0.0459</v>
      </c>
      <c r="I96" s="43">
        <f t="shared" si="32"/>
        <v>-4822.434822461335</v>
      </c>
      <c r="J96" s="43">
        <f t="shared" si="33"/>
        <v>-123777.57392173936</v>
      </c>
      <c r="K96" s="43"/>
      <c r="L96" s="43">
        <f t="shared" si="29"/>
        <v>-1384544.84776784</v>
      </c>
    </row>
    <row r="97" spans="1:12" ht="15">
      <c r="A97" s="54" t="s">
        <v>10</v>
      </c>
      <c r="B97" s="43"/>
      <c r="C97" s="43"/>
      <c r="D97" s="43"/>
      <c r="E97" s="43">
        <f t="shared" si="28"/>
        <v>0</v>
      </c>
      <c r="F97" s="43">
        <f t="shared" si="30"/>
        <v>-1260767.2738461006</v>
      </c>
      <c r="G97" s="43"/>
      <c r="H97" s="45">
        <f t="shared" si="31"/>
        <v>0.0459</v>
      </c>
      <c r="I97" s="43">
        <f t="shared" si="32"/>
        <v>-4822.434822461335</v>
      </c>
      <c r="J97" s="43">
        <f t="shared" si="33"/>
        <v>-128600.00874420069</v>
      </c>
      <c r="K97" s="43"/>
      <c r="L97" s="43">
        <f t="shared" si="29"/>
        <v>-1389367.2825903012</v>
      </c>
    </row>
    <row r="98" spans="1:12" ht="15">
      <c r="A98" s="54" t="s">
        <v>11</v>
      </c>
      <c r="B98" s="43"/>
      <c r="C98" s="43"/>
      <c r="D98" s="43"/>
      <c r="E98" s="43">
        <f t="shared" si="28"/>
        <v>0</v>
      </c>
      <c r="F98" s="43">
        <f t="shared" si="30"/>
        <v>-1260767.2738461006</v>
      </c>
      <c r="G98" s="43"/>
      <c r="H98" s="45">
        <f t="shared" si="31"/>
        <v>0.0459</v>
      </c>
      <c r="I98" s="43">
        <f t="shared" si="32"/>
        <v>-4822.434822461335</v>
      </c>
      <c r="J98" s="43">
        <f t="shared" si="33"/>
        <v>-133422.44356666203</v>
      </c>
      <c r="K98" s="43"/>
      <c r="L98" s="43">
        <f t="shared" si="29"/>
        <v>-1394189.7174127626</v>
      </c>
    </row>
    <row r="99" spans="1:12" ht="15">
      <c r="A99" s="54" t="s">
        <v>12</v>
      </c>
      <c r="B99" s="44"/>
      <c r="C99" s="44"/>
      <c r="D99" s="44"/>
      <c r="E99" s="44">
        <f t="shared" si="28"/>
        <v>0</v>
      </c>
      <c r="F99" s="44">
        <f t="shared" si="30"/>
        <v>-1260767.2738461006</v>
      </c>
      <c r="G99" s="44"/>
      <c r="H99" s="60">
        <f t="shared" si="31"/>
        <v>0.0459</v>
      </c>
      <c r="I99" s="44">
        <f t="shared" si="32"/>
        <v>-4822.434822461335</v>
      </c>
      <c r="J99" s="44">
        <f t="shared" si="33"/>
        <v>-138244.87838912336</v>
      </c>
      <c r="K99" s="44"/>
      <c r="L99" s="44">
        <f t="shared" si="29"/>
        <v>-1399012.152235224</v>
      </c>
    </row>
    <row r="100" spans="1:14" ht="15">
      <c r="A100" s="54" t="s">
        <v>13</v>
      </c>
      <c r="B100" s="43">
        <f>SUM(B88:B99)</f>
        <v>523258</v>
      </c>
      <c r="C100" s="43">
        <f>SUM(C88:C99)</f>
        <v>687121.27174</v>
      </c>
      <c r="D100" s="43">
        <f>SUM(D88:D99)</f>
        <v>55347</v>
      </c>
      <c r="E100" s="43">
        <f>SUM(E88:E99)</f>
        <v>-108516.27174</v>
      </c>
      <c r="F100" s="43"/>
      <c r="G100" s="43"/>
      <c r="H100" s="45"/>
      <c r="I100" s="43">
        <f>SUM(I88:I99)</f>
        <v>-66071.88147274386</v>
      </c>
      <c r="J100" s="43"/>
      <c r="K100" s="43"/>
      <c r="L100" s="43"/>
      <c r="N100" s="7"/>
    </row>
    <row r="101" spans="1:12" ht="30" customHeight="1">
      <c r="A101" s="62"/>
      <c r="B101" s="43"/>
      <c r="C101" s="43"/>
      <c r="D101" s="43"/>
      <c r="E101" s="43"/>
      <c r="F101" s="43"/>
      <c r="G101" s="43"/>
      <c r="H101" s="45"/>
      <c r="I101" s="43"/>
      <c r="J101" s="43"/>
      <c r="K101" s="43"/>
      <c r="L101" s="43"/>
    </row>
    <row r="102" spans="1:12" ht="15">
      <c r="A102" s="54"/>
      <c r="B102" s="43"/>
      <c r="C102" s="43"/>
      <c r="D102" s="43"/>
      <c r="E102" s="43"/>
      <c r="F102" s="43"/>
      <c r="G102" s="43"/>
      <c r="H102" s="45"/>
      <c r="I102" s="43"/>
      <c r="J102" s="43"/>
      <c r="K102" s="43"/>
      <c r="L102" s="43"/>
    </row>
    <row r="103" spans="1:12" ht="18">
      <c r="A103" s="55" t="s">
        <v>0</v>
      </c>
      <c r="B103" s="61">
        <v>2007</v>
      </c>
      <c r="C103" s="43"/>
      <c r="D103" s="43"/>
      <c r="E103" s="43"/>
      <c r="F103" s="43"/>
      <c r="G103" s="43"/>
      <c r="H103" s="45"/>
      <c r="I103" s="43"/>
      <c r="J103" s="43"/>
      <c r="K103" s="43"/>
      <c r="L103" s="43"/>
    </row>
    <row r="104" spans="1:12" ht="15">
      <c r="A104" s="54"/>
      <c r="B104" s="57"/>
      <c r="C104" s="57"/>
      <c r="D104" s="81" t="str">
        <f>$D$5</f>
        <v>SIMPILS True-Up Adjustments    (neg = CR)</v>
      </c>
      <c r="E104" s="82" t="s">
        <v>14</v>
      </c>
      <c r="F104" s="82"/>
      <c r="G104" s="57"/>
      <c r="H104" s="82" t="s">
        <v>15</v>
      </c>
      <c r="I104" s="82"/>
      <c r="J104" s="82"/>
      <c r="K104" s="57"/>
      <c r="L104" s="81" t="s">
        <v>5</v>
      </c>
    </row>
    <row r="105" spans="1:12" ht="26.25">
      <c r="A105" s="54"/>
      <c r="B105" s="58" t="s">
        <v>2</v>
      </c>
      <c r="C105" s="58" t="s">
        <v>3</v>
      </c>
      <c r="D105" s="81"/>
      <c r="E105" s="57" t="s">
        <v>4</v>
      </c>
      <c r="F105" s="57" t="s">
        <v>71</v>
      </c>
      <c r="G105" s="57"/>
      <c r="H105" s="59" t="s">
        <v>6</v>
      </c>
      <c r="I105" s="57" t="s">
        <v>4</v>
      </c>
      <c r="J105" s="57" t="s">
        <v>71</v>
      </c>
      <c r="K105" s="57"/>
      <c r="L105" s="81"/>
    </row>
    <row r="106" spans="1:12" ht="15">
      <c r="A106" s="54" t="s">
        <v>7</v>
      </c>
      <c r="B106" s="43"/>
      <c r="C106" s="43"/>
      <c r="D106" s="43"/>
      <c r="E106" s="43">
        <f aca="true" t="shared" si="34" ref="E106:E117">B106-C106+D106</f>
        <v>0</v>
      </c>
      <c r="F106" s="43">
        <f>F99+E106</f>
        <v>-1260767.2738461006</v>
      </c>
      <c r="G106" s="43"/>
      <c r="H106" s="45">
        <f>H99</f>
        <v>0.0459</v>
      </c>
      <c r="I106" s="43">
        <f>H106*F99/12</f>
        <v>-4822.434822461335</v>
      </c>
      <c r="J106" s="43">
        <f>J99+I106</f>
        <v>-143067.3132115847</v>
      </c>
      <c r="K106" s="43"/>
      <c r="L106" s="43">
        <f aca="true" t="shared" si="35" ref="L106:L117">F106+J106</f>
        <v>-1403834.5870576852</v>
      </c>
    </row>
    <row r="107" spans="1:12" ht="15">
      <c r="A107" s="54" t="s">
        <v>8</v>
      </c>
      <c r="B107" s="43"/>
      <c r="C107" s="43"/>
      <c r="D107" s="43"/>
      <c r="E107" s="43">
        <f t="shared" si="34"/>
        <v>0</v>
      </c>
      <c r="F107" s="43">
        <f>F106+E107</f>
        <v>-1260767.2738461006</v>
      </c>
      <c r="G107" s="43"/>
      <c r="H107" s="45">
        <f>H106</f>
        <v>0.0459</v>
      </c>
      <c r="I107" s="43">
        <f>H107*F106/12</f>
        <v>-4822.434822461335</v>
      </c>
      <c r="J107" s="43">
        <f>I107+J106</f>
        <v>-147889.74803404603</v>
      </c>
      <c r="K107" s="43"/>
      <c r="L107" s="43">
        <f t="shared" si="35"/>
        <v>-1408657.0218801466</v>
      </c>
    </row>
    <row r="108" spans="1:12" ht="15">
      <c r="A108" s="54" t="s">
        <v>9</v>
      </c>
      <c r="B108" s="43"/>
      <c r="C108" s="43"/>
      <c r="D108" s="43"/>
      <c r="E108" s="43">
        <f t="shared" si="34"/>
        <v>0</v>
      </c>
      <c r="F108" s="43">
        <f aca="true" t="shared" si="36" ref="F108:F117">F107+E108</f>
        <v>-1260767.2738461006</v>
      </c>
      <c r="G108" s="43"/>
      <c r="H108" s="45">
        <f aca="true" t="shared" si="37" ref="H108:H117">H107</f>
        <v>0.0459</v>
      </c>
      <c r="I108" s="43">
        <f>H108*F107/12</f>
        <v>-4822.434822461335</v>
      </c>
      <c r="J108" s="43">
        <f>I108+J107</f>
        <v>-152712.18285650737</v>
      </c>
      <c r="K108" s="43"/>
      <c r="L108" s="43">
        <f t="shared" si="35"/>
        <v>-1413479.456702608</v>
      </c>
    </row>
    <row r="109" spans="1:12" ht="15">
      <c r="A109" s="54" t="s">
        <v>16</v>
      </c>
      <c r="B109" s="43"/>
      <c r="C109" s="43"/>
      <c r="D109" s="43"/>
      <c r="E109" s="43">
        <f t="shared" si="34"/>
        <v>0</v>
      </c>
      <c r="F109" s="43">
        <f t="shared" si="36"/>
        <v>-1260767.2738461006</v>
      </c>
      <c r="G109" s="43"/>
      <c r="H109" s="45">
        <f t="shared" si="37"/>
        <v>0.0459</v>
      </c>
      <c r="I109" s="43">
        <f>H109*F108/12</f>
        <v>-4822.434822461335</v>
      </c>
      <c r="J109" s="43">
        <f>I109+J108</f>
        <v>-157534.6176789687</v>
      </c>
      <c r="K109" s="43"/>
      <c r="L109" s="43">
        <f t="shared" si="35"/>
        <v>-1418301.8915250693</v>
      </c>
    </row>
    <row r="110" spans="1:12" ht="15">
      <c r="A110" s="54" t="s">
        <v>17</v>
      </c>
      <c r="B110" s="43"/>
      <c r="C110" s="43"/>
      <c r="D110" s="43"/>
      <c r="E110" s="43">
        <f t="shared" si="34"/>
        <v>0</v>
      </c>
      <c r="F110" s="43">
        <f t="shared" si="36"/>
        <v>-1260767.2738461006</v>
      </c>
      <c r="G110" s="43"/>
      <c r="H110" s="45">
        <f t="shared" si="37"/>
        <v>0.0459</v>
      </c>
      <c r="I110" s="43">
        <f aca="true" t="shared" si="38" ref="I110:I117">H110*F109/12</f>
        <v>-4822.434822461335</v>
      </c>
      <c r="J110" s="43">
        <f aca="true" t="shared" si="39" ref="J110:J117">I110+J109</f>
        <v>-162357.05250143004</v>
      </c>
      <c r="K110" s="43"/>
      <c r="L110" s="43">
        <f t="shared" si="35"/>
        <v>-1423124.3263475306</v>
      </c>
    </row>
    <row r="111" spans="1:12" ht="15">
      <c r="A111" s="54" t="s">
        <v>18</v>
      </c>
      <c r="B111" s="43"/>
      <c r="C111" s="43"/>
      <c r="D111" s="43"/>
      <c r="E111" s="43">
        <f t="shared" si="34"/>
        <v>0</v>
      </c>
      <c r="F111" s="43">
        <f t="shared" si="36"/>
        <v>-1260767.2738461006</v>
      </c>
      <c r="G111" s="43"/>
      <c r="H111" s="45">
        <f t="shared" si="37"/>
        <v>0.0459</v>
      </c>
      <c r="I111" s="43">
        <f t="shared" si="38"/>
        <v>-4822.434822461335</v>
      </c>
      <c r="J111" s="43">
        <f t="shared" si="39"/>
        <v>-167179.48732389137</v>
      </c>
      <c r="K111" s="43"/>
      <c r="L111" s="43">
        <f t="shared" si="35"/>
        <v>-1427946.761169992</v>
      </c>
    </row>
    <row r="112" spans="1:12" ht="15">
      <c r="A112" s="54" t="s">
        <v>19</v>
      </c>
      <c r="B112" s="43"/>
      <c r="C112" s="43"/>
      <c r="D112" s="43"/>
      <c r="E112" s="43">
        <f t="shared" si="34"/>
        <v>0</v>
      </c>
      <c r="F112" s="43">
        <f t="shared" si="36"/>
        <v>-1260767.2738461006</v>
      </c>
      <c r="G112" s="43"/>
      <c r="H112" s="45">
        <f t="shared" si="37"/>
        <v>0.0459</v>
      </c>
      <c r="I112" s="43">
        <f t="shared" si="38"/>
        <v>-4822.434822461335</v>
      </c>
      <c r="J112" s="43">
        <f t="shared" si="39"/>
        <v>-172001.9221463527</v>
      </c>
      <c r="K112" s="43"/>
      <c r="L112" s="43">
        <f t="shared" si="35"/>
        <v>-1432769.1959924533</v>
      </c>
    </row>
    <row r="113" spans="1:12" ht="15">
      <c r="A113" s="54" t="s">
        <v>20</v>
      </c>
      <c r="B113" s="43"/>
      <c r="C113" s="43"/>
      <c r="D113" s="43"/>
      <c r="E113" s="43">
        <f t="shared" si="34"/>
        <v>0</v>
      </c>
      <c r="F113" s="43">
        <f t="shared" si="36"/>
        <v>-1260767.2738461006</v>
      </c>
      <c r="G113" s="43"/>
      <c r="H113" s="45">
        <f t="shared" si="37"/>
        <v>0.0459</v>
      </c>
      <c r="I113" s="43">
        <f t="shared" si="38"/>
        <v>-4822.434822461335</v>
      </c>
      <c r="J113" s="43">
        <f t="shared" si="39"/>
        <v>-176824.35696881404</v>
      </c>
      <c r="K113" s="43"/>
      <c r="L113" s="43">
        <f t="shared" si="35"/>
        <v>-1437591.6308149146</v>
      </c>
    </row>
    <row r="114" spans="1:12" ht="15">
      <c r="A114" s="54" t="s">
        <v>21</v>
      </c>
      <c r="B114" s="43"/>
      <c r="C114" s="43"/>
      <c r="D114" s="43"/>
      <c r="E114" s="43">
        <f t="shared" si="34"/>
        <v>0</v>
      </c>
      <c r="F114" s="43">
        <f t="shared" si="36"/>
        <v>-1260767.2738461006</v>
      </c>
      <c r="G114" s="43"/>
      <c r="H114" s="45">
        <f t="shared" si="37"/>
        <v>0.0459</v>
      </c>
      <c r="I114" s="43">
        <f t="shared" si="38"/>
        <v>-4822.434822461335</v>
      </c>
      <c r="J114" s="43">
        <f t="shared" si="39"/>
        <v>-181646.79179127538</v>
      </c>
      <c r="K114" s="43"/>
      <c r="L114" s="43">
        <f t="shared" si="35"/>
        <v>-1442414.065637376</v>
      </c>
    </row>
    <row r="115" spans="1:12" ht="15">
      <c r="A115" s="54" t="s">
        <v>10</v>
      </c>
      <c r="B115" s="43"/>
      <c r="C115" s="43"/>
      <c r="D115" s="43"/>
      <c r="E115" s="43">
        <f t="shared" si="34"/>
        <v>0</v>
      </c>
      <c r="F115" s="43">
        <f t="shared" si="36"/>
        <v>-1260767.2738461006</v>
      </c>
      <c r="G115" s="43"/>
      <c r="H115" s="45">
        <v>0.0514</v>
      </c>
      <c r="I115" s="43">
        <f t="shared" si="38"/>
        <v>-5400.286489640797</v>
      </c>
      <c r="J115" s="43">
        <f t="shared" si="39"/>
        <v>-187047.07828091618</v>
      </c>
      <c r="K115" s="43"/>
      <c r="L115" s="43">
        <f t="shared" si="35"/>
        <v>-1447814.3521270168</v>
      </c>
    </row>
    <row r="116" spans="1:12" ht="15">
      <c r="A116" s="54" t="s">
        <v>11</v>
      </c>
      <c r="B116" s="43"/>
      <c r="C116" s="43"/>
      <c r="D116" s="43"/>
      <c r="E116" s="43">
        <f t="shared" si="34"/>
        <v>0</v>
      </c>
      <c r="F116" s="43">
        <f t="shared" si="36"/>
        <v>-1260767.2738461006</v>
      </c>
      <c r="G116" s="43"/>
      <c r="H116" s="45">
        <f t="shared" si="37"/>
        <v>0.0514</v>
      </c>
      <c r="I116" s="43">
        <f t="shared" si="38"/>
        <v>-5400.286489640797</v>
      </c>
      <c r="J116" s="43">
        <f t="shared" si="39"/>
        <v>-192447.36477055697</v>
      </c>
      <c r="K116" s="43"/>
      <c r="L116" s="43">
        <f t="shared" si="35"/>
        <v>-1453214.6386166576</v>
      </c>
    </row>
    <row r="117" spans="1:12" ht="15">
      <c r="A117" s="54" t="s">
        <v>12</v>
      </c>
      <c r="B117" s="44"/>
      <c r="C117" s="44"/>
      <c r="D117" s="44"/>
      <c r="E117" s="44">
        <f t="shared" si="34"/>
        <v>0</v>
      </c>
      <c r="F117" s="44">
        <f t="shared" si="36"/>
        <v>-1260767.2738461006</v>
      </c>
      <c r="G117" s="44"/>
      <c r="H117" s="60">
        <f t="shared" si="37"/>
        <v>0.0514</v>
      </c>
      <c r="I117" s="44">
        <f t="shared" si="38"/>
        <v>-5400.286489640797</v>
      </c>
      <c r="J117" s="44">
        <f t="shared" si="39"/>
        <v>-197847.65126019777</v>
      </c>
      <c r="K117" s="44"/>
      <c r="L117" s="44">
        <f t="shared" si="35"/>
        <v>-1458614.9251062984</v>
      </c>
    </row>
    <row r="118" spans="1:12" ht="15">
      <c r="A118" s="54" t="s">
        <v>13</v>
      </c>
      <c r="B118" s="43">
        <f>SUM(B106:B117)</f>
        <v>0</v>
      </c>
      <c r="C118" s="43">
        <f>SUM(C106:C117)</f>
        <v>0</v>
      </c>
      <c r="D118" s="43">
        <f>SUM(D106:D117)</f>
        <v>0</v>
      </c>
      <c r="E118" s="43">
        <f>SUM(E106:E117)</f>
        <v>0</v>
      </c>
      <c r="F118" s="43"/>
      <c r="G118" s="43"/>
      <c r="H118" s="45"/>
      <c r="I118" s="43">
        <f>SUM(I106:I117)</f>
        <v>-59602.77287107441</v>
      </c>
      <c r="J118" s="43"/>
      <c r="K118" s="43"/>
      <c r="L118" s="43"/>
    </row>
    <row r="119" spans="1:12" ht="15">
      <c r="A119" s="54"/>
      <c r="B119" s="43"/>
      <c r="C119" s="43"/>
      <c r="D119" s="43"/>
      <c r="E119" s="43"/>
      <c r="F119" s="43"/>
      <c r="G119" s="43"/>
      <c r="H119" s="45"/>
      <c r="I119" s="43"/>
      <c r="J119" s="43"/>
      <c r="K119" s="43"/>
      <c r="L119" s="43"/>
    </row>
    <row r="120" spans="1:12" ht="15">
      <c r="A120" s="54"/>
      <c r="B120" s="43"/>
      <c r="C120" s="43"/>
      <c r="D120" s="43"/>
      <c r="E120" s="43"/>
      <c r="F120" s="43"/>
      <c r="G120" s="43"/>
      <c r="H120" s="45"/>
      <c r="I120" s="43"/>
      <c r="J120" s="43"/>
      <c r="K120" s="43"/>
      <c r="L120" s="43"/>
    </row>
    <row r="121" spans="1:12" ht="18">
      <c r="A121" s="55" t="s">
        <v>0</v>
      </c>
      <c r="B121" s="61">
        <v>2008</v>
      </c>
      <c r="C121" s="43"/>
      <c r="D121" s="43"/>
      <c r="E121" s="43"/>
      <c r="F121" s="43"/>
      <c r="G121" s="43"/>
      <c r="H121" s="45"/>
      <c r="I121" s="43"/>
      <c r="J121" s="43"/>
      <c r="K121" s="43"/>
      <c r="L121" s="43"/>
    </row>
    <row r="122" spans="1:12" ht="15">
      <c r="A122" s="54"/>
      <c r="B122" s="57"/>
      <c r="C122" s="57"/>
      <c r="D122" s="81" t="str">
        <f>$D$5</f>
        <v>SIMPILS True-Up Adjustments    (neg = CR)</v>
      </c>
      <c r="E122" s="82" t="s">
        <v>14</v>
      </c>
      <c r="F122" s="82"/>
      <c r="G122" s="57"/>
      <c r="H122" s="82" t="s">
        <v>15</v>
      </c>
      <c r="I122" s="82"/>
      <c r="J122" s="82"/>
      <c r="K122" s="57"/>
      <c r="L122" s="81" t="s">
        <v>5</v>
      </c>
    </row>
    <row r="123" spans="1:12" ht="26.25">
      <c r="A123" s="54"/>
      <c r="B123" s="58" t="s">
        <v>2</v>
      </c>
      <c r="C123" s="58" t="s">
        <v>3</v>
      </c>
      <c r="D123" s="81"/>
      <c r="E123" s="57" t="s">
        <v>4</v>
      </c>
      <c r="F123" s="57" t="s">
        <v>71</v>
      </c>
      <c r="G123" s="57"/>
      <c r="H123" s="59" t="s">
        <v>6</v>
      </c>
      <c r="I123" s="57" t="s">
        <v>4</v>
      </c>
      <c r="J123" s="57" t="s">
        <v>71</v>
      </c>
      <c r="K123" s="57"/>
      <c r="L123" s="81"/>
    </row>
    <row r="124" spans="1:12" ht="15">
      <c r="A124" s="54" t="s">
        <v>7</v>
      </c>
      <c r="B124" s="43"/>
      <c r="C124" s="43"/>
      <c r="D124" s="43"/>
      <c r="E124" s="43">
        <f aca="true" t="shared" si="40" ref="E124:E135">B124-C124+D124</f>
        <v>0</v>
      </c>
      <c r="F124" s="43">
        <f>F117+E124</f>
        <v>-1260767.2738461006</v>
      </c>
      <c r="G124" s="43"/>
      <c r="H124" s="45">
        <f>H117</f>
        <v>0.0514</v>
      </c>
      <c r="I124" s="43">
        <f>H124*F117/12</f>
        <v>-5400.286489640797</v>
      </c>
      <c r="J124" s="43">
        <f>J117+I124</f>
        <v>-203247.93774983857</v>
      </c>
      <c r="K124" s="43"/>
      <c r="L124" s="43">
        <f aca="true" t="shared" si="41" ref="L124:L135">F124+J124</f>
        <v>-1464015.211595939</v>
      </c>
    </row>
    <row r="125" spans="1:12" ht="15">
      <c r="A125" s="54" t="s">
        <v>8</v>
      </c>
      <c r="B125" s="43"/>
      <c r="C125" s="43"/>
      <c r="D125" s="43"/>
      <c r="E125" s="43">
        <f t="shared" si="40"/>
        <v>0</v>
      </c>
      <c r="F125" s="43">
        <f>F124+E125</f>
        <v>-1260767.2738461006</v>
      </c>
      <c r="G125" s="43"/>
      <c r="H125" s="45">
        <f>H124</f>
        <v>0.0514</v>
      </c>
      <c r="I125" s="43">
        <f>H125*F124/12</f>
        <v>-5400.286489640797</v>
      </c>
      <c r="J125" s="43">
        <f>I125+J124</f>
        <v>-208648.22423947937</v>
      </c>
      <c r="K125" s="43"/>
      <c r="L125" s="43">
        <f t="shared" si="41"/>
        <v>-1469415.4980855798</v>
      </c>
    </row>
    <row r="126" spans="1:12" ht="15">
      <c r="A126" s="54" t="s">
        <v>9</v>
      </c>
      <c r="B126" s="43"/>
      <c r="C126" s="43"/>
      <c r="D126" s="43"/>
      <c r="E126" s="43">
        <f t="shared" si="40"/>
        <v>0</v>
      </c>
      <c r="F126" s="43">
        <f aca="true" t="shared" si="42" ref="F126:F135">F125+E126</f>
        <v>-1260767.2738461006</v>
      </c>
      <c r="G126" s="43"/>
      <c r="H126" s="45">
        <f aca="true" t="shared" si="43" ref="H126:H135">H125</f>
        <v>0.0514</v>
      </c>
      <c r="I126" s="43">
        <f>H126*F125/12</f>
        <v>-5400.286489640797</v>
      </c>
      <c r="J126" s="43">
        <f>I126+J125</f>
        <v>-214048.51072912017</v>
      </c>
      <c r="K126" s="43"/>
      <c r="L126" s="43">
        <f t="shared" si="41"/>
        <v>-1474815.7845752207</v>
      </c>
    </row>
    <row r="127" spans="1:12" ht="15">
      <c r="A127" s="54" t="s">
        <v>16</v>
      </c>
      <c r="B127" s="43"/>
      <c r="C127" s="43"/>
      <c r="D127" s="43"/>
      <c r="E127" s="43">
        <f t="shared" si="40"/>
        <v>0</v>
      </c>
      <c r="F127" s="43">
        <f t="shared" si="42"/>
        <v>-1260767.2738461006</v>
      </c>
      <c r="G127" s="43"/>
      <c r="H127" s="45">
        <v>0.0408</v>
      </c>
      <c r="I127" s="43">
        <f>H127*F126/12</f>
        <v>-4286.6087310767425</v>
      </c>
      <c r="J127" s="43">
        <f>I127+J126</f>
        <v>-218335.1194601969</v>
      </c>
      <c r="K127" s="43"/>
      <c r="L127" s="43">
        <f t="shared" si="41"/>
        <v>-1479102.3933062975</v>
      </c>
    </row>
    <row r="128" spans="1:12" ht="15">
      <c r="A128" s="54" t="s">
        <v>17</v>
      </c>
      <c r="B128" s="43"/>
      <c r="C128" s="43"/>
      <c r="D128" s="43"/>
      <c r="E128" s="43">
        <f t="shared" si="40"/>
        <v>0</v>
      </c>
      <c r="F128" s="43">
        <f t="shared" si="42"/>
        <v>-1260767.2738461006</v>
      </c>
      <c r="G128" s="43"/>
      <c r="H128" s="45">
        <f t="shared" si="43"/>
        <v>0.0408</v>
      </c>
      <c r="I128" s="43">
        <f aca="true" t="shared" si="44" ref="I128:I135">H128*F127/12</f>
        <v>-4286.6087310767425</v>
      </c>
      <c r="J128" s="43">
        <f aca="true" t="shared" si="45" ref="J128:J135">I128+J127</f>
        <v>-222621.72819127364</v>
      </c>
      <c r="K128" s="43"/>
      <c r="L128" s="43">
        <f t="shared" si="41"/>
        <v>-1483389.0020373743</v>
      </c>
    </row>
    <row r="129" spans="1:12" ht="15">
      <c r="A129" s="54" t="s">
        <v>18</v>
      </c>
      <c r="B129" s="43"/>
      <c r="C129" s="43"/>
      <c r="D129" s="43"/>
      <c r="E129" s="43">
        <f t="shared" si="40"/>
        <v>0</v>
      </c>
      <c r="F129" s="43">
        <f t="shared" si="42"/>
        <v>-1260767.2738461006</v>
      </c>
      <c r="G129" s="43"/>
      <c r="H129" s="45">
        <f t="shared" si="43"/>
        <v>0.0408</v>
      </c>
      <c r="I129" s="43">
        <f t="shared" si="44"/>
        <v>-4286.6087310767425</v>
      </c>
      <c r="J129" s="43">
        <f t="shared" si="45"/>
        <v>-226908.33692235037</v>
      </c>
      <c r="K129" s="43"/>
      <c r="L129" s="43">
        <f t="shared" si="41"/>
        <v>-1487675.610768451</v>
      </c>
    </row>
    <row r="130" spans="1:12" ht="15">
      <c r="A130" s="54" t="s">
        <v>19</v>
      </c>
      <c r="B130" s="43"/>
      <c r="C130" s="43"/>
      <c r="D130" s="43"/>
      <c r="E130" s="43">
        <f t="shared" si="40"/>
        <v>0</v>
      </c>
      <c r="F130" s="43">
        <f t="shared" si="42"/>
        <v>-1260767.2738461006</v>
      </c>
      <c r="G130" s="43"/>
      <c r="H130" s="45">
        <v>0.0335</v>
      </c>
      <c r="I130" s="43">
        <f t="shared" si="44"/>
        <v>-3519.641972820364</v>
      </c>
      <c r="J130" s="43">
        <f t="shared" si="45"/>
        <v>-230427.97889517073</v>
      </c>
      <c r="K130" s="43"/>
      <c r="L130" s="43">
        <f t="shared" si="41"/>
        <v>-1491195.2527412712</v>
      </c>
    </row>
    <row r="131" spans="1:12" ht="15">
      <c r="A131" s="54" t="s">
        <v>20</v>
      </c>
      <c r="B131" s="43"/>
      <c r="C131" s="43"/>
      <c r="D131" s="43"/>
      <c r="E131" s="43">
        <f t="shared" si="40"/>
        <v>0</v>
      </c>
      <c r="F131" s="43">
        <f t="shared" si="42"/>
        <v>-1260767.2738461006</v>
      </c>
      <c r="G131" s="43"/>
      <c r="H131" s="45">
        <f t="shared" si="43"/>
        <v>0.0335</v>
      </c>
      <c r="I131" s="43">
        <f t="shared" si="44"/>
        <v>-3519.641972820364</v>
      </c>
      <c r="J131" s="43">
        <f t="shared" si="45"/>
        <v>-233947.6208679911</v>
      </c>
      <c r="K131" s="43"/>
      <c r="L131" s="43">
        <f t="shared" si="41"/>
        <v>-1494714.8947140917</v>
      </c>
    </row>
    <row r="132" spans="1:12" ht="15">
      <c r="A132" s="54" t="s">
        <v>21</v>
      </c>
      <c r="B132" s="43"/>
      <c r="C132" s="43"/>
      <c r="D132" s="43"/>
      <c r="E132" s="43">
        <f t="shared" si="40"/>
        <v>0</v>
      </c>
      <c r="F132" s="43">
        <f t="shared" si="42"/>
        <v>-1260767.2738461006</v>
      </c>
      <c r="G132" s="43"/>
      <c r="H132" s="45">
        <f t="shared" si="43"/>
        <v>0.0335</v>
      </c>
      <c r="I132" s="43">
        <f t="shared" si="44"/>
        <v>-3519.641972820364</v>
      </c>
      <c r="J132" s="43">
        <f t="shared" si="45"/>
        <v>-237467.26284081145</v>
      </c>
      <c r="K132" s="43"/>
      <c r="L132" s="43">
        <f t="shared" si="41"/>
        <v>-1498234.536686912</v>
      </c>
    </row>
    <row r="133" spans="1:12" ht="15">
      <c r="A133" s="54" t="s">
        <v>10</v>
      </c>
      <c r="B133" s="43"/>
      <c r="C133" s="43"/>
      <c r="D133" s="43"/>
      <c r="E133" s="43">
        <f t="shared" si="40"/>
        <v>0</v>
      </c>
      <c r="F133" s="43">
        <f t="shared" si="42"/>
        <v>-1260767.2738461006</v>
      </c>
      <c r="G133" s="43"/>
      <c r="H133" s="45">
        <f>H132</f>
        <v>0.0335</v>
      </c>
      <c r="I133" s="43">
        <f t="shared" si="44"/>
        <v>-3519.641972820364</v>
      </c>
      <c r="J133" s="43">
        <f t="shared" si="45"/>
        <v>-240986.90481363182</v>
      </c>
      <c r="K133" s="43"/>
      <c r="L133" s="43">
        <f t="shared" si="41"/>
        <v>-1501754.1786597325</v>
      </c>
    </row>
    <row r="134" spans="1:12" ht="15">
      <c r="A134" s="54" t="s">
        <v>11</v>
      </c>
      <c r="B134" s="43"/>
      <c r="C134" s="43"/>
      <c r="D134" s="43"/>
      <c r="E134" s="43">
        <f t="shared" si="40"/>
        <v>0</v>
      </c>
      <c r="F134" s="43">
        <f t="shared" si="42"/>
        <v>-1260767.2738461006</v>
      </c>
      <c r="G134" s="43"/>
      <c r="H134" s="45">
        <f t="shared" si="43"/>
        <v>0.0335</v>
      </c>
      <c r="I134" s="43">
        <f t="shared" si="44"/>
        <v>-3519.641972820364</v>
      </c>
      <c r="J134" s="43">
        <f t="shared" si="45"/>
        <v>-244506.54678645218</v>
      </c>
      <c r="K134" s="43"/>
      <c r="L134" s="43">
        <f t="shared" si="41"/>
        <v>-1505273.8206325527</v>
      </c>
    </row>
    <row r="135" spans="1:12" ht="15">
      <c r="A135" s="54" t="s">
        <v>12</v>
      </c>
      <c r="B135" s="44"/>
      <c r="C135" s="44"/>
      <c r="D135" s="44"/>
      <c r="E135" s="44">
        <f t="shared" si="40"/>
        <v>0</v>
      </c>
      <c r="F135" s="44">
        <f t="shared" si="42"/>
        <v>-1260767.2738461006</v>
      </c>
      <c r="G135" s="44"/>
      <c r="H135" s="60">
        <f t="shared" si="43"/>
        <v>0.0335</v>
      </c>
      <c r="I135" s="44">
        <f t="shared" si="44"/>
        <v>-3519.641972820364</v>
      </c>
      <c r="J135" s="44">
        <f t="shared" si="45"/>
        <v>-248026.18875927254</v>
      </c>
      <c r="K135" s="44"/>
      <c r="L135" s="44">
        <f t="shared" si="41"/>
        <v>-1508793.462605373</v>
      </c>
    </row>
    <row r="136" spans="1:12" ht="15">
      <c r="A136" s="54" t="s">
        <v>13</v>
      </c>
      <c r="B136" s="43">
        <f>SUM(B124:B135)</f>
        <v>0</v>
      </c>
      <c r="C136" s="43">
        <f>SUM(C124:C135)</f>
        <v>0</v>
      </c>
      <c r="D136" s="43">
        <f>SUM(D124:D135)</f>
        <v>0</v>
      </c>
      <c r="E136" s="43">
        <f>SUM(E124:E135)</f>
        <v>0</v>
      </c>
      <c r="F136" s="43"/>
      <c r="G136" s="43"/>
      <c r="H136" s="45"/>
      <c r="I136" s="43">
        <f>SUM(I124:I135)</f>
        <v>-50178.537499074795</v>
      </c>
      <c r="J136" s="43"/>
      <c r="K136" s="43"/>
      <c r="L136" s="43"/>
    </row>
    <row r="137" spans="1:12" ht="15">
      <c r="A137" s="54"/>
      <c r="B137" s="43"/>
      <c r="C137" s="43"/>
      <c r="D137" s="43"/>
      <c r="E137" s="43"/>
      <c r="F137" s="43"/>
      <c r="G137" s="43"/>
      <c r="H137" s="45"/>
      <c r="I137" s="43"/>
      <c r="J137" s="43"/>
      <c r="K137" s="43"/>
      <c r="L137" s="43"/>
    </row>
    <row r="138" spans="1:12" ht="15">
      <c r="A138" s="54"/>
      <c r="B138" s="43"/>
      <c r="C138" s="43"/>
      <c r="D138" s="43"/>
      <c r="E138" s="43"/>
      <c r="F138" s="43"/>
      <c r="G138" s="43"/>
      <c r="H138" s="45"/>
      <c r="I138" s="43"/>
      <c r="J138" s="43"/>
      <c r="K138" s="43"/>
      <c r="L138" s="43"/>
    </row>
    <row r="139" spans="1:12" ht="18">
      <c r="A139" s="55" t="s">
        <v>0</v>
      </c>
      <c r="B139" s="61">
        <v>2009</v>
      </c>
      <c r="C139" s="43"/>
      <c r="D139" s="43"/>
      <c r="E139" s="43"/>
      <c r="F139" s="43"/>
      <c r="G139" s="43"/>
      <c r="H139" s="45"/>
      <c r="I139" s="43"/>
      <c r="J139" s="43"/>
      <c r="K139" s="43"/>
      <c r="L139" s="43"/>
    </row>
    <row r="140" spans="1:12" ht="15">
      <c r="A140" s="54"/>
      <c r="B140" s="57"/>
      <c r="C140" s="57"/>
      <c r="D140" s="81" t="str">
        <f>$D$5</f>
        <v>SIMPILS True-Up Adjustments    (neg = CR)</v>
      </c>
      <c r="E140" s="82" t="s">
        <v>14</v>
      </c>
      <c r="F140" s="82"/>
      <c r="G140" s="57"/>
      <c r="H140" s="82" t="s">
        <v>15</v>
      </c>
      <c r="I140" s="82"/>
      <c r="J140" s="82"/>
      <c r="K140" s="57"/>
      <c r="L140" s="81" t="s">
        <v>5</v>
      </c>
    </row>
    <row r="141" spans="1:12" ht="26.25">
      <c r="A141" s="54"/>
      <c r="B141" s="58" t="s">
        <v>2</v>
      </c>
      <c r="C141" s="58" t="s">
        <v>3</v>
      </c>
      <c r="D141" s="81"/>
      <c r="E141" s="57" t="s">
        <v>4</v>
      </c>
      <c r="F141" s="57" t="s">
        <v>71</v>
      </c>
      <c r="G141" s="57"/>
      <c r="H141" s="59" t="s">
        <v>6</v>
      </c>
      <c r="I141" s="57" t="s">
        <v>4</v>
      </c>
      <c r="J141" s="57" t="s">
        <v>71</v>
      </c>
      <c r="K141" s="57"/>
      <c r="L141" s="81"/>
    </row>
    <row r="142" spans="1:12" ht="15">
      <c r="A142" s="54" t="s">
        <v>7</v>
      </c>
      <c r="B142" s="43"/>
      <c r="C142" s="43"/>
      <c r="D142" s="43"/>
      <c r="E142" s="43">
        <f aca="true" t="shared" si="46" ref="E142:E153">B142-C142+D142</f>
        <v>0</v>
      </c>
      <c r="F142" s="43">
        <f>F135+E142</f>
        <v>-1260767.2738461006</v>
      </c>
      <c r="G142" s="43"/>
      <c r="H142" s="45">
        <v>0.0245</v>
      </c>
      <c r="I142" s="43">
        <f>H142*F135/12</f>
        <v>-2574.0665174357887</v>
      </c>
      <c r="J142" s="43">
        <f>J135+I142</f>
        <v>-250600.25527670834</v>
      </c>
      <c r="K142" s="43"/>
      <c r="L142" s="43">
        <f aca="true" t="shared" si="47" ref="L142:L153">F142+J142</f>
        <v>-1511367.529122809</v>
      </c>
    </row>
    <row r="143" spans="1:12" ht="15">
      <c r="A143" s="54" t="s">
        <v>8</v>
      </c>
      <c r="B143" s="43"/>
      <c r="C143" s="43"/>
      <c r="D143" s="43"/>
      <c r="E143" s="43">
        <f t="shared" si="46"/>
        <v>0</v>
      </c>
      <c r="F143" s="43">
        <f>F142+E143</f>
        <v>-1260767.2738461006</v>
      </c>
      <c r="G143" s="43"/>
      <c r="H143" s="45">
        <f>H142</f>
        <v>0.0245</v>
      </c>
      <c r="I143" s="43">
        <f>H143*F142/12</f>
        <v>-2574.0665174357887</v>
      </c>
      <c r="J143" s="43">
        <f>I143+J142</f>
        <v>-253174.32179414414</v>
      </c>
      <c r="K143" s="43"/>
      <c r="L143" s="43">
        <f t="shared" si="47"/>
        <v>-1513941.5956402447</v>
      </c>
    </row>
    <row r="144" spans="1:12" ht="15">
      <c r="A144" s="54" t="s">
        <v>9</v>
      </c>
      <c r="B144" s="43"/>
      <c r="C144" s="43"/>
      <c r="D144" s="43"/>
      <c r="E144" s="43">
        <f t="shared" si="46"/>
        <v>0</v>
      </c>
      <c r="F144" s="43">
        <f aca="true" t="shared" si="48" ref="F144:F153">F143+E144</f>
        <v>-1260767.2738461006</v>
      </c>
      <c r="G144" s="43"/>
      <c r="H144" s="45">
        <f aca="true" t="shared" si="49" ref="H144:H153">H143</f>
        <v>0.0245</v>
      </c>
      <c r="I144" s="43">
        <f>H144*F143/12</f>
        <v>-2574.0665174357887</v>
      </c>
      <c r="J144" s="43">
        <f>I144+J143</f>
        <v>-255748.38831157994</v>
      </c>
      <c r="K144" s="43"/>
      <c r="L144" s="43">
        <f t="shared" si="47"/>
        <v>-1516515.6621576804</v>
      </c>
    </row>
    <row r="145" spans="1:12" ht="15">
      <c r="A145" s="54" t="s">
        <v>16</v>
      </c>
      <c r="B145" s="43"/>
      <c r="C145" s="43"/>
      <c r="D145" s="43"/>
      <c r="E145" s="43">
        <f t="shared" si="46"/>
        <v>0</v>
      </c>
      <c r="F145" s="43">
        <f t="shared" si="48"/>
        <v>-1260767.2738461006</v>
      </c>
      <c r="G145" s="43"/>
      <c r="H145" s="45">
        <v>0.01</v>
      </c>
      <c r="I145" s="43">
        <f>H145*F144/12</f>
        <v>-1050.6393948717505</v>
      </c>
      <c r="J145" s="43">
        <f>I145+J144</f>
        <v>-256799.02770645168</v>
      </c>
      <c r="K145" s="43"/>
      <c r="L145" s="43">
        <f t="shared" si="47"/>
        <v>-1517566.3015525523</v>
      </c>
    </row>
    <row r="146" spans="1:12" ht="15">
      <c r="A146" s="54" t="s">
        <v>17</v>
      </c>
      <c r="B146" s="43"/>
      <c r="C146" s="43"/>
      <c r="D146" s="43"/>
      <c r="E146" s="43">
        <f t="shared" si="46"/>
        <v>0</v>
      </c>
      <c r="F146" s="43">
        <f t="shared" si="48"/>
        <v>-1260767.2738461006</v>
      </c>
      <c r="G146" s="43"/>
      <c r="H146" s="45">
        <f t="shared" si="49"/>
        <v>0.01</v>
      </c>
      <c r="I146" s="43">
        <f aca="true" t="shared" si="50" ref="I146:I153">H146*F145/12</f>
        <v>-1050.6393948717505</v>
      </c>
      <c r="J146" s="43">
        <f aca="true" t="shared" si="51" ref="J146:J153">I146+J145</f>
        <v>-257849.66710132343</v>
      </c>
      <c r="K146" s="43"/>
      <c r="L146" s="43">
        <f t="shared" si="47"/>
        <v>-1518616.940947424</v>
      </c>
    </row>
    <row r="147" spans="1:12" ht="15">
      <c r="A147" s="54" t="s">
        <v>18</v>
      </c>
      <c r="B147" s="43"/>
      <c r="C147" s="43"/>
      <c r="D147" s="43"/>
      <c r="E147" s="43">
        <f t="shared" si="46"/>
        <v>0</v>
      </c>
      <c r="F147" s="43">
        <f t="shared" si="48"/>
        <v>-1260767.2738461006</v>
      </c>
      <c r="G147" s="43"/>
      <c r="H147" s="45">
        <f t="shared" si="49"/>
        <v>0.01</v>
      </c>
      <c r="I147" s="43">
        <f t="shared" si="50"/>
        <v>-1050.6393948717505</v>
      </c>
      <c r="J147" s="43">
        <f t="shared" si="51"/>
        <v>-258900.30649619517</v>
      </c>
      <c r="K147" s="43"/>
      <c r="L147" s="43">
        <f t="shared" si="47"/>
        <v>-1519667.5803422958</v>
      </c>
    </row>
    <row r="148" spans="1:12" ht="15">
      <c r="A148" s="54" t="s">
        <v>19</v>
      </c>
      <c r="B148" s="43"/>
      <c r="C148" s="43"/>
      <c r="D148" s="43"/>
      <c r="E148" s="43">
        <f t="shared" si="46"/>
        <v>0</v>
      </c>
      <c r="F148" s="43">
        <f t="shared" si="48"/>
        <v>-1260767.2738461006</v>
      </c>
      <c r="G148" s="43"/>
      <c r="H148" s="45">
        <v>0.0055</v>
      </c>
      <c r="I148" s="43">
        <f t="shared" si="50"/>
        <v>-577.8516671794627</v>
      </c>
      <c r="J148" s="43">
        <f t="shared" si="51"/>
        <v>-259478.15816337464</v>
      </c>
      <c r="K148" s="43"/>
      <c r="L148" s="43">
        <f t="shared" si="47"/>
        <v>-1520245.4320094753</v>
      </c>
    </row>
    <row r="149" spans="1:12" ht="15">
      <c r="A149" s="54" t="s">
        <v>20</v>
      </c>
      <c r="B149" s="43"/>
      <c r="C149" s="43"/>
      <c r="D149" s="43"/>
      <c r="E149" s="43">
        <f t="shared" si="46"/>
        <v>0</v>
      </c>
      <c r="F149" s="43">
        <f t="shared" si="48"/>
        <v>-1260767.2738461006</v>
      </c>
      <c r="G149" s="43"/>
      <c r="H149" s="45">
        <f t="shared" si="49"/>
        <v>0.0055</v>
      </c>
      <c r="I149" s="43">
        <f t="shared" si="50"/>
        <v>-577.8516671794627</v>
      </c>
      <c r="J149" s="43">
        <f t="shared" si="51"/>
        <v>-260056.0098305541</v>
      </c>
      <c r="K149" s="43"/>
      <c r="L149" s="43">
        <f t="shared" si="47"/>
        <v>-1520823.2836766546</v>
      </c>
    </row>
    <row r="150" spans="1:12" ht="15">
      <c r="A150" s="54" t="s">
        <v>21</v>
      </c>
      <c r="B150" s="43"/>
      <c r="C150" s="43"/>
      <c r="D150" s="43"/>
      <c r="E150" s="43">
        <f t="shared" si="46"/>
        <v>0</v>
      </c>
      <c r="F150" s="43">
        <f t="shared" si="48"/>
        <v>-1260767.2738461006</v>
      </c>
      <c r="G150" s="43"/>
      <c r="H150" s="45">
        <f t="shared" si="49"/>
        <v>0.0055</v>
      </c>
      <c r="I150" s="43">
        <f t="shared" si="50"/>
        <v>-577.8516671794627</v>
      </c>
      <c r="J150" s="43">
        <f t="shared" si="51"/>
        <v>-260633.86149773357</v>
      </c>
      <c r="K150" s="43"/>
      <c r="L150" s="43">
        <f t="shared" si="47"/>
        <v>-1521401.135343834</v>
      </c>
    </row>
    <row r="151" spans="1:12" ht="15">
      <c r="A151" s="54" t="s">
        <v>10</v>
      </c>
      <c r="B151" s="43"/>
      <c r="C151" s="43"/>
      <c r="D151" s="43"/>
      <c r="E151" s="43">
        <f t="shared" si="46"/>
        <v>0</v>
      </c>
      <c r="F151" s="43">
        <f t="shared" si="48"/>
        <v>-1260767.2738461006</v>
      </c>
      <c r="G151" s="43"/>
      <c r="H151" s="45">
        <f t="shared" si="49"/>
        <v>0.0055</v>
      </c>
      <c r="I151" s="43">
        <f t="shared" si="50"/>
        <v>-577.8516671794627</v>
      </c>
      <c r="J151" s="43">
        <f t="shared" si="51"/>
        <v>-261211.71316491303</v>
      </c>
      <c r="K151" s="43"/>
      <c r="L151" s="43">
        <f t="shared" si="47"/>
        <v>-1521978.9870110136</v>
      </c>
    </row>
    <row r="152" spans="1:12" ht="15">
      <c r="A152" s="54" t="s">
        <v>11</v>
      </c>
      <c r="B152" s="43"/>
      <c r="C152" s="43"/>
      <c r="D152" s="43"/>
      <c r="E152" s="43">
        <f t="shared" si="46"/>
        <v>0</v>
      </c>
      <c r="F152" s="43">
        <f t="shared" si="48"/>
        <v>-1260767.2738461006</v>
      </c>
      <c r="G152" s="43"/>
      <c r="H152" s="45">
        <f t="shared" si="49"/>
        <v>0.0055</v>
      </c>
      <c r="I152" s="43">
        <f t="shared" si="50"/>
        <v>-577.8516671794627</v>
      </c>
      <c r="J152" s="43">
        <f t="shared" si="51"/>
        <v>-261789.5648320925</v>
      </c>
      <c r="K152" s="43"/>
      <c r="L152" s="43">
        <f t="shared" si="47"/>
        <v>-1522556.838678193</v>
      </c>
    </row>
    <row r="153" spans="1:12" ht="15">
      <c r="A153" s="54" t="s">
        <v>12</v>
      </c>
      <c r="B153" s="44"/>
      <c r="C153" s="44"/>
      <c r="D153" s="44"/>
      <c r="E153" s="44">
        <f t="shared" si="46"/>
        <v>0</v>
      </c>
      <c r="F153" s="44">
        <f t="shared" si="48"/>
        <v>-1260767.2738461006</v>
      </c>
      <c r="G153" s="44"/>
      <c r="H153" s="60">
        <f t="shared" si="49"/>
        <v>0.0055</v>
      </c>
      <c r="I153" s="44">
        <f t="shared" si="50"/>
        <v>-577.8516671794627</v>
      </c>
      <c r="J153" s="44">
        <f t="shared" si="51"/>
        <v>-262367.41649927193</v>
      </c>
      <c r="K153" s="44"/>
      <c r="L153" s="44">
        <f t="shared" si="47"/>
        <v>-1523134.6903453725</v>
      </c>
    </row>
    <row r="154" spans="1:12" ht="15">
      <c r="A154" s="54" t="s">
        <v>13</v>
      </c>
      <c r="B154" s="43">
        <f>SUM(B142:B153)</f>
        <v>0</v>
      </c>
      <c r="C154" s="43">
        <f>SUM(C142:C153)</f>
        <v>0</v>
      </c>
      <c r="D154" s="43">
        <f>SUM(D142:D153)</f>
        <v>0</v>
      </c>
      <c r="E154" s="43">
        <f>SUM(E142:E153)</f>
        <v>0</v>
      </c>
      <c r="F154" s="43"/>
      <c r="G154" s="43"/>
      <c r="H154" s="45"/>
      <c r="I154" s="43">
        <f>SUM(I142:I153)</f>
        <v>-14341.22773999939</v>
      </c>
      <c r="J154" s="43"/>
      <c r="K154" s="43"/>
      <c r="L154" s="43"/>
    </row>
    <row r="155" spans="1:12" ht="15">
      <c r="A155" s="54"/>
      <c r="B155" s="43"/>
      <c r="C155" s="43"/>
      <c r="D155" s="43"/>
      <c r="E155" s="43"/>
      <c r="F155" s="43"/>
      <c r="G155" s="43"/>
      <c r="H155" s="45"/>
      <c r="I155" s="43"/>
      <c r="J155" s="43"/>
      <c r="K155" s="43"/>
      <c r="L155" s="43"/>
    </row>
    <row r="156" spans="1:12" ht="15">
      <c r="A156" s="54"/>
      <c r="B156" s="43"/>
      <c r="C156" s="43"/>
      <c r="D156" s="43"/>
      <c r="E156" s="43"/>
      <c r="F156" s="43"/>
      <c r="G156" s="43"/>
      <c r="H156" s="45"/>
      <c r="I156" s="43"/>
      <c r="J156" s="43"/>
      <c r="K156" s="43"/>
      <c r="L156" s="43"/>
    </row>
    <row r="157" spans="1:12" ht="18">
      <c r="A157" s="55" t="s">
        <v>0</v>
      </c>
      <c r="B157" s="61">
        <v>2010</v>
      </c>
      <c r="C157" s="43"/>
      <c r="D157" s="43"/>
      <c r="E157" s="43"/>
      <c r="F157" s="43"/>
      <c r="G157" s="43"/>
      <c r="H157" s="45"/>
      <c r="I157" s="43"/>
      <c r="J157" s="43"/>
      <c r="K157" s="43"/>
      <c r="L157" s="43"/>
    </row>
    <row r="158" spans="1:12" ht="15">
      <c r="A158" s="54"/>
      <c r="B158" s="57"/>
      <c r="C158" s="57"/>
      <c r="D158" s="81" t="str">
        <f>$D$5</f>
        <v>SIMPILS True-Up Adjustments    (neg = CR)</v>
      </c>
      <c r="E158" s="82" t="s">
        <v>14</v>
      </c>
      <c r="F158" s="82"/>
      <c r="G158" s="57"/>
      <c r="H158" s="82" t="s">
        <v>15</v>
      </c>
      <c r="I158" s="82"/>
      <c r="J158" s="82"/>
      <c r="K158" s="57"/>
      <c r="L158" s="81" t="s">
        <v>5</v>
      </c>
    </row>
    <row r="159" spans="1:12" ht="26.25">
      <c r="A159" s="54"/>
      <c r="B159" s="58" t="s">
        <v>2</v>
      </c>
      <c r="C159" s="58" t="s">
        <v>3</v>
      </c>
      <c r="D159" s="81"/>
      <c r="E159" s="57" t="s">
        <v>4</v>
      </c>
      <c r="F159" s="57" t="s">
        <v>71</v>
      </c>
      <c r="G159" s="57"/>
      <c r="H159" s="59" t="s">
        <v>6</v>
      </c>
      <c r="I159" s="57" t="s">
        <v>4</v>
      </c>
      <c r="J159" s="57" t="s">
        <v>71</v>
      </c>
      <c r="K159" s="57"/>
      <c r="L159" s="81"/>
    </row>
    <row r="160" spans="1:12" ht="15">
      <c r="A160" s="54" t="s">
        <v>7</v>
      </c>
      <c r="B160" s="43"/>
      <c r="C160" s="43"/>
      <c r="D160" s="43"/>
      <c r="E160" s="43">
        <f aca="true" t="shared" si="52" ref="E160:E171">B160-C160+D160</f>
        <v>0</v>
      </c>
      <c r="F160" s="43">
        <f>F153+E160</f>
        <v>-1260767.2738461006</v>
      </c>
      <c r="G160" s="43"/>
      <c r="H160" s="45">
        <f>H153</f>
        <v>0.0055</v>
      </c>
      <c r="I160" s="43">
        <f>H160*F153/12</f>
        <v>-577.8516671794627</v>
      </c>
      <c r="J160" s="43">
        <f>J153+I160</f>
        <v>-262945.26816645137</v>
      </c>
      <c r="K160" s="43"/>
      <c r="L160" s="43">
        <f aca="true" t="shared" si="53" ref="L160:L171">F160+J160</f>
        <v>-1523712.5420125518</v>
      </c>
    </row>
    <row r="161" spans="1:12" ht="15">
      <c r="A161" s="54" t="s">
        <v>8</v>
      </c>
      <c r="B161" s="43"/>
      <c r="C161" s="43"/>
      <c r="D161" s="43"/>
      <c r="E161" s="43">
        <f t="shared" si="52"/>
        <v>0</v>
      </c>
      <c r="F161" s="43">
        <f>F160+E161</f>
        <v>-1260767.2738461006</v>
      </c>
      <c r="G161" s="43"/>
      <c r="H161" s="45">
        <f>H160</f>
        <v>0.0055</v>
      </c>
      <c r="I161" s="43">
        <f>H161*F160/12</f>
        <v>-577.8516671794627</v>
      </c>
      <c r="J161" s="43">
        <f>I161+J160</f>
        <v>-263523.1198336308</v>
      </c>
      <c r="K161" s="43"/>
      <c r="L161" s="43">
        <f t="shared" si="53"/>
        <v>-1524290.3936797313</v>
      </c>
    </row>
    <row r="162" spans="1:12" ht="15">
      <c r="A162" s="54" t="s">
        <v>9</v>
      </c>
      <c r="B162" s="43"/>
      <c r="C162" s="43"/>
      <c r="D162" s="43"/>
      <c r="E162" s="43">
        <f t="shared" si="52"/>
        <v>0</v>
      </c>
      <c r="F162" s="43">
        <f aca="true" t="shared" si="54" ref="F162:F171">F161+E162</f>
        <v>-1260767.2738461006</v>
      </c>
      <c r="G162" s="43"/>
      <c r="H162" s="45">
        <f aca="true" t="shared" si="55" ref="H162:H171">H161</f>
        <v>0.0055</v>
      </c>
      <c r="I162" s="43">
        <f>H162*F161/12</f>
        <v>-577.8516671794627</v>
      </c>
      <c r="J162" s="43">
        <f>I162+J161</f>
        <v>-264100.97150081024</v>
      </c>
      <c r="K162" s="43"/>
      <c r="L162" s="43">
        <f t="shared" si="53"/>
        <v>-1524868.2453469108</v>
      </c>
    </row>
    <row r="163" spans="1:12" ht="15">
      <c r="A163" s="54" t="s">
        <v>16</v>
      </c>
      <c r="B163" s="43"/>
      <c r="C163" s="43"/>
      <c r="D163" s="43"/>
      <c r="E163" s="43">
        <f t="shared" si="52"/>
        <v>0</v>
      </c>
      <c r="F163" s="43">
        <f t="shared" si="54"/>
        <v>-1260767.2738461006</v>
      </c>
      <c r="G163" s="43"/>
      <c r="H163" s="45">
        <f t="shared" si="55"/>
        <v>0.0055</v>
      </c>
      <c r="I163" s="43">
        <f>H163*F162/12</f>
        <v>-577.8516671794627</v>
      </c>
      <c r="J163" s="43">
        <f>I163+J162</f>
        <v>-264678.82316798967</v>
      </c>
      <c r="K163" s="43"/>
      <c r="L163" s="43">
        <f t="shared" si="53"/>
        <v>-1525446.0970140903</v>
      </c>
    </row>
    <row r="164" spans="1:12" ht="15">
      <c r="A164" s="54" t="s">
        <v>17</v>
      </c>
      <c r="B164" s="43"/>
      <c r="C164" s="43"/>
      <c r="D164" s="43"/>
      <c r="E164" s="43">
        <f t="shared" si="52"/>
        <v>0</v>
      </c>
      <c r="F164" s="43">
        <f t="shared" si="54"/>
        <v>-1260767.2738461006</v>
      </c>
      <c r="G164" s="43"/>
      <c r="H164" s="45">
        <f t="shared" si="55"/>
        <v>0.0055</v>
      </c>
      <c r="I164" s="43">
        <f aca="true" t="shared" si="56" ref="I164:I171">H164*F163/12</f>
        <v>-577.8516671794627</v>
      </c>
      <c r="J164" s="43">
        <f aca="true" t="shared" si="57" ref="J164:J171">I164+J163</f>
        <v>-265256.6748351691</v>
      </c>
      <c r="K164" s="43"/>
      <c r="L164" s="43">
        <f t="shared" si="53"/>
        <v>-1526023.9486812698</v>
      </c>
    </row>
    <row r="165" spans="1:12" ht="15">
      <c r="A165" s="54" t="s">
        <v>18</v>
      </c>
      <c r="B165" s="43"/>
      <c r="C165" s="43"/>
      <c r="D165" s="43"/>
      <c r="E165" s="43">
        <f t="shared" si="52"/>
        <v>0</v>
      </c>
      <c r="F165" s="43">
        <f t="shared" si="54"/>
        <v>-1260767.2738461006</v>
      </c>
      <c r="G165" s="43"/>
      <c r="H165" s="45">
        <f t="shared" si="55"/>
        <v>0.0055</v>
      </c>
      <c r="I165" s="43">
        <f t="shared" si="56"/>
        <v>-577.8516671794627</v>
      </c>
      <c r="J165" s="43">
        <f t="shared" si="57"/>
        <v>-265834.52650234854</v>
      </c>
      <c r="K165" s="43"/>
      <c r="L165" s="43">
        <f t="shared" si="53"/>
        <v>-1526601.800348449</v>
      </c>
    </row>
    <row r="166" spans="1:12" ht="15">
      <c r="A166" s="54" t="s">
        <v>19</v>
      </c>
      <c r="B166" s="43"/>
      <c r="C166" s="43"/>
      <c r="D166" s="43"/>
      <c r="E166" s="43">
        <f t="shared" si="52"/>
        <v>0</v>
      </c>
      <c r="F166" s="43">
        <f t="shared" si="54"/>
        <v>-1260767.2738461006</v>
      </c>
      <c r="G166" s="43"/>
      <c r="H166" s="45">
        <v>0.0089</v>
      </c>
      <c r="I166" s="43">
        <f t="shared" si="56"/>
        <v>-935.0690614358579</v>
      </c>
      <c r="J166" s="43">
        <f t="shared" si="57"/>
        <v>-266769.5955637844</v>
      </c>
      <c r="K166" s="43"/>
      <c r="L166" s="43">
        <f t="shared" si="53"/>
        <v>-1527536.869409885</v>
      </c>
    </row>
    <row r="167" spans="1:12" ht="15">
      <c r="A167" s="54" t="s">
        <v>20</v>
      </c>
      <c r="B167" s="43"/>
      <c r="C167" s="43"/>
      <c r="D167" s="43"/>
      <c r="E167" s="43">
        <f t="shared" si="52"/>
        <v>0</v>
      </c>
      <c r="F167" s="43">
        <f t="shared" si="54"/>
        <v>-1260767.2738461006</v>
      </c>
      <c r="G167" s="43"/>
      <c r="H167" s="45">
        <f t="shared" si="55"/>
        <v>0.0089</v>
      </c>
      <c r="I167" s="43">
        <f t="shared" si="56"/>
        <v>-935.0690614358579</v>
      </c>
      <c r="J167" s="43">
        <f t="shared" si="57"/>
        <v>-267704.6646252203</v>
      </c>
      <c r="K167" s="43"/>
      <c r="L167" s="43">
        <f t="shared" si="53"/>
        <v>-1528471.9384713208</v>
      </c>
    </row>
    <row r="168" spans="1:12" ht="15">
      <c r="A168" s="54" t="s">
        <v>21</v>
      </c>
      <c r="B168" s="43"/>
      <c r="C168" s="43"/>
      <c r="D168" s="43"/>
      <c r="E168" s="43">
        <f t="shared" si="52"/>
        <v>0</v>
      </c>
      <c r="F168" s="43">
        <f t="shared" si="54"/>
        <v>-1260767.2738461006</v>
      </c>
      <c r="G168" s="43"/>
      <c r="H168" s="45">
        <f t="shared" si="55"/>
        <v>0.0089</v>
      </c>
      <c r="I168" s="43">
        <f t="shared" si="56"/>
        <v>-935.0690614358579</v>
      </c>
      <c r="J168" s="43">
        <f t="shared" si="57"/>
        <v>-268639.73368665617</v>
      </c>
      <c r="K168" s="43"/>
      <c r="L168" s="43">
        <f t="shared" si="53"/>
        <v>-1529407.0075327568</v>
      </c>
    </row>
    <row r="169" spans="1:12" ht="15">
      <c r="A169" s="54" t="s">
        <v>10</v>
      </c>
      <c r="B169" s="43"/>
      <c r="C169" s="43"/>
      <c r="D169" s="43"/>
      <c r="E169" s="43">
        <f t="shared" si="52"/>
        <v>0</v>
      </c>
      <c r="F169" s="43">
        <f t="shared" si="54"/>
        <v>-1260767.2738461006</v>
      </c>
      <c r="G169" s="43"/>
      <c r="H169" s="45">
        <v>0.012</v>
      </c>
      <c r="I169" s="43">
        <f t="shared" si="56"/>
        <v>-1260.7672738461006</v>
      </c>
      <c r="J169" s="43">
        <f t="shared" si="57"/>
        <v>-269900.50096050225</v>
      </c>
      <c r="K169" s="43"/>
      <c r="L169" s="43">
        <f t="shared" si="53"/>
        <v>-1530667.7748066029</v>
      </c>
    </row>
    <row r="170" spans="1:12" ht="15">
      <c r="A170" s="54" t="s">
        <v>11</v>
      </c>
      <c r="B170" s="43"/>
      <c r="C170" s="43"/>
      <c r="D170" s="43"/>
      <c r="E170" s="43">
        <f t="shared" si="52"/>
        <v>0</v>
      </c>
      <c r="F170" s="43">
        <f t="shared" si="54"/>
        <v>-1260767.2738461006</v>
      </c>
      <c r="G170" s="43"/>
      <c r="H170" s="45">
        <f t="shared" si="55"/>
        <v>0.012</v>
      </c>
      <c r="I170" s="43">
        <f t="shared" si="56"/>
        <v>-1260.7672738461006</v>
      </c>
      <c r="J170" s="43">
        <f t="shared" si="57"/>
        <v>-271161.26823434833</v>
      </c>
      <c r="K170" s="43"/>
      <c r="L170" s="43">
        <f t="shared" si="53"/>
        <v>-1531928.542080449</v>
      </c>
    </row>
    <row r="171" spans="1:12" ht="15">
      <c r="A171" s="54" t="s">
        <v>12</v>
      </c>
      <c r="B171" s="44"/>
      <c r="C171" s="44"/>
      <c r="D171" s="44"/>
      <c r="E171" s="44">
        <f t="shared" si="52"/>
        <v>0</v>
      </c>
      <c r="F171" s="44">
        <f t="shared" si="54"/>
        <v>-1260767.2738461006</v>
      </c>
      <c r="G171" s="44"/>
      <c r="H171" s="60">
        <f t="shared" si="55"/>
        <v>0.012</v>
      </c>
      <c r="I171" s="44">
        <f t="shared" si="56"/>
        <v>-1260.7672738461006</v>
      </c>
      <c r="J171" s="44">
        <f t="shared" si="57"/>
        <v>-272422.0355081944</v>
      </c>
      <c r="K171" s="44"/>
      <c r="L171" s="44">
        <f t="shared" si="53"/>
        <v>-1533189.309354295</v>
      </c>
    </row>
    <row r="172" spans="1:12" ht="15">
      <c r="A172" s="54" t="s">
        <v>13</v>
      </c>
      <c r="B172" s="43">
        <f>SUM(B160:B171)</f>
        <v>0</v>
      </c>
      <c r="C172" s="43">
        <f>SUM(C160:C171)</f>
        <v>0</v>
      </c>
      <c r="D172" s="43">
        <f>SUM(D160:D171)</f>
        <v>0</v>
      </c>
      <c r="E172" s="43">
        <f>SUM(E160:E171)</f>
        <v>0</v>
      </c>
      <c r="F172" s="43"/>
      <c r="G172" s="43"/>
      <c r="H172" s="45"/>
      <c r="I172" s="43">
        <f>SUM(I160:I171)</f>
        <v>-10054.619008922651</v>
      </c>
      <c r="J172" s="43"/>
      <c r="K172" s="43"/>
      <c r="L172" s="43"/>
    </row>
    <row r="173" spans="1:12" ht="15">
      <c r="A173" s="54"/>
      <c r="B173" s="43"/>
      <c r="C173" s="43"/>
      <c r="D173" s="43"/>
      <c r="E173" s="43"/>
      <c r="F173" s="43"/>
      <c r="G173" s="43"/>
      <c r="H173" s="45"/>
      <c r="I173" s="43"/>
      <c r="J173" s="43"/>
      <c r="K173" s="43"/>
      <c r="L173" s="43"/>
    </row>
    <row r="174" spans="1:12" ht="15">
      <c r="A174" s="54"/>
      <c r="B174" s="43"/>
      <c r="C174" s="43"/>
      <c r="D174" s="43"/>
      <c r="E174" s="43"/>
      <c r="F174" s="43"/>
      <c r="G174" s="43"/>
      <c r="H174" s="45"/>
      <c r="I174" s="43"/>
      <c r="J174" s="43"/>
      <c r="K174" s="43"/>
      <c r="L174" s="43"/>
    </row>
    <row r="175" spans="1:12" ht="18">
      <c r="A175" s="55" t="s">
        <v>0</v>
      </c>
      <c r="B175" s="61">
        <v>2011</v>
      </c>
      <c r="C175" s="43"/>
      <c r="D175" s="43"/>
      <c r="E175" s="43"/>
      <c r="F175" s="43"/>
      <c r="G175" s="43"/>
      <c r="H175" s="45"/>
      <c r="I175" s="43"/>
      <c r="J175" s="43"/>
      <c r="K175" s="43"/>
      <c r="L175" s="43"/>
    </row>
    <row r="176" spans="1:12" ht="15">
      <c r="A176" s="54"/>
      <c r="B176" s="57"/>
      <c r="C176" s="57"/>
      <c r="D176" s="81" t="str">
        <f>$D$5</f>
        <v>SIMPILS True-Up Adjustments    (neg = CR)</v>
      </c>
      <c r="E176" s="82" t="s">
        <v>14</v>
      </c>
      <c r="F176" s="82"/>
      <c r="G176" s="57"/>
      <c r="H176" s="82" t="s">
        <v>15</v>
      </c>
      <c r="I176" s="82"/>
      <c r="J176" s="82"/>
      <c r="K176" s="57"/>
      <c r="L176" s="81" t="s">
        <v>5</v>
      </c>
    </row>
    <row r="177" spans="1:12" ht="26.25">
      <c r="A177" s="54"/>
      <c r="B177" s="58" t="s">
        <v>2</v>
      </c>
      <c r="C177" s="58" t="s">
        <v>3</v>
      </c>
      <c r="D177" s="81"/>
      <c r="E177" s="57" t="s">
        <v>4</v>
      </c>
      <c r="F177" s="57" t="s">
        <v>71</v>
      </c>
      <c r="G177" s="57"/>
      <c r="H177" s="59" t="s">
        <v>6</v>
      </c>
      <c r="I177" s="57" t="s">
        <v>4</v>
      </c>
      <c r="J177" s="57" t="s">
        <v>71</v>
      </c>
      <c r="K177" s="57"/>
      <c r="L177" s="81"/>
    </row>
    <row r="178" spans="1:12" ht="15">
      <c r="A178" s="54" t="s">
        <v>7</v>
      </c>
      <c r="B178" s="43"/>
      <c r="C178" s="43"/>
      <c r="D178" s="43"/>
      <c r="E178" s="43">
        <f aca="true" t="shared" si="58" ref="E178:E189">B178-C178+D178</f>
        <v>0</v>
      </c>
      <c r="F178" s="43">
        <f>F171+E178</f>
        <v>-1260767.2738461006</v>
      </c>
      <c r="G178" s="43"/>
      <c r="H178" s="45">
        <v>0.0147</v>
      </c>
      <c r="I178" s="43">
        <f>H178*F171/12</f>
        <v>-1544.4399104614731</v>
      </c>
      <c r="J178" s="43">
        <f>J171+I178</f>
        <v>-273966.4754186559</v>
      </c>
      <c r="K178" s="43"/>
      <c r="L178" s="43">
        <f aca="true" t="shared" si="59" ref="L178:L189">F178+J178</f>
        <v>-1534733.7492647565</v>
      </c>
    </row>
    <row r="179" spans="1:12" ht="15">
      <c r="A179" s="54" t="s">
        <v>8</v>
      </c>
      <c r="B179" s="43"/>
      <c r="C179" s="43"/>
      <c r="D179" s="43"/>
      <c r="E179" s="43">
        <f t="shared" si="58"/>
        <v>0</v>
      </c>
      <c r="F179" s="43">
        <f>F178+E179</f>
        <v>-1260767.2738461006</v>
      </c>
      <c r="G179" s="43"/>
      <c r="H179" s="45">
        <f>H178</f>
        <v>0.0147</v>
      </c>
      <c r="I179" s="43">
        <f>H179*F178/12</f>
        <v>-1544.4399104614731</v>
      </c>
      <c r="J179" s="43">
        <f>I179+J178</f>
        <v>-275510.9153291174</v>
      </c>
      <c r="K179" s="43"/>
      <c r="L179" s="43">
        <f t="shared" si="59"/>
        <v>-1536278.1891752179</v>
      </c>
    </row>
    <row r="180" spans="1:12" ht="15">
      <c r="A180" s="54" t="s">
        <v>9</v>
      </c>
      <c r="B180" s="43"/>
      <c r="C180" s="43"/>
      <c r="D180" s="43"/>
      <c r="E180" s="43">
        <f t="shared" si="58"/>
        <v>0</v>
      </c>
      <c r="F180" s="43">
        <f aca="true" t="shared" si="60" ref="F180:F189">F179+E180</f>
        <v>-1260767.2738461006</v>
      </c>
      <c r="G180" s="43"/>
      <c r="H180" s="45">
        <f aca="true" t="shared" si="61" ref="H180:H189">H179</f>
        <v>0.0147</v>
      </c>
      <c r="I180" s="43">
        <f>H180*F179/12</f>
        <v>-1544.4399104614731</v>
      </c>
      <c r="J180" s="43">
        <f>I180+J179</f>
        <v>-277055.3552395789</v>
      </c>
      <c r="K180" s="43"/>
      <c r="L180" s="43">
        <f t="shared" si="59"/>
        <v>-1537822.6290856795</v>
      </c>
    </row>
    <row r="181" spans="1:12" ht="15">
      <c r="A181" s="54" t="s">
        <v>16</v>
      </c>
      <c r="B181" s="43"/>
      <c r="C181" s="43"/>
      <c r="D181" s="43"/>
      <c r="E181" s="43">
        <f t="shared" si="58"/>
        <v>0</v>
      </c>
      <c r="F181" s="43">
        <f t="shared" si="60"/>
        <v>-1260767.2738461006</v>
      </c>
      <c r="G181" s="43"/>
      <c r="H181" s="45">
        <f t="shared" si="61"/>
        <v>0.0147</v>
      </c>
      <c r="I181" s="43">
        <f>H181*F180/12</f>
        <v>-1544.4399104614731</v>
      </c>
      <c r="J181" s="43">
        <f>I181+J180</f>
        <v>-278599.79515004036</v>
      </c>
      <c r="K181" s="43"/>
      <c r="L181" s="43">
        <f t="shared" si="59"/>
        <v>-1539367.068996141</v>
      </c>
    </row>
    <row r="182" spans="1:12" ht="15">
      <c r="A182" s="54" t="s">
        <v>17</v>
      </c>
      <c r="B182" s="43"/>
      <c r="C182" s="43"/>
      <c r="D182" s="43"/>
      <c r="E182" s="43">
        <f t="shared" si="58"/>
        <v>0</v>
      </c>
      <c r="F182" s="43">
        <f t="shared" si="60"/>
        <v>-1260767.2738461006</v>
      </c>
      <c r="G182" s="43"/>
      <c r="H182" s="45">
        <f t="shared" si="61"/>
        <v>0.0147</v>
      </c>
      <c r="I182" s="43">
        <f aca="true" t="shared" si="62" ref="I182:I189">H182*F181/12</f>
        <v>-1544.4399104614731</v>
      </c>
      <c r="J182" s="43">
        <f aca="true" t="shared" si="63" ref="J182:J189">I182+J181</f>
        <v>-280144.23506050184</v>
      </c>
      <c r="K182" s="43"/>
      <c r="L182" s="43">
        <f t="shared" si="59"/>
        <v>-1540911.5089066024</v>
      </c>
    </row>
    <row r="183" spans="1:12" ht="15">
      <c r="A183" s="54" t="s">
        <v>18</v>
      </c>
      <c r="B183" s="43"/>
      <c r="C183" s="43"/>
      <c r="D183" s="43"/>
      <c r="E183" s="43">
        <f t="shared" si="58"/>
        <v>0</v>
      </c>
      <c r="F183" s="43">
        <f t="shared" si="60"/>
        <v>-1260767.2738461006</v>
      </c>
      <c r="G183" s="43"/>
      <c r="H183" s="45">
        <f t="shared" si="61"/>
        <v>0.0147</v>
      </c>
      <c r="I183" s="43">
        <f t="shared" si="62"/>
        <v>-1544.4399104614731</v>
      </c>
      <c r="J183" s="43">
        <f t="shared" si="63"/>
        <v>-281688.67497096333</v>
      </c>
      <c r="K183" s="43"/>
      <c r="L183" s="43">
        <f t="shared" si="59"/>
        <v>-1542455.9488170638</v>
      </c>
    </row>
    <row r="184" spans="1:12" ht="15">
      <c r="A184" s="54" t="s">
        <v>19</v>
      </c>
      <c r="B184" s="43"/>
      <c r="C184" s="43"/>
      <c r="D184" s="43"/>
      <c r="E184" s="43">
        <f t="shared" si="58"/>
        <v>0</v>
      </c>
      <c r="F184" s="43">
        <f t="shared" si="60"/>
        <v>-1260767.2738461006</v>
      </c>
      <c r="G184" s="43"/>
      <c r="H184" s="45">
        <f t="shared" si="61"/>
        <v>0.0147</v>
      </c>
      <c r="I184" s="43">
        <f t="shared" si="62"/>
        <v>-1544.4399104614731</v>
      </c>
      <c r="J184" s="43">
        <f t="shared" si="63"/>
        <v>-283233.1148814248</v>
      </c>
      <c r="K184" s="43"/>
      <c r="L184" s="43">
        <f t="shared" si="59"/>
        <v>-1544000.3887275252</v>
      </c>
    </row>
    <row r="185" spans="1:12" ht="15">
      <c r="A185" s="54" t="s">
        <v>20</v>
      </c>
      <c r="B185" s="43"/>
      <c r="C185" s="43"/>
      <c r="D185" s="43"/>
      <c r="E185" s="43">
        <f t="shared" si="58"/>
        <v>0</v>
      </c>
      <c r="F185" s="43">
        <f t="shared" si="60"/>
        <v>-1260767.2738461006</v>
      </c>
      <c r="G185" s="43"/>
      <c r="H185" s="45">
        <f t="shared" si="61"/>
        <v>0.0147</v>
      </c>
      <c r="I185" s="43">
        <f t="shared" si="62"/>
        <v>-1544.4399104614731</v>
      </c>
      <c r="J185" s="43">
        <f t="shared" si="63"/>
        <v>-284777.5547918863</v>
      </c>
      <c r="K185" s="43"/>
      <c r="L185" s="43">
        <f t="shared" si="59"/>
        <v>-1545544.828637987</v>
      </c>
    </row>
    <row r="186" spans="1:12" ht="15">
      <c r="A186" s="54" t="s">
        <v>21</v>
      </c>
      <c r="B186" s="43"/>
      <c r="C186" s="43"/>
      <c r="D186" s="43"/>
      <c r="E186" s="43">
        <f t="shared" si="58"/>
        <v>0</v>
      </c>
      <c r="F186" s="43">
        <f t="shared" si="60"/>
        <v>-1260767.2738461006</v>
      </c>
      <c r="G186" s="43"/>
      <c r="H186" s="45">
        <f t="shared" si="61"/>
        <v>0.0147</v>
      </c>
      <c r="I186" s="43">
        <f t="shared" si="62"/>
        <v>-1544.4399104614731</v>
      </c>
      <c r="J186" s="43">
        <f t="shared" si="63"/>
        <v>-286321.9947023478</v>
      </c>
      <c r="K186" s="43"/>
      <c r="L186" s="43">
        <f t="shared" si="59"/>
        <v>-1547089.2685484483</v>
      </c>
    </row>
    <row r="187" spans="1:12" ht="15">
      <c r="A187" s="54" t="s">
        <v>10</v>
      </c>
      <c r="B187" s="43"/>
      <c r="C187" s="43"/>
      <c r="D187" s="43"/>
      <c r="E187" s="43">
        <f t="shared" si="58"/>
        <v>0</v>
      </c>
      <c r="F187" s="43">
        <f t="shared" si="60"/>
        <v>-1260767.2738461006</v>
      </c>
      <c r="G187" s="43"/>
      <c r="H187" s="45">
        <f t="shared" si="61"/>
        <v>0.0147</v>
      </c>
      <c r="I187" s="43">
        <f t="shared" si="62"/>
        <v>-1544.4399104614731</v>
      </c>
      <c r="J187" s="43">
        <f t="shared" si="63"/>
        <v>-287866.4346128093</v>
      </c>
      <c r="K187" s="43"/>
      <c r="L187" s="43">
        <f t="shared" si="59"/>
        <v>-1548633.7084589098</v>
      </c>
    </row>
    <row r="188" spans="1:12" ht="15">
      <c r="A188" s="54" t="s">
        <v>11</v>
      </c>
      <c r="B188" s="43"/>
      <c r="C188" s="43"/>
      <c r="D188" s="43"/>
      <c r="E188" s="43">
        <f t="shared" si="58"/>
        <v>0</v>
      </c>
      <c r="F188" s="43">
        <f t="shared" si="60"/>
        <v>-1260767.2738461006</v>
      </c>
      <c r="G188" s="43"/>
      <c r="H188" s="45">
        <f t="shared" si="61"/>
        <v>0.0147</v>
      </c>
      <c r="I188" s="43">
        <f t="shared" si="62"/>
        <v>-1544.4399104614731</v>
      </c>
      <c r="J188" s="43">
        <f t="shared" si="63"/>
        <v>-289410.87452327076</v>
      </c>
      <c r="K188" s="43"/>
      <c r="L188" s="43">
        <f t="shared" si="59"/>
        <v>-1550178.1483693714</v>
      </c>
    </row>
    <row r="189" spans="1:12" ht="15">
      <c r="A189" s="54" t="s">
        <v>12</v>
      </c>
      <c r="B189" s="44"/>
      <c r="C189" s="44"/>
      <c r="D189" s="44"/>
      <c r="E189" s="44">
        <f t="shared" si="58"/>
        <v>0</v>
      </c>
      <c r="F189" s="44">
        <f t="shared" si="60"/>
        <v>-1260767.2738461006</v>
      </c>
      <c r="G189" s="44"/>
      <c r="H189" s="60">
        <f t="shared" si="61"/>
        <v>0.0147</v>
      </c>
      <c r="I189" s="44">
        <f t="shared" si="62"/>
        <v>-1544.4399104614731</v>
      </c>
      <c r="J189" s="44">
        <f t="shared" si="63"/>
        <v>-290955.31443373224</v>
      </c>
      <c r="K189" s="44"/>
      <c r="L189" s="44">
        <f t="shared" si="59"/>
        <v>-1551722.5882798329</v>
      </c>
    </row>
    <row r="190" spans="1:12" ht="15">
      <c r="A190" s="54" t="s">
        <v>13</v>
      </c>
      <c r="B190" s="43">
        <f>SUM(B178:B189)</f>
        <v>0</v>
      </c>
      <c r="C190" s="43">
        <f>SUM(C178:C189)</f>
        <v>0</v>
      </c>
      <c r="D190" s="43">
        <f>SUM(D178:D189)</f>
        <v>0</v>
      </c>
      <c r="E190" s="43">
        <f>SUM(E178:E189)</f>
        <v>0</v>
      </c>
      <c r="F190" s="43"/>
      <c r="G190" s="43"/>
      <c r="H190" s="45"/>
      <c r="I190" s="43">
        <f>SUM(I178:I189)</f>
        <v>-18533.278925537677</v>
      </c>
      <c r="J190" s="43"/>
      <c r="K190" s="43"/>
      <c r="L190" s="43"/>
    </row>
    <row r="191" spans="1:12" ht="15">
      <c r="A191" s="54"/>
      <c r="B191" s="43"/>
      <c r="C191" s="43"/>
      <c r="D191" s="43"/>
      <c r="E191" s="43"/>
      <c r="F191" s="43"/>
      <c r="G191" s="43"/>
      <c r="H191" s="45"/>
      <c r="I191" s="43"/>
      <c r="J191" s="43"/>
      <c r="K191" s="43"/>
      <c r="L191" s="43"/>
    </row>
    <row r="192" spans="1:12" ht="15">
      <c r="A192" s="54"/>
      <c r="B192" s="43"/>
      <c r="C192" s="43"/>
      <c r="D192" s="43"/>
      <c r="E192" s="43"/>
      <c r="F192" s="43"/>
      <c r="G192" s="43"/>
      <c r="H192" s="45"/>
      <c r="I192" s="43"/>
      <c r="J192" s="43"/>
      <c r="K192" s="43"/>
      <c r="L192" s="43"/>
    </row>
    <row r="193" spans="1:12" ht="18">
      <c r="A193" s="55" t="s">
        <v>0</v>
      </c>
      <c r="B193" s="61">
        <v>2012</v>
      </c>
      <c r="C193" s="43"/>
      <c r="D193" s="43"/>
      <c r="E193" s="43"/>
      <c r="F193" s="43"/>
      <c r="G193" s="43"/>
      <c r="H193" s="45"/>
      <c r="I193" s="43"/>
      <c r="J193" s="43"/>
      <c r="K193" s="43"/>
      <c r="L193" s="43"/>
    </row>
    <row r="194" spans="1:12" ht="15">
      <c r="A194" s="54"/>
      <c r="B194" s="57"/>
      <c r="C194" s="57"/>
      <c r="D194" s="81" t="str">
        <f>$D$5</f>
        <v>SIMPILS True-Up Adjustments    (neg = CR)</v>
      </c>
      <c r="E194" s="82" t="s">
        <v>14</v>
      </c>
      <c r="F194" s="82"/>
      <c r="G194" s="57"/>
      <c r="H194" s="82" t="s">
        <v>15</v>
      </c>
      <c r="I194" s="82"/>
      <c r="J194" s="82"/>
      <c r="K194" s="57"/>
      <c r="L194" s="81" t="s">
        <v>5</v>
      </c>
    </row>
    <row r="195" spans="1:12" ht="26.25">
      <c r="A195" s="54"/>
      <c r="B195" s="58" t="s">
        <v>2</v>
      </c>
      <c r="C195" s="58" t="s">
        <v>3</v>
      </c>
      <c r="D195" s="81"/>
      <c r="E195" s="57" t="s">
        <v>4</v>
      </c>
      <c r="F195" s="57" t="s">
        <v>71</v>
      </c>
      <c r="G195" s="57"/>
      <c r="H195" s="59" t="s">
        <v>6</v>
      </c>
      <c r="I195" s="57" t="s">
        <v>4</v>
      </c>
      <c r="J195" s="57" t="s">
        <v>71</v>
      </c>
      <c r="K195" s="57"/>
      <c r="L195" s="81"/>
    </row>
    <row r="196" spans="1:12" ht="15">
      <c r="A196" s="54" t="s">
        <v>7</v>
      </c>
      <c r="B196" s="43"/>
      <c r="C196" s="43"/>
      <c r="D196" s="43"/>
      <c r="E196" s="43">
        <f aca="true" t="shared" si="64" ref="E196:E207">B196-C196+D196</f>
        <v>0</v>
      </c>
      <c r="F196" s="43">
        <f>F189+E196</f>
        <v>-1260767.2738461006</v>
      </c>
      <c r="G196" s="43"/>
      <c r="H196" s="45">
        <f>H189</f>
        <v>0.0147</v>
      </c>
      <c r="I196" s="43">
        <f>H196*F189/12</f>
        <v>-1544.4399104614731</v>
      </c>
      <c r="J196" s="43">
        <f>J189+I196</f>
        <v>-292499.75434419373</v>
      </c>
      <c r="K196" s="43"/>
      <c r="L196" s="43">
        <f aca="true" t="shared" si="65" ref="L196:L207">F196+J196</f>
        <v>-1553267.0281902943</v>
      </c>
    </row>
    <row r="197" spans="1:12" ht="15">
      <c r="A197" s="54" t="s">
        <v>8</v>
      </c>
      <c r="B197" s="43"/>
      <c r="C197" s="43"/>
      <c r="D197" s="43"/>
      <c r="E197" s="43">
        <f t="shared" si="64"/>
        <v>0</v>
      </c>
      <c r="F197" s="43">
        <f>F196+E197</f>
        <v>-1260767.2738461006</v>
      </c>
      <c r="G197" s="43"/>
      <c r="H197" s="45">
        <f>H196</f>
        <v>0.0147</v>
      </c>
      <c r="I197" s="43">
        <f aca="true" t="shared" si="66" ref="I197:I202">H197*F196/12</f>
        <v>-1544.4399104614731</v>
      </c>
      <c r="J197" s="43">
        <f>I197+J196</f>
        <v>-294044.1942546552</v>
      </c>
      <c r="K197" s="43"/>
      <c r="L197" s="43">
        <f t="shared" si="65"/>
        <v>-1554811.4681007557</v>
      </c>
    </row>
    <row r="198" spans="1:12" ht="15">
      <c r="A198" s="54" t="s">
        <v>9</v>
      </c>
      <c r="B198" s="43"/>
      <c r="C198" s="43"/>
      <c r="D198" s="43"/>
      <c r="E198" s="43">
        <f t="shared" si="64"/>
        <v>0</v>
      </c>
      <c r="F198" s="43">
        <f aca="true" t="shared" si="67" ref="F198:F207">F197+E198</f>
        <v>-1260767.2738461006</v>
      </c>
      <c r="G198" s="43"/>
      <c r="H198" s="45">
        <f aca="true" t="shared" si="68" ref="H198:H207">H197</f>
        <v>0.0147</v>
      </c>
      <c r="I198" s="43">
        <f t="shared" si="66"/>
        <v>-1544.4399104614731</v>
      </c>
      <c r="J198" s="43">
        <f>I198+J197</f>
        <v>-295588.6341651167</v>
      </c>
      <c r="K198" s="43"/>
      <c r="L198" s="43">
        <f t="shared" si="65"/>
        <v>-1556355.9080112171</v>
      </c>
    </row>
    <row r="199" spans="1:12" ht="15">
      <c r="A199" s="54" t="s">
        <v>16</v>
      </c>
      <c r="B199" s="43"/>
      <c r="C199" s="43"/>
      <c r="D199" s="43"/>
      <c r="E199" s="43">
        <f t="shared" si="64"/>
        <v>0</v>
      </c>
      <c r="F199" s="43">
        <f t="shared" si="67"/>
        <v>-1260767.2738461006</v>
      </c>
      <c r="G199" s="43"/>
      <c r="H199" s="45">
        <f t="shared" si="68"/>
        <v>0.0147</v>
      </c>
      <c r="I199" s="43">
        <f t="shared" si="66"/>
        <v>-1544.4399104614731</v>
      </c>
      <c r="J199" s="43">
        <f>I199+J198</f>
        <v>-297133.0740755782</v>
      </c>
      <c r="K199" s="43"/>
      <c r="L199" s="43">
        <f t="shared" si="65"/>
        <v>-1557900.3479216788</v>
      </c>
    </row>
    <row r="200" spans="1:12" ht="15">
      <c r="A200" s="54" t="s">
        <v>17</v>
      </c>
      <c r="B200" s="43"/>
      <c r="C200" s="43"/>
      <c r="D200" s="43"/>
      <c r="E200" s="43">
        <f t="shared" si="64"/>
        <v>0</v>
      </c>
      <c r="F200" s="43">
        <f t="shared" si="67"/>
        <v>-1260767.2738461006</v>
      </c>
      <c r="G200" s="43"/>
      <c r="H200" s="45">
        <f t="shared" si="68"/>
        <v>0.0147</v>
      </c>
      <c r="I200" s="43">
        <f t="shared" si="66"/>
        <v>-1544.4399104614731</v>
      </c>
      <c r="J200" s="43">
        <f aca="true" t="shared" si="69" ref="J200:J207">I200+J199</f>
        <v>-298677.5139860397</v>
      </c>
      <c r="K200" s="43"/>
      <c r="L200" s="43">
        <f t="shared" si="65"/>
        <v>-1559444.7878321402</v>
      </c>
    </row>
    <row r="201" spans="1:12" ht="15">
      <c r="A201" s="54" t="s">
        <v>18</v>
      </c>
      <c r="B201" s="43"/>
      <c r="C201" s="43"/>
      <c r="D201" s="43"/>
      <c r="E201" s="43">
        <f t="shared" si="64"/>
        <v>0</v>
      </c>
      <c r="F201" s="43">
        <f t="shared" si="67"/>
        <v>-1260767.2738461006</v>
      </c>
      <c r="G201" s="43"/>
      <c r="H201" s="45">
        <f t="shared" si="68"/>
        <v>0.0147</v>
      </c>
      <c r="I201" s="43">
        <f t="shared" si="66"/>
        <v>-1544.4399104614731</v>
      </c>
      <c r="J201" s="43">
        <f t="shared" si="69"/>
        <v>-300221.95389650116</v>
      </c>
      <c r="K201" s="43"/>
      <c r="L201" s="43">
        <f t="shared" si="65"/>
        <v>-1560989.2277426017</v>
      </c>
    </row>
    <row r="202" spans="1:12" ht="15">
      <c r="A202" s="54" t="s">
        <v>19</v>
      </c>
      <c r="B202" s="43"/>
      <c r="C202" s="43"/>
      <c r="D202" s="43"/>
      <c r="E202" s="43">
        <f t="shared" si="64"/>
        <v>0</v>
      </c>
      <c r="F202" s="43">
        <f t="shared" si="67"/>
        <v>-1260767.2738461006</v>
      </c>
      <c r="G202" s="43"/>
      <c r="H202" s="45">
        <f t="shared" si="68"/>
        <v>0.0147</v>
      </c>
      <c r="I202" s="43">
        <f t="shared" si="66"/>
        <v>-1544.4399104614731</v>
      </c>
      <c r="J202" s="43">
        <f t="shared" si="69"/>
        <v>-301766.39380696265</v>
      </c>
      <c r="K202" s="43"/>
      <c r="L202" s="43">
        <f t="shared" si="65"/>
        <v>-1562533.6676530633</v>
      </c>
    </row>
    <row r="203" spans="1:12" ht="15">
      <c r="A203" s="54" t="s">
        <v>20</v>
      </c>
      <c r="B203" s="43"/>
      <c r="C203" s="43"/>
      <c r="D203" s="43"/>
      <c r="E203" s="43">
        <f t="shared" si="64"/>
        <v>0</v>
      </c>
      <c r="F203" s="43">
        <f t="shared" si="67"/>
        <v>-1260767.2738461006</v>
      </c>
      <c r="G203" s="43"/>
      <c r="H203" s="45">
        <f t="shared" si="68"/>
        <v>0.0147</v>
      </c>
      <c r="I203" s="43">
        <f>H203*F202/12</f>
        <v>-1544.4399104614731</v>
      </c>
      <c r="J203" s="43">
        <f t="shared" si="69"/>
        <v>-303310.83371742413</v>
      </c>
      <c r="K203" s="43"/>
      <c r="L203" s="43">
        <f t="shared" si="65"/>
        <v>-1564078.1075635247</v>
      </c>
    </row>
    <row r="204" spans="1:12" ht="15">
      <c r="A204" s="54" t="s">
        <v>21</v>
      </c>
      <c r="B204" s="43"/>
      <c r="C204" s="43"/>
      <c r="D204" s="43"/>
      <c r="E204" s="43">
        <f t="shared" si="64"/>
        <v>0</v>
      </c>
      <c r="F204" s="43">
        <f t="shared" si="67"/>
        <v>-1260767.2738461006</v>
      </c>
      <c r="G204" s="43"/>
      <c r="H204" s="45">
        <f t="shared" si="68"/>
        <v>0.0147</v>
      </c>
      <c r="I204" s="43">
        <f>H204*F203/12</f>
        <v>-1544.4399104614731</v>
      </c>
      <c r="J204" s="43">
        <f t="shared" si="69"/>
        <v>-304855.2736278856</v>
      </c>
      <c r="K204" s="43"/>
      <c r="L204" s="43">
        <f t="shared" si="65"/>
        <v>-1565622.5474739862</v>
      </c>
    </row>
    <row r="205" spans="1:12" ht="15">
      <c r="A205" s="54" t="s">
        <v>10</v>
      </c>
      <c r="B205" s="43"/>
      <c r="C205" s="43"/>
      <c r="D205" s="43"/>
      <c r="E205" s="43">
        <f t="shared" si="64"/>
        <v>0</v>
      </c>
      <c r="F205" s="43">
        <f t="shared" si="67"/>
        <v>-1260767.2738461006</v>
      </c>
      <c r="G205" s="43"/>
      <c r="H205" s="45">
        <f t="shared" si="68"/>
        <v>0.0147</v>
      </c>
      <c r="I205" s="43">
        <f>H205*F204/12</f>
        <v>-1544.4399104614731</v>
      </c>
      <c r="J205" s="43">
        <f t="shared" si="69"/>
        <v>-306399.7135383471</v>
      </c>
      <c r="K205" s="43"/>
      <c r="L205" s="43">
        <f t="shared" si="65"/>
        <v>-1567166.9873844476</v>
      </c>
    </row>
    <row r="206" spans="1:12" ht="15">
      <c r="A206" s="54" t="s">
        <v>11</v>
      </c>
      <c r="B206" s="43"/>
      <c r="C206" s="43"/>
      <c r="D206" s="43"/>
      <c r="E206" s="43">
        <f t="shared" si="64"/>
        <v>0</v>
      </c>
      <c r="F206" s="43">
        <f t="shared" si="67"/>
        <v>-1260767.2738461006</v>
      </c>
      <c r="G206" s="43"/>
      <c r="H206" s="45">
        <f t="shared" si="68"/>
        <v>0.0147</v>
      </c>
      <c r="I206" s="43">
        <f>H206*F205/12</f>
        <v>-1544.4399104614731</v>
      </c>
      <c r="J206" s="43">
        <f t="shared" si="69"/>
        <v>-307944.1534488086</v>
      </c>
      <c r="K206" s="43"/>
      <c r="L206" s="43">
        <f t="shared" si="65"/>
        <v>-1568711.427294909</v>
      </c>
    </row>
    <row r="207" spans="1:12" ht="15">
      <c r="A207" s="54" t="s">
        <v>12</v>
      </c>
      <c r="B207" s="44"/>
      <c r="C207" s="44"/>
      <c r="D207" s="44"/>
      <c r="E207" s="44">
        <f t="shared" si="64"/>
        <v>0</v>
      </c>
      <c r="F207" s="99">
        <f t="shared" si="67"/>
        <v>-1260767.2738461006</v>
      </c>
      <c r="G207" s="99"/>
      <c r="H207" s="100">
        <f t="shared" si="68"/>
        <v>0.0147</v>
      </c>
      <c r="I207" s="99">
        <f>H207*F206/12</f>
        <v>-1544.4399104614731</v>
      </c>
      <c r="J207" s="99">
        <f t="shared" si="69"/>
        <v>-309488.5933592701</v>
      </c>
      <c r="K207" s="99"/>
      <c r="L207" s="99">
        <f t="shared" si="65"/>
        <v>-1570255.8672053707</v>
      </c>
    </row>
    <row r="208" spans="1:12" ht="15">
      <c r="A208" s="40"/>
      <c r="B208" s="49"/>
      <c r="C208" s="49"/>
      <c r="D208" s="50"/>
      <c r="E208" s="50"/>
      <c r="F208" s="50"/>
      <c r="G208" s="50"/>
      <c r="H208" s="51"/>
      <c r="I208" s="50"/>
      <c r="J208" s="50"/>
      <c r="K208" s="50"/>
      <c r="L208" s="50"/>
    </row>
    <row r="209" spans="1:12" ht="15">
      <c r="A209" s="40" t="s">
        <v>13</v>
      </c>
      <c r="B209" s="42">
        <f>SUM(B196:B207)</f>
        <v>0</v>
      </c>
      <c r="C209" s="42">
        <f>SUM(C196:C207)</f>
        <v>0</v>
      </c>
      <c r="D209" s="42">
        <f>SUM(D196:D207)</f>
        <v>0</v>
      </c>
      <c r="E209" s="42">
        <f>SUM(E196:E207)</f>
        <v>0</v>
      </c>
      <c r="F209" s="42"/>
      <c r="G209" s="42"/>
      <c r="H209" s="41"/>
      <c r="I209" s="42">
        <f>SUM(I196:I207)</f>
        <v>-18533.278925537677</v>
      </c>
      <c r="J209" s="42"/>
      <c r="K209" s="42"/>
      <c r="L209" s="42"/>
    </row>
    <row r="210" spans="1:12" ht="15">
      <c r="A210" s="46"/>
      <c r="B210" s="47"/>
      <c r="C210" s="47"/>
      <c r="D210" s="47"/>
      <c r="E210" s="47"/>
      <c r="F210" s="47"/>
      <c r="G210" s="47"/>
      <c r="H210" s="48"/>
      <c r="I210" s="47"/>
      <c r="J210" s="47"/>
      <c r="K210" s="47"/>
      <c r="L210" s="47"/>
    </row>
    <row r="211" spans="2:12" ht="15">
      <c r="B211" s="4"/>
      <c r="C211" s="4"/>
      <c r="D211" s="4"/>
      <c r="E211" s="4"/>
      <c r="F211" s="4"/>
      <c r="G211" s="4"/>
      <c r="I211" s="4"/>
      <c r="J211" s="4"/>
      <c r="K211" s="4"/>
      <c r="L211" s="4"/>
    </row>
    <row r="212" spans="2:12" ht="15">
      <c r="B212" s="4"/>
      <c r="C212" s="4"/>
      <c r="D212" s="4"/>
      <c r="E212" s="4"/>
      <c r="F212" s="4"/>
      <c r="G212" s="4"/>
      <c r="I212" s="4"/>
      <c r="J212" s="4"/>
      <c r="K212" s="4"/>
      <c r="L212" s="4"/>
    </row>
    <row r="213" spans="2:12" ht="15">
      <c r="B213" s="4"/>
      <c r="C213" s="4"/>
      <c r="D213" s="4"/>
      <c r="E213" s="4"/>
      <c r="F213" s="4"/>
      <c r="G213" s="4"/>
      <c r="I213" s="4"/>
      <c r="J213" s="4"/>
      <c r="K213" s="4"/>
      <c r="L213" s="4"/>
    </row>
    <row r="214" spans="2:12" ht="15">
      <c r="B214" s="4"/>
      <c r="C214" s="4"/>
      <c r="D214" s="4"/>
      <c r="E214" s="4"/>
      <c r="F214" s="4"/>
      <c r="G214" s="4"/>
      <c r="I214" s="4"/>
      <c r="J214" s="4"/>
      <c r="K214" s="4"/>
      <c r="L214" s="4"/>
    </row>
    <row r="215" spans="2:12" ht="15">
      <c r="B215" s="4"/>
      <c r="C215" s="4"/>
      <c r="D215" s="4"/>
      <c r="E215" s="4"/>
      <c r="F215" s="4"/>
      <c r="G215" s="4"/>
      <c r="I215" s="4"/>
      <c r="J215" s="4"/>
      <c r="K215" s="4"/>
      <c r="L215" s="4"/>
    </row>
    <row r="216" spans="2:12" ht="15">
      <c r="B216" s="4"/>
      <c r="C216" s="4"/>
      <c r="D216" s="4"/>
      <c r="E216" s="4"/>
      <c r="F216" s="4"/>
      <c r="G216" s="4"/>
      <c r="I216" s="4"/>
      <c r="J216" s="4"/>
      <c r="K216" s="4"/>
      <c r="L216" s="4"/>
    </row>
    <row r="217" spans="2:12" ht="15">
      <c r="B217" s="4"/>
      <c r="C217" s="4"/>
      <c r="D217" s="4"/>
      <c r="E217" s="4"/>
      <c r="F217" s="4"/>
      <c r="G217" s="4"/>
      <c r="I217" s="4"/>
      <c r="J217" s="4"/>
      <c r="K217" s="4"/>
      <c r="L217" s="4"/>
    </row>
    <row r="218" spans="2:12" ht="15">
      <c r="B218" s="4"/>
      <c r="C218" s="4"/>
      <c r="D218" s="4"/>
      <c r="E218" s="4"/>
      <c r="F218" s="4"/>
      <c r="G218" s="4"/>
      <c r="I218" s="4"/>
      <c r="J218" s="4"/>
      <c r="K218" s="4"/>
      <c r="L218" s="4"/>
    </row>
    <row r="219" spans="2:12" ht="15">
      <c r="B219" s="4"/>
      <c r="C219" s="4"/>
      <c r="D219" s="4"/>
      <c r="E219" s="4"/>
      <c r="F219" s="4"/>
      <c r="G219" s="4"/>
      <c r="I219" s="4"/>
      <c r="J219" s="4"/>
      <c r="K219" s="4"/>
      <c r="L219" s="4"/>
    </row>
    <row r="220" spans="2:12" ht="15">
      <c r="B220" s="4"/>
      <c r="C220" s="4"/>
      <c r="D220" s="4"/>
      <c r="E220" s="4"/>
      <c r="F220" s="4"/>
      <c r="G220" s="4"/>
      <c r="I220" s="4"/>
      <c r="J220" s="4"/>
      <c r="K220" s="4"/>
      <c r="L220" s="4"/>
    </row>
    <row r="221" spans="2:12" ht="15">
      <c r="B221" s="4"/>
      <c r="C221" s="4"/>
      <c r="D221" s="4"/>
      <c r="E221" s="4"/>
      <c r="F221" s="4"/>
      <c r="G221" s="4"/>
      <c r="I221" s="4"/>
      <c r="J221" s="4"/>
      <c r="K221" s="4"/>
      <c r="L221" s="4"/>
    </row>
    <row r="222" spans="2:12" ht="15">
      <c r="B222" s="4"/>
      <c r="C222" s="4"/>
      <c r="D222" s="4"/>
      <c r="E222" s="4"/>
      <c r="F222" s="4"/>
      <c r="G222" s="4"/>
      <c r="I222" s="4"/>
      <c r="J222" s="4"/>
      <c r="K222" s="4"/>
      <c r="L222" s="4"/>
    </row>
    <row r="223" spans="2:12" ht="15">
      <c r="B223" s="4"/>
      <c r="C223" s="4"/>
      <c r="D223" s="4"/>
      <c r="E223" s="4"/>
      <c r="F223" s="4"/>
      <c r="G223" s="4"/>
      <c r="I223" s="4"/>
      <c r="J223" s="4"/>
      <c r="K223" s="4"/>
      <c r="L223" s="4"/>
    </row>
    <row r="224" spans="2:12" ht="15">
      <c r="B224" s="4"/>
      <c r="C224" s="4"/>
      <c r="D224" s="4"/>
      <c r="E224" s="4"/>
      <c r="F224" s="4"/>
      <c r="G224" s="4"/>
      <c r="I224" s="4"/>
      <c r="J224" s="4"/>
      <c r="K224" s="4"/>
      <c r="L224" s="4"/>
    </row>
    <row r="225" spans="2:12" ht="15">
      <c r="B225" s="4"/>
      <c r="C225" s="4"/>
      <c r="D225" s="4"/>
      <c r="E225" s="4"/>
      <c r="F225" s="4"/>
      <c r="G225" s="4"/>
      <c r="I225" s="4"/>
      <c r="J225" s="4"/>
      <c r="K225" s="4"/>
      <c r="L225" s="4"/>
    </row>
    <row r="226" spans="2:12" ht="15">
      <c r="B226" s="4"/>
      <c r="C226" s="4"/>
      <c r="D226" s="4"/>
      <c r="E226" s="4"/>
      <c r="F226" s="4"/>
      <c r="G226" s="4"/>
      <c r="I226" s="4"/>
      <c r="J226" s="4"/>
      <c r="K226" s="4"/>
      <c r="L226" s="4"/>
    </row>
    <row r="227" spans="2:12" ht="15">
      <c r="B227" s="4"/>
      <c r="C227" s="4"/>
      <c r="D227" s="4"/>
      <c r="E227" s="4"/>
      <c r="F227" s="4"/>
      <c r="G227" s="4"/>
      <c r="I227" s="4"/>
      <c r="J227" s="4"/>
      <c r="K227" s="4"/>
      <c r="L227" s="4"/>
    </row>
    <row r="228" spans="2:12" ht="15">
      <c r="B228" s="4"/>
      <c r="C228" s="4"/>
      <c r="D228" s="4"/>
      <c r="E228" s="4"/>
      <c r="F228" s="4"/>
      <c r="G228" s="4"/>
      <c r="I228" s="4"/>
      <c r="J228" s="4"/>
      <c r="K228" s="4"/>
      <c r="L228" s="4"/>
    </row>
    <row r="229" spans="2:12" ht="15">
      <c r="B229" s="4"/>
      <c r="C229" s="4"/>
      <c r="D229" s="4"/>
      <c r="E229" s="4"/>
      <c r="F229" s="4"/>
      <c r="G229" s="4"/>
      <c r="I229" s="4"/>
      <c r="J229" s="4"/>
      <c r="K229" s="4"/>
      <c r="L229" s="4"/>
    </row>
    <row r="230" spans="2:12" ht="15">
      <c r="B230" s="4"/>
      <c r="C230" s="4"/>
      <c r="D230" s="4"/>
      <c r="E230" s="4"/>
      <c r="F230" s="4"/>
      <c r="G230" s="4"/>
      <c r="I230" s="4"/>
      <c r="J230" s="4"/>
      <c r="K230" s="4"/>
      <c r="L230" s="4"/>
    </row>
    <row r="231" spans="2:12" ht="15">
      <c r="B231" s="4"/>
      <c r="C231" s="4"/>
      <c r="D231" s="4"/>
      <c r="E231" s="4"/>
      <c r="F231" s="4"/>
      <c r="G231" s="4"/>
      <c r="I231" s="4"/>
      <c r="J231" s="4"/>
      <c r="K231" s="4"/>
      <c r="L231" s="4"/>
    </row>
    <row r="232" spans="2:12" ht="15">
      <c r="B232" s="4"/>
      <c r="C232" s="4"/>
      <c r="D232" s="4"/>
      <c r="E232" s="4"/>
      <c r="F232" s="4"/>
      <c r="G232" s="4"/>
      <c r="I232" s="4"/>
      <c r="J232" s="4"/>
      <c r="K232" s="4"/>
      <c r="L232" s="4"/>
    </row>
    <row r="233" spans="2:12" ht="15">
      <c r="B233" s="4"/>
      <c r="C233" s="4"/>
      <c r="D233" s="4"/>
      <c r="E233" s="4"/>
      <c r="F233" s="4"/>
      <c r="G233" s="4"/>
      <c r="I233" s="4"/>
      <c r="J233" s="4"/>
      <c r="K233" s="4"/>
      <c r="L233" s="4"/>
    </row>
    <row r="234" spans="2:12" ht="15">
      <c r="B234" s="4"/>
      <c r="C234" s="4"/>
      <c r="D234" s="4"/>
      <c r="E234" s="4"/>
      <c r="F234" s="4"/>
      <c r="G234" s="4"/>
      <c r="I234" s="4"/>
      <c r="J234" s="4"/>
      <c r="K234" s="4"/>
      <c r="L234" s="4"/>
    </row>
    <row r="235" spans="2:12" ht="15">
      <c r="B235" s="4"/>
      <c r="C235" s="4"/>
      <c r="D235" s="4"/>
      <c r="E235" s="4"/>
      <c r="F235" s="4"/>
      <c r="G235" s="4"/>
      <c r="I235" s="4"/>
      <c r="J235" s="4"/>
      <c r="K235" s="4"/>
      <c r="L235" s="4"/>
    </row>
    <row r="236" spans="2:12" ht="15">
      <c r="B236" s="4"/>
      <c r="C236" s="4"/>
      <c r="D236" s="4"/>
      <c r="E236" s="4"/>
      <c r="F236" s="4"/>
      <c r="G236" s="4"/>
      <c r="I236" s="4"/>
      <c r="J236" s="4"/>
      <c r="K236" s="4"/>
      <c r="L236" s="4"/>
    </row>
    <row r="237" spans="2:12" ht="15">
      <c r="B237" s="4"/>
      <c r="C237" s="4"/>
      <c r="D237" s="4"/>
      <c r="E237" s="4"/>
      <c r="F237" s="4"/>
      <c r="G237" s="4"/>
      <c r="I237" s="4"/>
      <c r="J237" s="4"/>
      <c r="K237" s="4"/>
      <c r="L237" s="4"/>
    </row>
    <row r="238" spans="2:12" ht="15">
      <c r="B238" s="4"/>
      <c r="C238" s="4"/>
      <c r="D238" s="4"/>
      <c r="E238" s="4"/>
      <c r="F238" s="4"/>
      <c r="G238" s="4"/>
      <c r="I238" s="4"/>
      <c r="J238" s="4"/>
      <c r="K238" s="4"/>
      <c r="L238" s="4"/>
    </row>
    <row r="239" spans="2:12" ht="15">
      <c r="B239" s="4"/>
      <c r="C239" s="4"/>
      <c r="D239" s="4"/>
      <c r="E239" s="4"/>
      <c r="F239" s="4"/>
      <c r="G239" s="4"/>
      <c r="I239" s="4"/>
      <c r="J239" s="4"/>
      <c r="K239" s="4"/>
      <c r="L239" s="4"/>
    </row>
    <row r="240" spans="2:12" ht="15">
      <c r="B240" s="4"/>
      <c r="C240" s="4"/>
      <c r="D240" s="4"/>
      <c r="E240" s="4"/>
      <c r="F240" s="4"/>
      <c r="G240" s="4"/>
      <c r="I240" s="4"/>
      <c r="J240" s="4"/>
      <c r="K240" s="4"/>
      <c r="L240" s="4"/>
    </row>
    <row r="241" spans="2:12" ht="15">
      <c r="B241" s="4"/>
      <c r="C241" s="4"/>
      <c r="D241" s="4"/>
      <c r="E241" s="4"/>
      <c r="F241" s="4"/>
      <c r="G241" s="4"/>
      <c r="I241" s="4"/>
      <c r="J241" s="4"/>
      <c r="K241" s="4"/>
      <c r="L241" s="4"/>
    </row>
    <row r="242" spans="2:12" ht="15">
      <c r="B242" s="4"/>
      <c r="C242" s="4"/>
      <c r="D242" s="4"/>
      <c r="E242" s="4"/>
      <c r="F242" s="4"/>
      <c r="G242" s="4"/>
      <c r="I242" s="4"/>
      <c r="J242" s="4"/>
      <c r="K242" s="4"/>
      <c r="L242" s="4"/>
    </row>
    <row r="243" spans="2:12" ht="15">
      <c r="B243" s="4"/>
      <c r="C243" s="4"/>
      <c r="D243" s="4"/>
      <c r="E243" s="4"/>
      <c r="F243" s="4"/>
      <c r="G243" s="4"/>
      <c r="I243" s="4"/>
      <c r="J243" s="4"/>
      <c r="K243" s="4"/>
      <c r="L243" s="4"/>
    </row>
    <row r="244" spans="2:12" ht="15">
      <c r="B244" s="4"/>
      <c r="C244" s="4"/>
      <c r="D244" s="4"/>
      <c r="E244" s="4"/>
      <c r="F244" s="4"/>
      <c r="G244" s="4"/>
      <c r="I244" s="4"/>
      <c r="J244" s="4"/>
      <c r="K244" s="4"/>
      <c r="L244" s="4"/>
    </row>
    <row r="245" spans="2:12" ht="15">
      <c r="B245" s="4"/>
      <c r="C245" s="4"/>
      <c r="D245" s="4"/>
      <c r="E245" s="4"/>
      <c r="F245" s="4"/>
      <c r="G245" s="4"/>
      <c r="I245" s="4"/>
      <c r="J245" s="4"/>
      <c r="K245" s="4"/>
      <c r="L245" s="4"/>
    </row>
    <row r="246" spans="2:12" ht="15">
      <c r="B246" s="4"/>
      <c r="C246" s="4"/>
      <c r="D246" s="4"/>
      <c r="E246" s="4"/>
      <c r="F246" s="4"/>
      <c r="G246" s="4"/>
      <c r="I246" s="4"/>
      <c r="J246" s="4"/>
      <c r="K246" s="4"/>
      <c r="L246" s="4"/>
    </row>
    <row r="247" spans="2:12" ht="15">
      <c r="B247" s="4"/>
      <c r="C247" s="4"/>
      <c r="D247" s="4"/>
      <c r="E247" s="4"/>
      <c r="F247" s="4"/>
      <c r="G247" s="4"/>
      <c r="I247" s="4"/>
      <c r="J247" s="4"/>
      <c r="K247" s="4"/>
      <c r="L247" s="4"/>
    </row>
    <row r="248" spans="2:12" ht="15">
      <c r="B248" s="4"/>
      <c r="C248" s="4"/>
      <c r="D248" s="4"/>
      <c r="E248" s="4"/>
      <c r="F248" s="4"/>
      <c r="G248" s="4"/>
      <c r="I248" s="4"/>
      <c r="J248" s="4"/>
      <c r="K248" s="4"/>
      <c r="L248" s="4"/>
    </row>
    <row r="249" spans="2:12" ht="15">
      <c r="B249" s="4"/>
      <c r="C249" s="4"/>
      <c r="D249" s="4"/>
      <c r="E249" s="4"/>
      <c r="F249" s="4"/>
      <c r="G249" s="4"/>
      <c r="I249" s="4"/>
      <c r="J249" s="4"/>
      <c r="K249" s="4"/>
      <c r="L249" s="4"/>
    </row>
    <row r="250" spans="2:12" ht="15">
      <c r="B250" s="4"/>
      <c r="C250" s="4"/>
      <c r="D250" s="4"/>
      <c r="E250" s="4"/>
      <c r="F250" s="4"/>
      <c r="G250" s="4"/>
      <c r="I250" s="4"/>
      <c r="J250" s="4"/>
      <c r="K250" s="4"/>
      <c r="L250" s="4"/>
    </row>
    <row r="251" spans="2:12" ht="15">
      <c r="B251" s="4"/>
      <c r="C251" s="4"/>
      <c r="D251" s="4"/>
      <c r="E251" s="4"/>
      <c r="F251" s="4"/>
      <c r="G251" s="4"/>
      <c r="I251" s="4"/>
      <c r="J251" s="4"/>
      <c r="K251" s="4"/>
      <c r="L251" s="4"/>
    </row>
    <row r="252" spans="2:12" ht="15">
      <c r="B252" s="4"/>
      <c r="C252" s="4"/>
      <c r="D252" s="4"/>
      <c r="E252" s="4"/>
      <c r="F252" s="4"/>
      <c r="G252" s="4"/>
      <c r="I252" s="4"/>
      <c r="J252" s="4"/>
      <c r="K252" s="4"/>
      <c r="L252" s="4"/>
    </row>
    <row r="253" spans="2:12" ht="15">
      <c r="B253" s="4"/>
      <c r="C253" s="4"/>
      <c r="D253" s="4"/>
      <c r="E253" s="4"/>
      <c r="F253" s="4"/>
      <c r="G253" s="4"/>
      <c r="I253" s="4"/>
      <c r="J253" s="4"/>
      <c r="K253" s="4"/>
      <c r="L253" s="4"/>
    </row>
    <row r="254" spans="2:12" ht="15">
      <c r="B254" s="4"/>
      <c r="C254" s="4"/>
      <c r="D254" s="4"/>
      <c r="E254" s="4"/>
      <c r="F254" s="4"/>
      <c r="G254" s="4"/>
      <c r="I254" s="4"/>
      <c r="J254" s="4"/>
      <c r="K254" s="4"/>
      <c r="L254" s="4"/>
    </row>
    <row r="255" spans="2:12" ht="15">
      <c r="B255" s="4"/>
      <c r="C255" s="4"/>
      <c r="D255" s="4"/>
      <c r="E255" s="4"/>
      <c r="F255" s="4"/>
      <c r="G255" s="4"/>
      <c r="I255" s="4"/>
      <c r="J255" s="4"/>
      <c r="K255" s="4"/>
      <c r="L255" s="4"/>
    </row>
    <row r="256" spans="2:12" ht="15">
      <c r="B256" s="4"/>
      <c r="C256" s="4"/>
      <c r="D256" s="4"/>
      <c r="E256" s="4"/>
      <c r="F256" s="4"/>
      <c r="G256" s="4"/>
      <c r="I256" s="4"/>
      <c r="J256" s="4"/>
      <c r="K256" s="4"/>
      <c r="L256" s="4"/>
    </row>
    <row r="257" spans="2:12" ht="15">
      <c r="B257" s="4"/>
      <c r="C257" s="4"/>
      <c r="D257" s="4"/>
      <c r="E257" s="4"/>
      <c r="F257" s="4"/>
      <c r="G257" s="4"/>
      <c r="I257" s="4"/>
      <c r="J257" s="4"/>
      <c r="K257" s="4"/>
      <c r="L257" s="4"/>
    </row>
    <row r="258" spans="2:12" ht="15">
      <c r="B258" s="4"/>
      <c r="C258" s="4"/>
      <c r="D258" s="4"/>
      <c r="E258" s="4"/>
      <c r="F258" s="4"/>
      <c r="G258" s="4"/>
      <c r="I258" s="4"/>
      <c r="J258" s="4"/>
      <c r="K258" s="4"/>
      <c r="L258" s="4"/>
    </row>
    <row r="259" spans="2:12" ht="15">
      <c r="B259" s="4"/>
      <c r="C259" s="4"/>
      <c r="D259" s="4"/>
      <c r="E259" s="4"/>
      <c r="F259" s="4"/>
      <c r="G259" s="4"/>
      <c r="I259" s="4"/>
      <c r="J259" s="4"/>
      <c r="K259" s="4"/>
      <c r="L259" s="4"/>
    </row>
    <row r="260" spans="2:12" ht="15">
      <c r="B260" s="4"/>
      <c r="C260" s="4"/>
      <c r="D260" s="4"/>
      <c r="E260" s="4"/>
      <c r="F260" s="4"/>
      <c r="G260" s="4"/>
      <c r="I260" s="4"/>
      <c r="J260" s="4"/>
      <c r="K260" s="4"/>
      <c r="L260" s="4"/>
    </row>
    <row r="261" spans="2:12" ht="15">
      <c r="B261" s="4"/>
      <c r="C261" s="4"/>
      <c r="D261" s="4"/>
      <c r="E261" s="4"/>
      <c r="F261" s="4"/>
      <c r="G261" s="4"/>
      <c r="I261" s="4"/>
      <c r="J261" s="4"/>
      <c r="K261" s="4"/>
      <c r="L261" s="4"/>
    </row>
    <row r="262" spans="2:12" ht="15">
      <c r="B262" s="4"/>
      <c r="C262" s="4"/>
      <c r="D262" s="4"/>
      <c r="E262" s="4"/>
      <c r="F262" s="4"/>
      <c r="G262" s="4"/>
      <c r="I262" s="4"/>
      <c r="J262" s="4"/>
      <c r="K262" s="4"/>
      <c r="L262" s="4"/>
    </row>
    <row r="263" spans="2:12" ht="15">
      <c r="B263" s="4"/>
      <c r="C263" s="4"/>
      <c r="D263" s="4"/>
      <c r="E263" s="4"/>
      <c r="F263" s="4"/>
      <c r="G263" s="4"/>
      <c r="I263" s="4"/>
      <c r="J263" s="4"/>
      <c r="K263" s="4"/>
      <c r="L263" s="4"/>
    </row>
  </sheetData>
  <sheetProtection/>
  <mergeCells count="51">
    <mergeCell ref="E194:F194"/>
    <mergeCell ref="H194:J194"/>
    <mergeCell ref="L194:L195"/>
    <mergeCell ref="E158:F158"/>
    <mergeCell ref="H158:J158"/>
    <mergeCell ref="L158:L159"/>
    <mergeCell ref="E176:F176"/>
    <mergeCell ref="H176:J176"/>
    <mergeCell ref="L176:L177"/>
    <mergeCell ref="E122:F122"/>
    <mergeCell ref="H122:J122"/>
    <mergeCell ref="L122:L123"/>
    <mergeCell ref="E140:F140"/>
    <mergeCell ref="H140:J140"/>
    <mergeCell ref="L140:L141"/>
    <mergeCell ref="L50:L51"/>
    <mergeCell ref="E68:F68"/>
    <mergeCell ref="H68:J68"/>
    <mergeCell ref="E104:F104"/>
    <mergeCell ref="H104:J104"/>
    <mergeCell ref="L68:L69"/>
    <mergeCell ref="E86:F86"/>
    <mergeCell ref="H86:J86"/>
    <mergeCell ref="L86:L87"/>
    <mergeCell ref="L104:L105"/>
    <mergeCell ref="D176:D177"/>
    <mergeCell ref="D194:D195"/>
    <mergeCell ref="D158:D159"/>
    <mergeCell ref="E5:F5"/>
    <mergeCell ref="L5:L6"/>
    <mergeCell ref="H5:J5"/>
    <mergeCell ref="E14:F14"/>
    <mergeCell ref="H14:J14"/>
    <mergeCell ref="L14:L15"/>
    <mergeCell ref="E32:F32"/>
    <mergeCell ref="D140:D141"/>
    <mergeCell ref="D5:D6"/>
    <mergeCell ref="D14:D15"/>
    <mergeCell ref="D32:D33"/>
    <mergeCell ref="D50:D51"/>
    <mergeCell ref="D68:D69"/>
    <mergeCell ref="A3:I3"/>
    <mergeCell ref="A1:L1"/>
    <mergeCell ref="A2:L2"/>
    <mergeCell ref="D86:D87"/>
    <mergeCell ref="D104:D105"/>
    <mergeCell ref="D122:D123"/>
    <mergeCell ref="H32:J32"/>
    <mergeCell ref="L32:L33"/>
    <mergeCell ref="E50:F50"/>
    <mergeCell ref="H50:J5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4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5"/>
  <sheetViews>
    <sheetView zoomScale="70" zoomScaleNormal="70" zoomScalePageLayoutView="0" workbookViewId="0" topLeftCell="A1">
      <selection activeCell="AE37" sqref="AE37"/>
    </sheetView>
  </sheetViews>
  <sheetFormatPr defaultColWidth="13.57421875" defaultRowHeight="15"/>
  <cols>
    <col min="1" max="1" width="34.421875" style="15" customWidth="1"/>
    <col min="2" max="2" width="13.57421875" style="15" customWidth="1"/>
    <col min="3" max="3" width="18.00390625" style="15" bestFit="1" customWidth="1"/>
    <col min="4" max="4" width="13.8515625" style="15" customWidth="1"/>
    <col min="5" max="5" width="18.140625" style="15" bestFit="1" customWidth="1"/>
    <col min="6" max="6" width="19.28125" style="15" bestFit="1" customWidth="1"/>
    <col min="7" max="7" width="22.421875" style="15" bestFit="1" customWidth="1"/>
    <col min="8" max="8" width="20.57421875" style="15" bestFit="1" customWidth="1"/>
    <col min="9" max="9" width="23.140625" style="15" bestFit="1" customWidth="1"/>
    <col min="10" max="10" width="19.28125" style="15" bestFit="1" customWidth="1"/>
    <col min="11" max="11" width="15.28125" style="15" customWidth="1"/>
    <col min="12" max="13" width="13.57421875" style="15" bestFit="1" customWidth="1"/>
    <col min="14" max="14" width="14.00390625" style="15" bestFit="1" customWidth="1"/>
    <col min="15" max="15" width="13.57421875" style="15" bestFit="1" customWidth="1"/>
    <col min="16" max="18" width="14.00390625" style="15" bestFit="1" customWidth="1"/>
    <col min="19" max="19" width="13.57421875" style="15" bestFit="1" customWidth="1"/>
    <col min="20" max="20" width="14.00390625" style="15" bestFit="1" customWidth="1"/>
    <col min="21" max="21" width="13.57421875" style="15" bestFit="1" customWidth="1"/>
    <col min="22" max="22" width="14.00390625" style="15" bestFit="1" customWidth="1"/>
    <col min="23" max="23" width="13.57421875" style="15" bestFit="1" customWidth="1"/>
    <col min="24" max="24" width="14.00390625" style="15" bestFit="1" customWidth="1"/>
    <col min="25" max="25" width="14.421875" style="15" bestFit="1" customWidth="1"/>
    <col min="26" max="26" width="14.00390625" style="15" bestFit="1" customWidth="1"/>
    <col min="27" max="27" width="13.7109375" style="15" customWidth="1"/>
    <col min="28" max="28" width="13.28125" style="15" bestFit="1" customWidth="1"/>
    <col min="29" max="244" width="9.140625" style="15" customWidth="1"/>
    <col min="245" max="245" width="21.28125" style="15" customWidth="1"/>
    <col min="246" max="16384" width="13.57421875" style="15" customWidth="1"/>
  </cols>
  <sheetData>
    <row r="1" spans="1:14" ht="21">
      <c r="A1" s="10" t="s">
        <v>63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5">
      <c r="A3" s="2" t="s">
        <v>40</v>
      </c>
      <c r="B3" s="63" t="s">
        <v>64</v>
      </c>
      <c r="C3"/>
      <c r="D3"/>
      <c r="E3"/>
      <c r="F3"/>
      <c r="G3"/>
      <c r="H3"/>
      <c r="I3"/>
      <c r="J3"/>
      <c r="K3"/>
      <c r="L3"/>
      <c r="M3"/>
      <c r="N3"/>
    </row>
    <row r="4" spans="1:14" ht="15">
      <c r="A4" s="2" t="s">
        <v>69</v>
      </c>
      <c r="B4" s="63" t="s">
        <v>96</v>
      </c>
      <c r="C4"/>
      <c r="D4"/>
      <c r="E4"/>
      <c r="F4"/>
      <c r="G4"/>
      <c r="H4"/>
      <c r="I4"/>
      <c r="J4"/>
      <c r="K4"/>
      <c r="L4"/>
      <c r="M4"/>
      <c r="N4"/>
    </row>
    <row r="5" spans="1:14" ht="1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5">
      <c r="A6" s="2"/>
      <c r="B6" s="84" t="s">
        <v>42</v>
      </c>
      <c r="C6" s="84"/>
      <c r="D6" s="84" t="s">
        <v>65</v>
      </c>
      <c r="E6" s="84"/>
      <c r="F6" s="84" t="s">
        <v>66</v>
      </c>
      <c r="G6" s="84"/>
      <c r="H6"/>
      <c r="I6"/>
      <c r="J6"/>
      <c r="K6"/>
      <c r="L6"/>
      <c r="M6"/>
      <c r="N6"/>
    </row>
    <row r="7" spans="1:14" ht="15">
      <c r="A7" s="2" t="s">
        <v>41</v>
      </c>
      <c r="B7" s="3" t="s">
        <v>43</v>
      </c>
      <c r="C7" s="3" t="s">
        <v>44</v>
      </c>
      <c r="D7" s="3" t="s">
        <v>43</v>
      </c>
      <c r="E7" s="3" t="s">
        <v>44</v>
      </c>
      <c r="F7" s="3" t="s">
        <v>43</v>
      </c>
      <c r="G7" s="3" t="s">
        <v>44</v>
      </c>
      <c r="H7"/>
      <c r="I7"/>
      <c r="J7"/>
      <c r="K7"/>
      <c r="L7"/>
      <c r="M7"/>
      <c r="N7"/>
    </row>
    <row r="8" spans="1:14" ht="15">
      <c r="A8" t="s">
        <v>46</v>
      </c>
      <c r="B8" s="4">
        <v>0</v>
      </c>
      <c r="C8" s="9">
        <v>0</v>
      </c>
      <c r="D8" s="4">
        <v>0.6722</v>
      </c>
      <c r="E8" s="9">
        <v>0.000475</v>
      </c>
      <c r="F8" s="4">
        <v>2.3112</v>
      </c>
      <c r="G8" s="9">
        <v>0.001634</v>
      </c>
      <c r="H8" s="35">
        <f aca="true" t="shared" si="0" ref="H8:H13">E8+G8</f>
        <v>0.002109</v>
      </c>
      <c r="I8" s="53">
        <f aca="true" t="shared" si="1" ref="I8:I13">D8+F8</f>
        <v>2.9834</v>
      </c>
      <c r="J8"/>
      <c r="K8"/>
      <c r="L8"/>
      <c r="M8"/>
      <c r="N8"/>
    </row>
    <row r="9" spans="1:14" ht="15">
      <c r="A9" t="s">
        <v>47</v>
      </c>
      <c r="B9" s="4">
        <v>0</v>
      </c>
      <c r="C9" s="9">
        <v>0</v>
      </c>
      <c r="D9" s="4">
        <v>0.87</v>
      </c>
      <c r="E9" s="9">
        <v>0.000763</v>
      </c>
      <c r="F9" s="4">
        <v>2.9915</v>
      </c>
      <c r="G9" s="9">
        <v>0.002623</v>
      </c>
      <c r="H9" s="35">
        <f t="shared" si="0"/>
        <v>0.003386</v>
      </c>
      <c r="I9" s="53">
        <f t="shared" si="1"/>
        <v>3.8615</v>
      </c>
      <c r="J9"/>
      <c r="K9"/>
      <c r="L9"/>
      <c r="M9"/>
      <c r="N9"/>
    </row>
    <row r="10" spans="1:14" ht="15">
      <c r="A10" t="s">
        <v>48</v>
      </c>
      <c r="B10" s="4">
        <v>0</v>
      </c>
      <c r="C10" s="9">
        <v>0</v>
      </c>
      <c r="D10" s="4">
        <v>16.9725</v>
      </c>
      <c r="E10" s="9">
        <v>0.137091</v>
      </c>
      <c r="F10" s="4">
        <v>58.3597</v>
      </c>
      <c r="G10" s="9">
        <v>0.471386</v>
      </c>
      <c r="H10" s="35">
        <f t="shared" si="0"/>
        <v>0.608477</v>
      </c>
      <c r="I10" s="53">
        <f t="shared" si="1"/>
        <v>75.3322</v>
      </c>
      <c r="J10"/>
      <c r="K10"/>
      <c r="L10"/>
      <c r="M10"/>
      <c r="N10"/>
    </row>
    <row r="11" spans="1:14" ht="15">
      <c r="A11" t="s">
        <v>49</v>
      </c>
      <c r="B11" s="4">
        <v>0</v>
      </c>
      <c r="C11" s="9">
        <v>0</v>
      </c>
      <c r="D11" s="4">
        <v>0.0865</v>
      </c>
      <c r="E11" s="9">
        <v>0.072085</v>
      </c>
      <c r="F11" s="4">
        <v>0.2974</v>
      </c>
      <c r="G11" s="9">
        <v>0.247863</v>
      </c>
      <c r="H11" s="35">
        <f t="shared" si="0"/>
        <v>0.319948</v>
      </c>
      <c r="I11" s="53">
        <f t="shared" si="1"/>
        <v>0.3839</v>
      </c>
      <c r="J11"/>
      <c r="K11"/>
      <c r="L11"/>
      <c r="M11"/>
      <c r="N11"/>
    </row>
    <row r="12" spans="1:14" ht="15">
      <c r="A12" t="s">
        <v>50</v>
      </c>
      <c r="B12" s="4">
        <v>0</v>
      </c>
      <c r="C12" s="9">
        <v>0</v>
      </c>
      <c r="D12" s="4">
        <v>0.0151</v>
      </c>
      <c r="E12" s="9">
        <v>0.067568</v>
      </c>
      <c r="F12" s="4">
        <v>0.0521</v>
      </c>
      <c r="G12" s="9">
        <v>0.232332</v>
      </c>
      <c r="H12" s="35">
        <f t="shared" si="0"/>
        <v>0.2999</v>
      </c>
      <c r="I12" s="53">
        <f t="shared" si="1"/>
        <v>0.0672</v>
      </c>
      <c r="J12"/>
      <c r="K12"/>
      <c r="L12"/>
      <c r="M12"/>
      <c r="N12"/>
    </row>
    <row r="13" spans="1:14" ht="15">
      <c r="A13" t="s">
        <v>112</v>
      </c>
      <c r="B13" s="4">
        <f>B9</f>
        <v>0</v>
      </c>
      <c r="C13" s="9">
        <f>C9</f>
        <v>0</v>
      </c>
      <c r="D13" s="4">
        <v>0.87</v>
      </c>
      <c r="E13" s="9">
        <v>0.0008</v>
      </c>
      <c r="F13" s="4">
        <v>2.99</v>
      </c>
      <c r="G13" s="9">
        <v>0.0026</v>
      </c>
      <c r="H13" s="35">
        <f t="shared" si="0"/>
        <v>0.0034</v>
      </c>
      <c r="I13" s="53">
        <f t="shared" si="1"/>
        <v>3.8600000000000003</v>
      </c>
      <c r="J13"/>
      <c r="K13"/>
      <c r="L13"/>
      <c r="M13"/>
      <c r="N13"/>
    </row>
    <row r="14" spans="1:14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21">
      <c r="A15" s="10" t="s">
        <v>62</v>
      </c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26" ht="18.75">
      <c r="A16"/>
      <c r="B16" s="83">
        <v>2002</v>
      </c>
      <c r="C16" s="83"/>
      <c r="D16" s="83"/>
      <c r="E16" s="83"/>
      <c r="F16" s="83"/>
      <c r="G16" s="83"/>
      <c r="H16" s="83"/>
      <c r="I16" s="83"/>
      <c r="J16" s="83"/>
      <c r="K16" s="83"/>
      <c r="L16" s="85">
        <v>2003</v>
      </c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6">
        <v>2004</v>
      </c>
      <c r="Y16" s="86"/>
      <c r="Z16" s="86"/>
    </row>
    <row r="17" spans="1:27" s="17" customFormat="1" ht="15">
      <c r="A17" s="3" t="str">
        <f aca="true" t="shared" si="2" ref="A17:A22">A7</f>
        <v>Rate Class</v>
      </c>
      <c r="B17" s="1" t="s">
        <v>9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51</v>
      </c>
      <c r="H17" s="1" t="s">
        <v>52</v>
      </c>
      <c r="I17" s="1" t="s">
        <v>53</v>
      </c>
      <c r="J17" s="1" t="s">
        <v>54</v>
      </c>
      <c r="K17" s="1" t="s">
        <v>55</v>
      </c>
      <c r="L17" s="1" t="s">
        <v>56</v>
      </c>
      <c r="M17" s="1" t="s">
        <v>57</v>
      </c>
      <c r="N17" s="1" t="s">
        <v>58</v>
      </c>
      <c r="O17" s="1" t="s">
        <v>16</v>
      </c>
      <c r="P17" s="1" t="s">
        <v>17</v>
      </c>
      <c r="Q17" s="1" t="s">
        <v>18</v>
      </c>
      <c r="R17" s="1" t="s">
        <v>19</v>
      </c>
      <c r="S17" s="1" t="s">
        <v>51</v>
      </c>
      <c r="T17" s="1" t="s">
        <v>52</v>
      </c>
      <c r="U17" s="1" t="s">
        <v>53</v>
      </c>
      <c r="V17" s="1" t="s">
        <v>54</v>
      </c>
      <c r="W17" s="1" t="s">
        <v>55</v>
      </c>
      <c r="X17" s="1" t="s">
        <v>56</v>
      </c>
      <c r="Y17" s="1" t="s">
        <v>57</v>
      </c>
      <c r="Z17" s="1" t="s">
        <v>58</v>
      </c>
      <c r="AA17" s="39" t="s">
        <v>16</v>
      </c>
    </row>
    <row r="18" spans="1:27" ht="15">
      <c r="A18" t="str">
        <f t="shared" si="2"/>
        <v>Residential</v>
      </c>
      <c r="B18" s="11">
        <v>0</v>
      </c>
      <c r="C18" s="11">
        <f>17953+561+2025</f>
        <v>20539</v>
      </c>
      <c r="D18" s="11">
        <f>17991+561+2023</f>
        <v>20575</v>
      </c>
      <c r="E18" s="11">
        <f>18033+561+2021</f>
        <v>20615</v>
      </c>
      <c r="F18" s="11">
        <f>18081+561+2020</f>
        <v>20662</v>
      </c>
      <c r="G18" s="11">
        <f>18117+561+2019</f>
        <v>20697</v>
      </c>
      <c r="H18" s="11">
        <f>18154+561+2018</f>
        <v>20733</v>
      </c>
      <c r="I18" s="11">
        <f>18223+561+2015</f>
        <v>20799</v>
      </c>
      <c r="J18" s="11">
        <f>18283+560+2011</f>
        <v>20854</v>
      </c>
      <c r="K18" s="11">
        <f>18394+560+2009</f>
        <v>20963</v>
      </c>
      <c r="L18" s="11">
        <v>21146</v>
      </c>
      <c r="M18" s="11">
        <v>21146</v>
      </c>
      <c r="N18" s="11">
        <v>21146</v>
      </c>
      <c r="O18" s="11">
        <v>21146</v>
      </c>
      <c r="P18" s="11">
        <v>21146</v>
      </c>
      <c r="Q18" s="11">
        <f>18764+559+2006</f>
        <v>21329</v>
      </c>
      <c r="R18" s="11">
        <f>18796+559+2006</f>
        <v>21361</v>
      </c>
      <c r="S18" s="11">
        <f>18849+559+2007</f>
        <v>21415</v>
      </c>
      <c r="T18" s="11">
        <f>18914+559+2006</f>
        <v>21479</v>
      </c>
      <c r="U18" s="11">
        <f>19003+559+2006</f>
        <v>21568</v>
      </c>
      <c r="V18" s="11">
        <f>19088+559+2006</f>
        <v>21653</v>
      </c>
      <c r="W18" s="11">
        <f>19162+559+2006</f>
        <v>21727</v>
      </c>
      <c r="X18" s="11">
        <f>19205+559+2006</f>
        <v>21770</v>
      </c>
      <c r="Y18" s="11">
        <f>19230+559+2006</f>
        <v>21795</v>
      </c>
      <c r="Z18" s="11">
        <f>19314+559+2006</f>
        <v>21879</v>
      </c>
      <c r="AA18" s="11">
        <f>19314+559+2006+35</f>
        <v>21914</v>
      </c>
    </row>
    <row r="19" spans="1:27" ht="15">
      <c r="A19" t="str">
        <f t="shared" si="2"/>
        <v>General Service &lt; 50 kW</v>
      </c>
      <c r="B19" s="11">
        <v>0</v>
      </c>
      <c r="C19" s="11">
        <v>2580</v>
      </c>
      <c r="D19" s="11">
        <v>2582</v>
      </c>
      <c r="E19" s="11">
        <v>2583</v>
      </c>
      <c r="F19" s="11">
        <v>2584</v>
      </c>
      <c r="G19" s="11">
        <v>2588</v>
      </c>
      <c r="H19" s="11">
        <v>2591</v>
      </c>
      <c r="I19" s="11">
        <f>2595</f>
        <v>2595</v>
      </c>
      <c r="J19" s="11">
        <v>2591</v>
      </c>
      <c r="K19" s="11">
        <v>2598</v>
      </c>
      <c r="L19" s="11">
        <f>SUM(K19+Q19)/2</f>
        <v>2603</v>
      </c>
      <c r="M19" s="11">
        <v>2608</v>
      </c>
      <c r="N19" s="11">
        <v>2608</v>
      </c>
      <c r="O19" s="11">
        <v>2608</v>
      </c>
      <c r="P19" s="11">
        <v>725</v>
      </c>
      <c r="Q19" s="11">
        <v>2608</v>
      </c>
      <c r="R19" s="11">
        <v>2618</v>
      </c>
      <c r="S19" s="11">
        <v>2624</v>
      </c>
      <c r="T19" s="11">
        <v>2637</v>
      </c>
      <c r="U19" s="11">
        <v>2633</v>
      </c>
      <c r="V19" s="11">
        <f>2633</f>
        <v>2633</v>
      </c>
      <c r="W19" s="11">
        <v>2630</v>
      </c>
      <c r="X19" s="11">
        <v>2640</v>
      </c>
      <c r="Y19" s="11">
        <v>2641</v>
      </c>
      <c r="Z19" s="11">
        <v>2639</v>
      </c>
      <c r="AA19" s="11">
        <v>2639</v>
      </c>
    </row>
    <row r="20" spans="1:27" ht="15">
      <c r="A20" t="str">
        <f t="shared" si="2"/>
        <v>General Service &gt; 50 kW</v>
      </c>
      <c r="B20" s="11">
        <v>0</v>
      </c>
      <c r="C20" s="11">
        <f>230+44</f>
        <v>274</v>
      </c>
      <c r="D20" s="11">
        <f>212+38+16</f>
        <v>266</v>
      </c>
      <c r="E20" s="11">
        <f>214+33+19</f>
        <v>266</v>
      </c>
      <c r="F20" s="11">
        <f>214+33+19</f>
        <v>266</v>
      </c>
      <c r="G20" s="11">
        <f>214+33+21</f>
        <v>268</v>
      </c>
      <c r="H20" s="11">
        <f>217+33+21</f>
        <v>271</v>
      </c>
      <c r="I20" s="11">
        <f>219+34+21</f>
        <v>274</v>
      </c>
      <c r="J20" s="11">
        <f>221+33+22</f>
        <v>276</v>
      </c>
      <c r="K20" s="11">
        <f>223+33+22</f>
        <v>278</v>
      </c>
      <c r="L20" s="11">
        <v>278</v>
      </c>
      <c r="M20" s="11">
        <v>280</v>
      </c>
      <c r="N20" s="11">
        <v>282</v>
      </c>
      <c r="O20" s="11">
        <v>285</v>
      </c>
      <c r="P20" s="11">
        <v>16</v>
      </c>
      <c r="Q20" s="11">
        <v>286</v>
      </c>
      <c r="R20" s="11">
        <v>283</v>
      </c>
      <c r="S20" s="11">
        <v>284</v>
      </c>
      <c r="T20" s="11">
        <v>289</v>
      </c>
      <c r="U20" s="11">
        <v>292</v>
      </c>
      <c r="V20" s="11">
        <v>296</v>
      </c>
      <c r="W20" s="11">
        <v>299</v>
      </c>
      <c r="X20" s="11">
        <f>245+32+24</f>
        <v>301</v>
      </c>
      <c r="Y20" s="11">
        <f>248+32+24</f>
        <v>304</v>
      </c>
      <c r="Z20" s="11">
        <f>249+32+24</f>
        <v>305</v>
      </c>
      <c r="AA20" s="11">
        <f>249+32+24</f>
        <v>305</v>
      </c>
    </row>
    <row r="21" spans="1:27" ht="15">
      <c r="A21" t="str">
        <f t="shared" si="2"/>
        <v>Sentinel Lights</v>
      </c>
      <c r="B21" s="11">
        <v>0</v>
      </c>
      <c r="C21" s="11">
        <v>305</v>
      </c>
      <c r="D21" s="11">
        <v>305</v>
      </c>
      <c r="E21" s="11">
        <v>305</v>
      </c>
      <c r="F21" s="11">
        <v>305</v>
      </c>
      <c r="G21" s="11">
        <v>305</v>
      </c>
      <c r="H21" s="11">
        <v>305</v>
      </c>
      <c r="I21" s="11">
        <v>305</v>
      </c>
      <c r="J21" s="11">
        <v>305</v>
      </c>
      <c r="K21" s="11">
        <v>305</v>
      </c>
      <c r="L21" s="18">
        <v>400</v>
      </c>
      <c r="M21" s="18">
        <v>400</v>
      </c>
      <c r="N21" s="18">
        <v>400</v>
      </c>
      <c r="O21" s="18">
        <v>400</v>
      </c>
      <c r="P21" s="18">
        <v>400</v>
      </c>
      <c r="Q21" s="18">
        <v>440</v>
      </c>
      <c r="R21" s="18">
        <v>440</v>
      </c>
      <c r="S21" s="18">
        <v>440</v>
      </c>
      <c r="T21" s="18">
        <v>440</v>
      </c>
      <c r="U21" s="18">
        <v>440</v>
      </c>
      <c r="V21" s="18">
        <v>440</v>
      </c>
      <c r="W21" s="18">
        <v>440</v>
      </c>
      <c r="X21" s="18">
        <v>440</v>
      </c>
      <c r="Y21" s="18">
        <v>440</v>
      </c>
      <c r="Z21" s="18">
        <v>440</v>
      </c>
      <c r="AA21" s="18">
        <v>440</v>
      </c>
    </row>
    <row r="22" spans="1:27" ht="15">
      <c r="A22" t="str">
        <f t="shared" si="2"/>
        <v>Street Lights</v>
      </c>
      <c r="B22" s="11">
        <v>0</v>
      </c>
      <c r="C22" s="11">
        <v>7000</v>
      </c>
      <c r="D22" s="11">
        <v>7000</v>
      </c>
      <c r="E22" s="11">
        <v>7000</v>
      </c>
      <c r="F22" s="11">
        <v>7000</v>
      </c>
      <c r="G22" s="11">
        <v>7000</v>
      </c>
      <c r="H22" s="11">
        <v>7000</v>
      </c>
      <c r="I22" s="11">
        <v>7000</v>
      </c>
      <c r="J22" s="11">
        <v>7000</v>
      </c>
      <c r="K22" s="11">
        <v>7000</v>
      </c>
      <c r="L22" s="11">
        <v>7000</v>
      </c>
      <c r="M22" s="11">
        <v>7000</v>
      </c>
      <c r="N22" s="11">
        <v>7000</v>
      </c>
      <c r="O22" s="11">
        <v>7000</v>
      </c>
      <c r="P22" s="11">
        <v>7000</v>
      </c>
      <c r="Q22" s="11">
        <v>7000</v>
      </c>
      <c r="R22" s="11">
        <v>7000</v>
      </c>
      <c r="S22" s="11">
        <v>7000</v>
      </c>
      <c r="T22" s="11">
        <v>7000</v>
      </c>
      <c r="U22" s="11">
        <v>7000</v>
      </c>
      <c r="V22" s="11">
        <v>7000</v>
      </c>
      <c r="W22" s="11">
        <v>7000</v>
      </c>
      <c r="X22" s="11">
        <v>7000</v>
      </c>
      <c r="Y22" s="11">
        <v>7000</v>
      </c>
      <c r="Z22" s="11">
        <v>7000</v>
      </c>
      <c r="AA22" s="11">
        <v>7000</v>
      </c>
    </row>
    <row r="23" spans="1:23" ht="15">
      <c r="A23" t="s">
        <v>68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</row>
    <row r="24" spans="1:14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21">
      <c r="A26" s="10" t="s">
        <v>70</v>
      </c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26" s="17" customFormat="1" ht="18.75">
      <c r="A27" s="1"/>
      <c r="B27" s="83">
        <f>B16</f>
        <v>2002</v>
      </c>
      <c r="C27" s="83"/>
      <c r="D27" s="83"/>
      <c r="E27" s="83"/>
      <c r="F27" s="83"/>
      <c r="G27" s="83"/>
      <c r="H27" s="83"/>
      <c r="I27" s="83"/>
      <c r="J27" s="83"/>
      <c r="K27" s="83"/>
      <c r="L27" s="85">
        <f>L16</f>
        <v>2003</v>
      </c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6">
        <v>2004</v>
      </c>
      <c r="Y27" s="86"/>
      <c r="Z27" s="86"/>
    </row>
    <row r="28" spans="1:28" s="17" customFormat="1" ht="15">
      <c r="A28" s="3" t="str">
        <f aca="true" t="shared" si="3" ref="A28:A33">A7</f>
        <v>Rate Class</v>
      </c>
      <c r="B28" s="1" t="s">
        <v>9</v>
      </c>
      <c r="C28" s="1" t="s">
        <v>16</v>
      </c>
      <c r="D28" s="1" t="s">
        <v>17</v>
      </c>
      <c r="E28" s="1" t="s">
        <v>18</v>
      </c>
      <c r="F28" s="1" t="s">
        <v>19</v>
      </c>
      <c r="G28" s="1" t="s">
        <v>51</v>
      </c>
      <c r="H28" s="1" t="s">
        <v>52</v>
      </c>
      <c r="I28" s="1" t="s">
        <v>53</v>
      </c>
      <c r="J28" s="1" t="s">
        <v>54</v>
      </c>
      <c r="K28" s="1" t="s">
        <v>55</v>
      </c>
      <c r="L28" s="1" t="s">
        <v>56</v>
      </c>
      <c r="M28" s="1" t="s">
        <v>57</v>
      </c>
      <c r="N28" s="1" t="s">
        <v>58</v>
      </c>
      <c r="O28" s="1" t="s">
        <v>16</v>
      </c>
      <c r="P28" s="1" t="s">
        <v>17</v>
      </c>
      <c r="Q28" s="1" t="s">
        <v>18</v>
      </c>
      <c r="R28" s="1" t="s">
        <v>19</v>
      </c>
      <c r="S28" s="1" t="s">
        <v>51</v>
      </c>
      <c r="T28" s="1" t="s">
        <v>52</v>
      </c>
      <c r="U28" s="1" t="s">
        <v>53</v>
      </c>
      <c r="V28" s="1" t="s">
        <v>54</v>
      </c>
      <c r="W28" s="1" t="s">
        <v>55</v>
      </c>
      <c r="X28" s="1" t="s">
        <v>56</v>
      </c>
      <c r="Y28" s="1" t="s">
        <v>57</v>
      </c>
      <c r="Z28" s="1" t="s">
        <v>58</v>
      </c>
      <c r="AA28" s="1" t="s">
        <v>59</v>
      </c>
      <c r="AB28" s="1" t="s">
        <v>17</v>
      </c>
    </row>
    <row r="29" spans="1:28" ht="15">
      <c r="A29" t="str">
        <f t="shared" si="3"/>
        <v>Residential</v>
      </c>
      <c r="B29" s="11">
        <v>3580686</v>
      </c>
      <c r="C29" s="11">
        <v>15871615</v>
      </c>
      <c r="D29" s="11">
        <v>15322400</v>
      </c>
      <c r="E29" s="11">
        <v>14705206</v>
      </c>
      <c r="F29" s="11">
        <v>18638697</v>
      </c>
      <c r="G29" s="11">
        <v>25397789</v>
      </c>
      <c r="H29" s="11">
        <v>23702425</v>
      </c>
      <c r="I29" s="11">
        <v>18559229</v>
      </c>
      <c r="J29" s="11">
        <v>17117701</v>
      </c>
      <c r="K29" s="11">
        <v>17385901</v>
      </c>
      <c r="L29" s="11">
        <v>19425966</v>
      </c>
      <c r="M29" s="11">
        <v>30114337</v>
      </c>
      <c r="N29" s="11">
        <v>19014513</v>
      </c>
      <c r="O29" s="11">
        <v>11960775</v>
      </c>
      <c r="P29" s="11">
        <v>14495618</v>
      </c>
      <c r="Q29" s="11">
        <v>15602598</v>
      </c>
      <c r="R29" s="11">
        <v>17835006</v>
      </c>
      <c r="S29" s="11">
        <v>21792499</v>
      </c>
      <c r="T29" s="11">
        <v>20637159</v>
      </c>
      <c r="U29" s="11">
        <v>15815909</v>
      </c>
      <c r="V29" s="11">
        <v>16426962</v>
      </c>
      <c r="W29" s="11">
        <v>17843464</v>
      </c>
      <c r="X29" s="11">
        <v>22274429</v>
      </c>
      <c r="Y29" s="11">
        <v>22795238</v>
      </c>
      <c r="Z29" s="11">
        <v>19281014</v>
      </c>
      <c r="AA29" s="52">
        <v>16545536</v>
      </c>
      <c r="AB29" s="52">
        <v>3109505</v>
      </c>
    </row>
    <row r="30" spans="1:28" ht="15">
      <c r="A30" t="str">
        <f t="shared" si="3"/>
        <v>General Service &lt; 50 kW</v>
      </c>
      <c r="B30" s="11">
        <v>1636667</v>
      </c>
      <c r="C30" s="11">
        <v>8245217</v>
      </c>
      <c r="D30" s="11">
        <v>8342937</v>
      </c>
      <c r="E30" s="11">
        <v>7470734</v>
      </c>
      <c r="F30" s="11">
        <v>9259132</v>
      </c>
      <c r="G30" s="11">
        <v>9896120</v>
      </c>
      <c r="H30" s="11">
        <v>9793585</v>
      </c>
      <c r="I30" s="11">
        <v>7790615</v>
      </c>
      <c r="J30" s="11">
        <v>8388672</v>
      </c>
      <c r="K30" s="11">
        <v>8433187</v>
      </c>
      <c r="L30" s="11">
        <v>10257709</v>
      </c>
      <c r="M30" s="11">
        <v>6618072</v>
      </c>
      <c r="N30" s="11">
        <v>10148719</v>
      </c>
      <c r="O30" s="11">
        <v>3511129</v>
      </c>
      <c r="P30" s="11">
        <v>13541434</v>
      </c>
      <c r="Q30" s="11">
        <v>8857029</v>
      </c>
      <c r="R30" s="11">
        <v>8720772</v>
      </c>
      <c r="S30" s="11">
        <v>8672965</v>
      </c>
      <c r="T30" s="11">
        <v>8249474</v>
      </c>
      <c r="U30" s="11">
        <v>7863865</v>
      </c>
      <c r="V30" s="11">
        <v>7896229</v>
      </c>
      <c r="W30" s="11">
        <v>8026645</v>
      </c>
      <c r="X30" s="11">
        <v>10402243</v>
      </c>
      <c r="Y30" s="11">
        <v>9059227</v>
      </c>
      <c r="Z30" s="11">
        <v>8986262</v>
      </c>
      <c r="AA30" s="11">
        <v>7460423</v>
      </c>
      <c r="AB30" s="52">
        <v>121585</v>
      </c>
    </row>
    <row r="31" spans="1:28" ht="15">
      <c r="A31" t="str">
        <f t="shared" si="3"/>
        <v>General Service &gt; 50 kW</v>
      </c>
      <c r="B31" s="11">
        <v>9947.8</v>
      </c>
      <c r="C31" s="11">
        <v>56064</v>
      </c>
      <c r="D31" s="11">
        <v>59392</v>
      </c>
      <c r="E31" s="11">
        <v>60357.2</v>
      </c>
      <c r="F31" s="11">
        <v>64757.3</v>
      </c>
      <c r="G31" s="11">
        <v>64080.8</v>
      </c>
      <c r="H31" s="11">
        <v>63406</v>
      </c>
      <c r="I31" s="11">
        <v>64291</v>
      </c>
      <c r="J31" s="11">
        <v>64558.9</v>
      </c>
      <c r="K31" s="11">
        <v>58503.8</v>
      </c>
      <c r="L31" s="11">
        <v>70577.3</v>
      </c>
      <c r="M31" s="11">
        <v>44104.5</v>
      </c>
      <c r="N31" s="11">
        <v>68223</v>
      </c>
      <c r="O31" s="11">
        <v>18609.6</v>
      </c>
      <c r="P31" s="11">
        <v>59644</v>
      </c>
      <c r="Q31" s="11">
        <v>59978.4</v>
      </c>
      <c r="R31" s="11">
        <v>66777</v>
      </c>
      <c r="S31" s="11">
        <v>63523</v>
      </c>
      <c r="T31" s="11">
        <v>65406.6</v>
      </c>
      <c r="U31" s="11">
        <v>62531.8</v>
      </c>
      <c r="V31" s="11">
        <v>57950.5</v>
      </c>
      <c r="W31" s="11">
        <v>60374.7</v>
      </c>
      <c r="X31" s="11">
        <v>65428.5</v>
      </c>
      <c r="Y31" s="11">
        <v>61958.9</v>
      </c>
      <c r="Z31" s="11">
        <v>62992.5</v>
      </c>
      <c r="AA31" s="15">
        <v>57676.8</v>
      </c>
      <c r="AB31" s="52">
        <v>5030.6</v>
      </c>
    </row>
    <row r="32" spans="1:27" ht="15">
      <c r="A32" t="str">
        <f t="shared" si="3"/>
        <v>Sentinel Lights</v>
      </c>
      <c r="B32" s="18">
        <v>30</v>
      </c>
      <c r="C32" s="18">
        <v>30</v>
      </c>
      <c r="D32" s="18">
        <v>30</v>
      </c>
      <c r="E32" s="18">
        <v>30</v>
      </c>
      <c r="F32" s="18">
        <v>30</v>
      </c>
      <c r="G32" s="18">
        <v>30</v>
      </c>
      <c r="H32" s="18">
        <v>30</v>
      </c>
      <c r="I32" s="18">
        <v>30</v>
      </c>
      <c r="J32" s="18">
        <v>30</v>
      </c>
      <c r="K32" s="18">
        <v>45</v>
      </c>
      <c r="L32" s="18">
        <v>79</v>
      </c>
      <c r="M32" s="18">
        <v>79</v>
      </c>
      <c r="N32" s="18">
        <v>79</v>
      </c>
      <c r="O32" s="18">
        <v>79</v>
      </c>
      <c r="P32" s="18">
        <v>79</v>
      </c>
      <c r="Q32" s="18">
        <v>79</v>
      </c>
      <c r="R32" s="18">
        <v>79</v>
      </c>
      <c r="S32" s="18">
        <v>79</v>
      </c>
      <c r="T32" s="18">
        <v>79</v>
      </c>
      <c r="U32" s="18">
        <v>79</v>
      </c>
      <c r="V32" s="18">
        <v>79</v>
      </c>
      <c r="W32" s="18">
        <v>79</v>
      </c>
      <c r="X32" s="18">
        <v>79</v>
      </c>
      <c r="Y32" s="18">
        <v>79</v>
      </c>
      <c r="Z32" s="18">
        <v>79</v>
      </c>
      <c r="AA32" s="18">
        <v>79</v>
      </c>
    </row>
    <row r="33" spans="1:27" ht="15">
      <c r="A33" t="str">
        <f t="shared" si="3"/>
        <v>Street Lights</v>
      </c>
      <c r="B33" s="11">
        <v>386</v>
      </c>
      <c r="C33" s="11">
        <v>386</v>
      </c>
      <c r="D33" s="11">
        <v>386</v>
      </c>
      <c r="E33" s="11">
        <v>386</v>
      </c>
      <c r="F33" s="11">
        <v>386</v>
      </c>
      <c r="G33" s="11">
        <v>386</v>
      </c>
      <c r="H33" s="11">
        <v>386</v>
      </c>
      <c r="I33" s="11">
        <v>386</v>
      </c>
      <c r="J33" s="11">
        <v>386</v>
      </c>
      <c r="K33" s="11">
        <v>386</v>
      </c>
      <c r="L33" s="11">
        <v>961</v>
      </c>
      <c r="M33" s="11">
        <v>961</v>
      </c>
      <c r="N33" s="11">
        <v>961</v>
      </c>
      <c r="O33" s="11">
        <v>961</v>
      </c>
      <c r="P33" s="11">
        <v>961</v>
      </c>
      <c r="Q33" s="11">
        <v>961</v>
      </c>
      <c r="R33" s="11">
        <v>961</v>
      </c>
      <c r="S33" s="11">
        <v>961</v>
      </c>
      <c r="T33" s="11">
        <v>961</v>
      </c>
      <c r="U33" s="11">
        <v>961</v>
      </c>
      <c r="V33" s="11">
        <v>961</v>
      </c>
      <c r="W33" s="11">
        <v>961</v>
      </c>
      <c r="X33" s="11">
        <v>1028</v>
      </c>
      <c r="Y33" s="11">
        <v>1028</v>
      </c>
      <c r="Z33" s="11">
        <v>1028</v>
      </c>
      <c r="AA33" s="11">
        <v>1028</v>
      </c>
    </row>
    <row r="34" spans="1:26" ht="15">
      <c r="A34" t="s">
        <v>67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</row>
    <row r="35" spans="1:14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21">
      <c r="A37" s="10" t="s">
        <v>60</v>
      </c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26" ht="18.75">
      <c r="A39"/>
      <c r="B39" s="83">
        <f>B27</f>
        <v>2002</v>
      </c>
      <c r="C39" s="83"/>
      <c r="D39" s="83"/>
      <c r="E39" s="83"/>
      <c r="F39" s="83"/>
      <c r="G39" s="83"/>
      <c r="H39" s="83"/>
      <c r="I39" s="83"/>
      <c r="J39" s="83"/>
      <c r="K39" s="83"/>
      <c r="L39" s="85">
        <f>L27</f>
        <v>2003</v>
      </c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6">
        <v>2004</v>
      </c>
      <c r="Y39" s="86"/>
      <c r="Z39" s="86"/>
    </row>
    <row r="40" spans="1:26" s="17" customFormat="1" ht="15">
      <c r="A40" s="3" t="str">
        <f aca="true" t="shared" si="4" ref="A40:A46">A28</f>
        <v>Rate Class</v>
      </c>
      <c r="B40" s="1" t="s">
        <v>9</v>
      </c>
      <c r="C40" s="1" t="s">
        <v>16</v>
      </c>
      <c r="D40" s="1" t="s">
        <v>17</v>
      </c>
      <c r="E40" s="1" t="s">
        <v>18</v>
      </c>
      <c r="F40" s="1" t="s">
        <v>19</v>
      </c>
      <c r="G40" s="1" t="s">
        <v>51</v>
      </c>
      <c r="H40" s="1" t="s">
        <v>52</v>
      </c>
      <c r="I40" s="1" t="s">
        <v>53</v>
      </c>
      <c r="J40" s="1" t="s">
        <v>54</v>
      </c>
      <c r="K40" s="1" t="s">
        <v>55</v>
      </c>
      <c r="L40" s="1" t="s">
        <v>56</v>
      </c>
      <c r="M40" s="1" t="s">
        <v>57</v>
      </c>
      <c r="N40" s="1" t="s">
        <v>58</v>
      </c>
      <c r="O40" s="1" t="s">
        <v>16</v>
      </c>
      <c r="P40" s="1" t="s">
        <v>17</v>
      </c>
      <c r="Q40" s="1" t="s">
        <v>18</v>
      </c>
      <c r="R40" s="1" t="s">
        <v>19</v>
      </c>
      <c r="S40" s="1" t="s">
        <v>51</v>
      </c>
      <c r="T40" s="1" t="s">
        <v>52</v>
      </c>
      <c r="U40" s="1" t="s">
        <v>53</v>
      </c>
      <c r="V40" s="1" t="s">
        <v>54</v>
      </c>
      <c r="W40" s="1" t="s">
        <v>55</v>
      </c>
      <c r="X40" s="1" t="s">
        <v>56</v>
      </c>
      <c r="Y40" s="1" t="s">
        <v>57</v>
      </c>
      <c r="Z40" s="1" t="s">
        <v>58</v>
      </c>
    </row>
    <row r="41" spans="1:28" ht="15">
      <c r="A41" s="12" t="str">
        <f t="shared" si="4"/>
        <v>Residential</v>
      </c>
      <c r="B41" s="11">
        <f>(B18*($D$8+$F$8)+B29*($E$8+$G$8))</f>
        <v>7551.666774</v>
      </c>
      <c r="C41" s="11">
        <f aca="true" t="shared" si="5" ref="C41:Y41">(C18*($D$8+$F$8)+C29*($E$8+$G$8))</f>
        <v>94749.288635</v>
      </c>
      <c r="D41" s="11">
        <f t="shared" si="5"/>
        <v>93698.39660000001</v>
      </c>
      <c r="E41" s="11">
        <f t="shared" si="5"/>
        <v>92516.070454</v>
      </c>
      <c r="F41" s="11">
        <f t="shared" si="5"/>
        <v>100952.022773</v>
      </c>
      <c r="G41" s="11">
        <f t="shared" si="5"/>
        <v>115311.366801</v>
      </c>
      <c r="H41" s="11">
        <f>(H18*($D$8+$F$8)+H29*($E$8+$G$8))</f>
        <v>111843.24652500001</v>
      </c>
      <c r="I41" s="11">
        <f t="shared" si="5"/>
        <v>101193.15056100002</v>
      </c>
      <c r="J41" s="11">
        <f t="shared" si="5"/>
        <v>98317.055009</v>
      </c>
      <c r="K41" s="11">
        <f t="shared" si="5"/>
        <v>99207.879409</v>
      </c>
      <c r="L41" s="11">
        <f t="shared" si="5"/>
        <v>104056.338694</v>
      </c>
      <c r="M41" s="11">
        <f t="shared" si="5"/>
        <v>126598.113133</v>
      </c>
      <c r="N41" s="11">
        <f t="shared" si="5"/>
        <v>103188.584317</v>
      </c>
      <c r="O41" s="11">
        <f t="shared" si="5"/>
        <v>88312.250875</v>
      </c>
      <c r="P41" s="11">
        <f t="shared" si="5"/>
        <v>93658.23476200001</v>
      </c>
      <c r="Q41" s="11">
        <f t="shared" si="5"/>
        <v>96538.817782</v>
      </c>
      <c r="R41" s="11">
        <f t="shared" si="5"/>
        <v>101342.435054</v>
      </c>
      <c r="S41" s="11">
        <f t="shared" si="5"/>
        <v>109849.89139100001</v>
      </c>
      <c r="T41" s="11">
        <f t="shared" si="5"/>
        <v>107604.216931</v>
      </c>
      <c r="U41" s="11">
        <f t="shared" si="5"/>
        <v>97701.72328100001</v>
      </c>
      <c r="V41" s="11">
        <f t="shared" si="5"/>
        <v>99244.023058</v>
      </c>
      <c r="W41" s="11">
        <f t="shared" si="5"/>
        <v>102452.197376</v>
      </c>
      <c r="X41" s="11">
        <f t="shared" si="5"/>
        <v>111925.38876100001</v>
      </c>
      <c r="Y41" s="11">
        <f t="shared" si="5"/>
        <v>113098.35994200001</v>
      </c>
      <c r="Z41" s="11">
        <f>(Z18*($D$8+$F$8)+Z29*($E$8+$G$8))</f>
        <v>105937.467126</v>
      </c>
      <c r="AA41" s="11">
        <f>(AA18*($D$8+$F$8)+AA29*($E$8+$G$8))</f>
        <v>100272.763024</v>
      </c>
      <c r="AB41" s="11">
        <f>(AB18*($D$8+$F$8)+AB29*($E$8+$G$8))</f>
        <v>6557.946045000001</v>
      </c>
    </row>
    <row r="42" spans="1:28" ht="15">
      <c r="A42" s="12" t="str">
        <f t="shared" si="4"/>
        <v>General Service &lt; 50 kW</v>
      </c>
      <c r="B42" s="11">
        <f>(B19*($D$9+$F$9)+B30*($E$9+$G$9))</f>
        <v>5541.754462</v>
      </c>
      <c r="C42" s="11">
        <f aca="true" t="shared" si="6" ref="C42:AB42">(C19*($D$9+$F$9)+C30*($E$9+$G$9))</f>
        <v>37880.974762</v>
      </c>
      <c r="D42" s="11">
        <f t="shared" si="6"/>
        <v>38219.577682</v>
      </c>
      <c r="E42" s="11">
        <f t="shared" si="6"/>
        <v>35270.159824</v>
      </c>
      <c r="F42" s="11">
        <f t="shared" si="6"/>
        <v>41329.536952</v>
      </c>
      <c r="G42" s="11">
        <f t="shared" si="6"/>
        <v>43501.82432</v>
      </c>
      <c r="H42" s="11">
        <f t="shared" si="6"/>
        <v>43166.225309999994</v>
      </c>
      <c r="I42" s="11">
        <f t="shared" si="6"/>
        <v>36399.614890000004</v>
      </c>
      <c r="J42" s="11">
        <f t="shared" si="6"/>
        <v>38409.189891999995</v>
      </c>
      <c r="K42" s="11">
        <f t="shared" si="6"/>
        <v>38586.948182</v>
      </c>
      <c r="L42" s="11">
        <f t="shared" si="6"/>
        <v>44784.087174</v>
      </c>
      <c r="M42" s="11">
        <f t="shared" si="6"/>
        <v>32479.583791999998</v>
      </c>
      <c r="N42" s="11">
        <f t="shared" si="6"/>
        <v>44434.354534000006</v>
      </c>
      <c r="O42" s="11">
        <f t="shared" si="6"/>
        <v>21959.474794</v>
      </c>
      <c r="P42" s="11">
        <f t="shared" si="6"/>
        <v>48650.883024</v>
      </c>
      <c r="Q42" s="11">
        <f t="shared" si="6"/>
        <v>40060.692194</v>
      </c>
      <c r="R42" s="11">
        <f t="shared" si="6"/>
        <v>39637.940992</v>
      </c>
      <c r="S42" s="11">
        <f t="shared" si="6"/>
        <v>39499.23549</v>
      </c>
      <c r="T42" s="11">
        <f t="shared" si="6"/>
        <v>38115.494464</v>
      </c>
      <c r="U42" s="11">
        <f t="shared" si="6"/>
        <v>36794.376390000005</v>
      </c>
      <c r="V42" s="11">
        <f t="shared" si="6"/>
        <v>36903.960894</v>
      </c>
      <c r="W42" s="11">
        <f t="shared" si="6"/>
        <v>37333.96497</v>
      </c>
      <c r="X42" s="11">
        <f t="shared" si="6"/>
        <v>45416.354798</v>
      </c>
      <c r="Y42" s="11">
        <f t="shared" si="6"/>
        <v>40872.764122</v>
      </c>
      <c r="Z42" s="11">
        <f t="shared" si="6"/>
        <v>40617.981632</v>
      </c>
      <c r="AA42" s="11">
        <f t="shared" si="6"/>
        <v>35451.490778</v>
      </c>
      <c r="AB42" s="11">
        <f t="shared" si="6"/>
        <v>411.68681000000004</v>
      </c>
    </row>
    <row r="43" spans="1:28" ht="15">
      <c r="A43" s="12" t="str">
        <f t="shared" si="4"/>
        <v>General Service &gt; 50 kW</v>
      </c>
      <c r="B43" s="11">
        <f>(B20*($D$10+$F$10)+B31*($E$10+$G$10))</f>
        <v>6053.0075006</v>
      </c>
      <c r="C43" s="11">
        <f aca="true" t="shared" si="7" ref="C43:AB43">(C20*($D$10+$F$10)+C31*($E$10+$G$10))</f>
        <v>54754.677328</v>
      </c>
      <c r="D43" s="11">
        <f t="shared" si="7"/>
        <v>56177.031184</v>
      </c>
      <c r="E43" s="11">
        <f t="shared" si="7"/>
        <v>56764.3331844</v>
      </c>
      <c r="F43" s="11">
        <f t="shared" si="7"/>
        <v>59441.6928321</v>
      </c>
      <c r="G43" s="11">
        <f t="shared" si="7"/>
        <v>59180.72254160001</v>
      </c>
      <c r="H43" s="11">
        <f t="shared" si="7"/>
        <v>58996.118862</v>
      </c>
      <c r="I43" s="11">
        <f t="shared" si="7"/>
        <v>59760.617607</v>
      </c>
      <c r="J43" s="11">
        <f t="shared" si="7"/>
        <v>60074.292995300006</v>
      </c>
      <c r="K43" s="11">
        <f t="shared" si="7"/>
        <v>56540.56831260001</v>
      </c>
      <c r="L43" s="11">
        <f t="shared" si="7"/>
        <v>63887.01537210001</v>
      </c>
      <c r="M43" s="11">
        <f t="shared" si="7"/>
        <v>47929.58984650001</v>
      </c>
      <c r="N43" s="11">
        <f t="shared" si="7"/>
        <v>62755.806771</v>
      </c>
      <c r="O43" s="11">
        <f t="shared" si="7"/>
        <v>32793.1905792</v>
      </c>
      <c r="P43" s="11">
        <f t="shared" si="7"/>
        <v>37497.317388</v>
      </c>
      <c r="Q43" s="11">
        <f t="shared" si="7"/>
        <v>58040.48609680001</v>
      </c>
      <c r="R43" s="11">
        <f t="shared" si="7"/>
        <v>61951.28122900001</v>
      </c>
      <c r="S43" s="11">
        <f t="shared" si="7"/>
        <v>60046.629271000005</v>
      </c>
      <c r="T43" s="11">
        <f t="shared" si="7"/>
        <v>61569.4175482</v>
      </c>
      <c r="U43" s="11">
        <f t="shared" si="7"/>
        <v>60046.16446860001</v>
      </c>
      <c r="V43" s="11">
        <f t="shared" si="7"/>
        <v>57559.8775885</v>
      </c>
      <c r="W43" s="11">
        <f t="shared" si="7"/>
        <v>59260.9441319</v>
      </c>
      <c r="X43" s="11">
        <f t="shared" si="7"/>
        <v>62486.7295945</v>
      </c>
      <c r="Y43" s="11">
        <f t="shared" si="7"/>
        <v>60601.5543953</v>
      </c>
      <c r="Z43" s="11">
        <f t="shared" si="7"/>
        <v>61305.808422500006</v>
      </c>
      <c r="AA43" s="11">
        <f t="shared" si="7"/>
        <v>58071.32723360001</v>
      </c>
      <c r="AB43" s="11">
        <f t="shared" si="7"/>
        <v>3061.0043962000004</v>
      </c>
    </row>
    <row r="44" spans="1:28" ht="15">
      <c r="A44" s="12" t="str">
        <f t="shared" si="4"/>
        <v>Sentinel Lights</v>
      </c>
      <c r="B44" s="11">
        <f>(B21*($D$11+$F$11)+B32*($E$11+$G$11))</f>
        <v>9.59844</v>
      </c>
      <c r="C44" s="11">
        <f aca="true" t="shared" si="8" ref="C44:AB44">(C21*($D$11+$F$11)+C32*($E$11+$G$11))</f>
        <v>126.68794</v>
      </c>
      <c r="D44" s="11">
        <f t="shared" si="8"/>
        <v>126.68794</v>
      </c>
      <c r="E44" s="11">
        <f t="shared" si="8"/>
        <v>126.68794</v>
      </c>
      <c r="F44" s="11">
        <f t="shared" si="8"/>
        <v>126.68794</v>
      </c>
      <c r="G44" s="11">
        <f t="shared" si="8"/>
        <v>126.68794</v>
      </c>
      <c r="H44" s="11">
        <f t="shared" si="8"/>
        <v>126.68794</v>
      </c>
      <c r="I44" s="11">
        <f t="shared" si="8"/>
        <v>126.68794</v>
      </c>
      <c r="J44" s="11">
        <f t="shared" si="8"/>
        <v>126.68794</v>
      </c>
      <c r="K44" s="11">
        <f t="shared" si="8"/>
        <v>131.48716</v>
      </c>
      <c r="L44" s="11">
        <f t="shared" si="8"/>
        <v>178.835892</v>
      </c>
      <c r="M44" s="11">
        <f t="shared" si="8"/>
        <v>178.835892</v>
      </c>
      <c r="N44" s="11">
        <f aca="true" t="shared" si="9" ref="N44:S44">(N21*($D$11+$F$11)+N32*($E$11+$G$11))</f>
        <v>178.835892</v>
      </c>
      <c r="O44" s="11">
        <f t="shared" si="9"/>
        <v>178.835892</v>
      </c>
      <c r="P44" s="11">
        <f t="shared" si="9"/>
        <v>178.835892</v>
      </c>
      <c r="Q44" s="11">
        <f t="shared" si="9"/>
        <v>194.191892</v>
      </c>
      <c r="R44" s="11">
        <f t="shared" si="9"/>
        <v>194.191892</v>
      </c>
      <c r="S44" s="11">
        <f t="shared" si="9"/>
        <v>194.191892</v>
      </c>
      <c r="T44" s="11">
        <f t="shared" si="8"/>
        <v>194.191892</v>
      </c>
      <c r="U44" s="11">
        <f t="shared" si="8"/>
        <v>194.191892</v>
      </c>
      <c r="V44" s="11">
        <f t="shared" si="8"/>
        <v>194.191892</v>
      </c>
      <c r="W44" s="11">
        <f t="shared" si="8"/>
        <v>194.191892</v>
      </c>
      <c r="X44" s="11">
        <f t="shared" si="8"/>
        <v>194.191892</v>
      </c>
      <c r="Y44" s="11">
        <f t="shared" si="8"/>
        <v>194.191892</v>
      </c>
      <c r="Z44" s="11">
        <f t="shared" si="8"/>
        <v>194.191892</v>
      </c>
      <c r="AA44" s="11">
        <f t="shared" si="8"/>
        <v>194.191892</v>
      </c>
      <c r="AB44" s="11">
        <f t="shared" si="8"/>
        <v>0</v>
      </c>
    </row>
    <row r="45" spans="1:28" ht="15">
      <c r="A45" s="12" t="str">
        <f t="shared" si="4"/>
        <v>Street Lights</v>
      </c>
      <c r="B45" s="11">
        <f>(B22*($D$12+$F$12)+B33*($E$12+$G$12))</f>
        <v>115.7614</v>
      </c>
      <c r="C45" s="11">
        <f aca="true" t="shared" si="10" ref="C45:AB45">(C22*($D$12+$F$12)+C33*($E$12+$G$12))</f>
        <v>586.1614</v>
      </c>
      <c r="D45" s="11">
        <f t="shared" si="10"/>
        <v>586.1614</v>
      </c>
      <c r="E45" s="11">
        <f t="shared" si="10"/>
        <v>586.1614</v>
      </c>
      <c r="F45" s="11">
        <f t="shared" si="10"/>
        <v>586.1614</v>
      </c>
      <c r="G45" s="11">
        <f t="shared" si="10"/>
        <v>586.1614</v>
      </c>
      <c r="H45" s="11">
        <f t="shared" si="10"/>
        <v>586.1614</v>
      </c>
      <c r="I45" s="11">
        <f t="shared" si="10"/>
        <v>586.1614</v>
      </c>
      <c r="J45" s="11">
        <f t="shared" si="10"/>
        <v>586.1614</v>
      </c>
      <c r="K45" s="11">
        <f t="shared" si="10"/>
        <v>586.1614</v>
      </c>
      <c r="L45" s="11">
        <f t="shared" si="10"/>
        <v>758.6039</v>
      </c>
      <c r="M45" s="11">
        <f t="shared" si="10"/>
        <v>758.6039</v>
      </c>
      <c r="N45" s="11">
        <f aca="true" t="shared" si="11" ref="N45:S45">(N22*($D$12+$F$12)+N33*($E$12+$G$12))</f>
        <v>758.6039</v>
      </c>
      <c r="O45" s="11">
        <f t="shared" si="11"/>
        <v>758.6039</v>
      </c>
      <c r="P45" s="11">
        <f t="shared" si="11"/>
        <v>758.6039</v>
      </c>
      <c r="Q45" s="11">
        <f t="shared" si="11"/>
        <v>758.6039</v>
      </c>
      <c r="R45" s="11">
        <f t="shared" si="11"/>
        <v>758.6039</v>
      </c>
      <c r="S45" s="11">
        <f t="shared" si="11"/>
        <v>758.6039</v>
      </c>
      <c r="T45" s="11">
        <f t="shared" si="10"/>
        <v>758.6039</v>
      </c>
      <c r="U45" s="11">
        <f t="shared" si="10"/>
        <v>758.6039</v>
      </c>
      <c r="V45" s="11">
        <f t="shared" si="10"/>
        <v>758.6039</v>
      </c>
      <c r="W45" s="11">
        <f t="shared" si="10"/>
        <v>758.6039</v>
      </c>
      <c r="X45" s="11">
        <f t="shared" si="10"/>
        <v>778.6972</v>
      </c>
      <c r="Y45" s="11">
        <f t="shared" si="10"/>
        <v>778.6972</v>
      </c>
      <c r="Z45" s="11">
        <f t="shared" si="10"/>
        <v>778.6972</v>
      </c>
      <c r="AA45" s="11">
        <f t="shared" si="10"/>
        <v>778.6972</v>
      </c>
      <c r="AB45" s="11">
        <f t="shared" si="10"/>
        <v>0</v>
      </c>
    </row>
    <row r="46" spans="1:26" ht="15">
      <c r="A46" s="13" t="str">
        <f t="shared" si="4"/>
        <v>Unmetered Loads (2002 in GS &lt; 50)</v>
      </c>
      <c r="B46" s="14">
        <f>(B23*($D$13+$F$13)+B34*($E$13+$G$13))*0.5</f>
        <v>0</v>
      </c>
      <c r="C46" s="14">
        <f aca="true" t="shared" si="12" ref="C46:Y46">(C23*($D$13+$F$13)+C34*($E$13+$G$13))</f>
        <v>0</v>
      </c>
      <c r="D46" s="14">
        <f t="shared" si="12"/>
        <v>0</v>
      </c>
      <c r="E46" s="14">
        <f t="shared" si="12"/>
        <v>0</v>
      </c>
      <c r="F46" s="14">
        <f t="shared" si="12"/>
        <v>0</v>
      </c>
      <c r="G46" s="14">
        <f t="shared" si="12"/>
        <v>0</v>
      </c>
      <c r="H46" s="14">
        <f t="shared" si="12"/>
        <v>0</v>
      </c>
      <c r="I46" s="14">
        <f t="shared" si="12"/>
        <v>0</v>
      </c>
      <c r="J46" s="14">
        <f t="shared" si="12"/>
        <v>0</v>
      </c>
      <c r="K46" s="14">
        <f t="shared" si="12"/>
        <v>0</v>
      </c>
      <c r="L46" s="14">
        <f t="shared" si="12"/>
        <v>0</v>
      </c>
      <c r="M46" s="14">
        <f t="shared" si="12"/>
        <v>0</v>
      </c>
      <c r="N46" s="14">
        <f aca="true" t="shared" si="13" ref="N46:S46">(N23*($D$13+$F$13)+N34*($E$13+$G$13))</f>
        <v>0</v>
      </c>
      <c r="O46" s="14">
        <f t="shared" si="13"/>
        <v>0</v>
      </c>
      <c r="P46" s="14">
        <f t="shared" si="13"/>
        <v>0</v>
      </c>
      <c r="Q46" s="14">
        <f t="shared" si="13"/>
        <v>0</v>
      </c>
      <c r="R46" s="14">
        <f t="shared" si="13"/>
        <v>0</v>
      </c>
      <c r="S46" s="14">
        <f t="shared" si="13"/>
        <v>0</v>
      </c>
      <c r="T46" s="14">
        <f t="shared" si="12"/>
        <v>0</v>
      </c>
      <c r="U46" s="14">
        <f t="shared" si="12"/>
        <v>0</v>
      </c>
      <c r="V46" s="14">
        <f t="shared" si="12"/>
        <v>0</v>
      </c>
      <c r="W46" s="14">
        <f t="shared" si="12"/>
        <v>0</v>
      </c>
      <c r="X46" s="14">
        <f t="shared" si="12"/>
        <v>0</v>
      </c>
      <c r="Y46" s="14">
        <f t="shared" si="12"/>
        <v>0</v>
      </c>
      <c r="Z46" s="14">
        <f>(Z23*($D$13+$F$13)+Z34*($E$13+$G$13))*0.5</f>
        <v>0</v>
      </c>
    </row>
    <row r="47" spans="1:28" ht="15">
      <c r="A47" t="s">
        <v>13</v>
      </c>
      <c r="B47" s="11">
        <f>SUM(B41:B46)</f>
        <v>19271.7885766</v>
      </c>
      <c r="C47" s="11">
        <f aca="true" t="shared" si="14" ref="C47:AB47">SUM(C41:C46)</f>
        <v>188097.790065</v>
      </c>
      <c r="D47" s="11">
        <f t="shared" si="14"/>
        <v>188807.85480600002</v>
      </c>
      <c r="E47" s="11">
        <f t="shared" si="14"/>
        <v>185263.4128024</v>
      </c>
      <c r="F47" s="11">
        <f t="shared" si="14"/>
        <v>202436.10189710002</v>
      </c>
      <c r="G47" s="11">
        <f t="shared" si="14"/>
        <v>218706.7630026</v>
      </c>
      <c r="H47" s="11">
        <f t="shared" si="14"/>
        <v>214718.44003700002</v>
      </c>
      <c r="I47" s="11">
        <f t="shared" si="14"/>
        <v>198066.23239800002</v>
      </c>
      <c r="J47" s="11">
        <f t="shared" si="14"/>
        <v>197513.3872363</v>
      </c>
      <c r="K47" s="11">
        <f t="shared" si="14"/>
        <v>195053.04446360003</v>
      </c>
      <c r="L47" s="11">
        <f t="shared" si="14"/>
        <v>213664.8810321</v>
      </c>
      <c r="M47" s="11">
        <f t="shared" si="14"/>
        <v>207944.7265635</v>
      </c>
      <c r="N47" s="11">
        <f t="shared" si="14"/>
        <v>211316.185414</v>
      </c>
      <c r="O47" s="11">
        <f t="shared" si="14"/>
        <v>144002.3560402</v>
      </c>
      <c r="P47" s="11">
        <f t="shared" si="14"/>
        <v>180743.874966</v>
      </c>
      <c r="Q47" s="11">
        <f t="shared" si="14"/>
        <v>195592.7918648</v>
      </c>
      <c r="R47" s="11">
        <f t="shared" si="14"/>
        <v>203884.453067</v>
      </c>
      <c r="S47" s="11">
        <f t="shared" si="14"/>
        <v>210348.551944</v>
      </c>
      <c r="T47" s="11">
        <f t="shared" si="14"/>
        <v>208241.92473519998</v>
      </c>
      <c r="U47" s="11">
        <f t="shared" si="14"/>
        <v>195495.05993160003</v>
      </c>
      <c r="V47" s="11">
        <f t="shared" si="14"/>
        <v>194660.6573325</v>
      </c>
      <c r="W47" s="11">
        <f t="shared" si="14"/>
        <v>199999.9022699</v>
      </c>
      <c r="X47" s="11">
        <f t="shared" si="14"/>
        <v>220801.36224550003</v>
      </c>
      <c r="Y47" s="11">
        <f t="shared" si="14"/>
        <v>215545.56755130002</v>
      </c>
      <c r="Z47" s="11">
        <f t="shared" si="14"/>
        <v>208834.14627250002</v>
      </c>
      <c r="AA47" s="11">
        <f t="shared" si="14"/>
        <v>194768.47012759998</v>
      </c>
      <c r="AB47" s="11">
        <f t="shared" si="14"/>
        <v>10030.637251200002</v>
      </c>
    </row>
    <row r="48" spans="2:11" ht="12.75"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2:11" ht="12.75"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2:11" ht="12.75"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2:11" ht="12.75"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2:11" ht="12.75"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2:11" ht="12.75"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2:11" ht="12.75"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2:11" ht="12.75"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2:11" ht="12.75"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2:11" ht="12.75"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2:11" ht="12.75"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2:11" ht="12.75"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2:11" ht="12.75"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2:11" ht="12.75"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2:11" ht="12.75"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2:11" ht="12.75"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2:11" ht="12.75"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2:11" ht="12.75"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2:11" ht="12.75"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2:11" ht="12.75"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2:11" ht="12.75"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2:11" ht="12.75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2:11" ht="12.75"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2:11" ht="12.75"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2:11" ht="12.75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2:11" ht="12.75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2:11" ht="12.75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2:11" ht="12.75"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2:11" ht="12.75"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2:11" ht="12.75"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2:11" ht="12.75"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12.75"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2:11" ht="12.75"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2:11" ht="12.75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ht="12.75"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2:11" ht="12.75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ht="12.75"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2:11" ht="12.75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ht="12.75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ht="12.75"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2:11" ht="12.75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11" ht="12.75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ht="12.75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ht="12.75"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2:11" ht="12.75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ht="12.75"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2:11" ht="12.75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ht="12.75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ht="12.75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ht="12.75"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2:11" ht="12.75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ht="12.75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ht="12.75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2:11" ht="12.75"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2:11" ht="12.75"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2:11" ht="12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1" ht="12.75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ht="12.75"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2:11" ht="12.75"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ht="12.75"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2:11" ht="12.75"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2:11" ht="12.75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ht="12.75"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2:11" ht="12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ht="12.75"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11" ht="12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2:11" ht="12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2:11" ht="12.75"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2:11" ht="12.75"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2:11" ht="12.75"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2:11" ht="12.75"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2:11" ht="12.75"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2:11" ht="12.75"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2:11" ht="12.75"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2:11" ht="12.75"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2:11" ht="12.75"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2:11" ht="12.75"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2:11" ht="12.75"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2:11" ht="12.75"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2:11" ht="12.75"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2:11" ht="12.75"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2:11" ht="12.75"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2:11" ht="12.75"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2:11" ht="12.75"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2:11" ht="12.75"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2:11" ht="12.75"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2:11" ht="12.75"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2:11" ht="12.75"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2:11" ht="12.75"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2:11" ht="12.75"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2:11" ht="12.75"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2:11" ht="12.75"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2:11" ht="12.75"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2:11" ht="12.75"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2:11" ht="12.75"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2:11" ht="12.75"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2:11" ht="12.75"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2:11" ht="12.75"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2:11" ht="12.75"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2:11" ht="12.75"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2:11" ht="12.75"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2:11" ht="12.75"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2:11" ht="12.75"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2:11" ht="12.75"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2:11" ht="12.75"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2:11" ht="12.75"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2:11" ht="12.75"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2:11" ht="12.75">
      <c r="B155" s="16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2:11" ht="12.75"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2:11" ht="12.75"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2:11" ht="12.75">
      <c r="B158" s="16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2:11" ht="12.75">
      <c r="B159" s="16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2:11" ht="12.75">
      <c r="B160" s="16"/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2:11" ht="12.75">
      <c r="B161" s="16"/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2:11" ht="12.75">
      <c r="B162" s="16"/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2:11" ht="12.75">
      <c r="B163" s="16"/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2:11" ht="12.75">
      <c r="B164" s="16"/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2:11" ht="12.75">
      <c r="B165" s="16"/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2:11" ht="12.75">
      <c r="B166" s="16"/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2:11" ht="12.75">
      <c r="B167" s="16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2:11" ht="12.75">
      <c r="B168" s="16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2:11" ht="12.75">
      <c r="B169" s="16"/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2:11" ht="12.75">
      <c r="B170" s="16"/>
      <c r="C170" s="16"/>
      <c r="D170" s="16"/>
      <c r="E170" s="16"/>
      <c r="F170" s="16"/>
      <c r="G170" s="16"/>
      <c r="H170" s="16"/>
      <c r="I170" s="16"/>
      <c r="J170" s="16"/>
      <c r="K170" s="16"/>
    </row>
    <row r="171" spans="2:11" ht="12.75">
      <c r="B171" s="16"/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2:11" ht="12.75">
      <c r="B172" s="16"/>
      <c r="C172" s="16"/>
      <c r="D172" s="16"/>
      <c r="E172" s="16"/>
      <c r="F172" s="16"/>
      <c r="G172" s="16"/>
      <c r="H172" s="16"/>
      <c r="I172" s="16"/>
      <c r="J172" s="16"/>
      <c r="K172" s="16"/>
    </row>
    <row r="173" spans="2:11" ht="12.75">
      <c r="B173" s="16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2:11" ht="12.75">
      <c r="B174" s="16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2:11" ht="12.75">
      <c r="B175" s="16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2:11" ht="12.75">
      <c r="B176" s="16"/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2:11" ht="12.75">
      <c r="B177" s="16"/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2:11" ht="12.75">
      <c r="B178" s="16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2:11" ht="12.75">
      <c r="B179" s="16"/>
      <c r="C179" s="16"/>
      <c r="D179" s="16"/>
      <c r="E179" s="16"/>
      <c r="F179" s="16"/>
      <c r="G179" s="16"/>
      <c r="H179" s="16"/>
      <c r="I179" s="16"/>
      <c r="J179" s="16"/>
      <c r="K179" s="16"/>
    </row>
    <row r="180" spans="2:11" ht="12.75">
      <c r="B180" s="16"/>
      <c r="C180" s="16"/>
      <c r="D180" s="16"/>
      <c r="E180" s="16"/>
      <c r="F180" s="16"/>
      <c r="G180" s="16"/>
      <c r="H180" s="16"/>
      <c r="I180" s="16"/>
      <c r="J180" s="16"/>
      <c r="K180" s="16"/>
    </row>
    <row r="181" spans="2:11" ht="12.75">
      <c r="B181" s="16"/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2:11" ht="12.75">
      <c r="B182" s="16"/>
      <c r="C182" s="16"/>
      <c r="D182" s="16"/>
      <c r="E182" s="16"/>
      <c r="F182" s="16"/>
      <c r="G182" s="16"/>
      <c r="H182" s="16"/>
      <c r="I182" s="16"/>
      <c r="J182" s="16"/>
      <c r="K182" s="16"/>
    </row>
    <row r="183" spans="2:11" ht="12.75">
      <c r="B183" s="16"/>
      <c r="C183" s="16"/>
      <c r="D183" s="16"/>
      <c r="E183" s="16"/>
      <c r="F183" s="16"/>
      <c r="G183" s="16"/>
      <c r="H183" s="16"/>
      <c r="I183" s="16"/>
      <c r="J183" s="16"/>
      <c r="K183" s="16"/>
    </row>
    <row r="184" spans="2:11" ht="12.75">
      <c r="B184" s="16"/>
      <c r="C184" s="16"/>
      <c r="D184" s="16"/>
      <c r="E184" s="16"/>
      <c r="F184" s="16"/>
      <c r="G184" s="16"/>
      <c r="H184" s="16"/>
      <c r="I184" s="16"/>
      <c r="J184" s="16"/>
      <c r="K184" s="16"/>
    </row>
    <row r="185" spans="2:11" ht="12.75">
      <c r="B185" s="16"/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2:11" ht="12.75">
      <c r="B186" s="16"/>
      <c r="C186" s="16"/>
      <c r="D186" s="16"/>
      <c r="E186" s="16"/>
      <c r="F186" s="16"/>
      <c r="G186" s="16"/>
      <c r="H186" s="16"/>
      <c r="I186" s="16"/>
      <c r="J186" s="16"/>
      <c r="K186" s="16"/>
    </row>
    <row r="187" spans="2:11" ht="12.75">
      <c r="B187" s="16"/>
      <c r="C187" s="16"/>
      <c r="D187" s="16"/>
      <c r="E187" s="16"/>
      <c r="F187" s="16"/>
      <c r="G187" s="16"/>
      <c r="H187" s="16"/>
      <c r="I187" s="16"/>
      <c r="J187" s="16"/>
      <c r="K187" s="16"/>
    </row>
    <row r="188" spans="2:11" ht="12.75">
      <c r="B188" s="16"/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2:11" ht="12.75">
      <c r="B189" s="16"/>
      <c r="C189" s="16"/>
      <c r="D189" s="16"/>
      <c r="E189" s="16"/>
      <c r="F189" s="16"/>
      <c r="G189" s="16"/>
      <c r="H189" s="16"/>
      <c r="I189" s="16"/>
      <c r="J189" s="16"/>
      <c r="K189" s="16"/>
    </row>
    <row r="190" spans="2:11" ht="12.75">
      <c r="B190" s="16"/>
      <c r="C190" s="16"/>
      <c r="D190" s="16"/>
      <c r="E190" s="16"/>
      <c r="F190" s="16"/>
      <c r="G190" s="16"/>
      <c r="H190" s="16"/>
      <c r="I190" s="16"/>
      <c r="J190" s="16"/>
      <c r="K190" s="16"/>
    </row>
    <row r="191" spans="2:11" ht="12.75">
      <c r="B191" s="16"/>
      <c r="C191" s="16"/>
      <c r="D191" s="16"/>
      <c r="E191" s="16"/>
      <c r="F191" s="16"/>
      <c r="G191" s="16"/>
      <c r="H191" s="16"/>
      <c r="I191" s="16"/>
      <c r="J191" s="16"/>
      <c r="K191" s="16"/>
    </row>
    <row r="192" spans="2:11" ht="12.75">
      <c r="B192" s="16"/>
      <c r="C192" s="16"/>
      <c r="D192" s="16"/>
      <c r="E192" s="16"/>
      <c r="F192" s="16"/>
      <c r="G192" s="16"/>
      <c r="H192" s="16"/>
      <c r="I192" s="16"/>
      <c r="J192" s="16"/>
      <c r="K192" s="16"/>
    </row>
    <row r="193" spans="2:11" ht="12.75">
      <c r="B193" s="16"/>
      <c r="C193" s="16"/>
      <c r="D193" s="16"/>
      <c r="E193" s="16"/>
      <c r="F193" s="16"/>
      <c r="G193" s="16"/>
      <c r="H193" s="16"/>
      <c r="I193" s="16"/>
      <c r="J193" s="16"/>
      <c r="K193" s="16"/>
    </row>
    <row r="194" spans="2:11" ht="12.75">
      <c r="B194" s="16"/>
      <c r="C194" s="16"/>
      <c r="D194" s="16"/>
      <c r="E194" s="16"/>
      <c r="F194" s="16"/>
      <c r="G194" s="16"/>
      <c r="H194" s="16"/>
      <c r="I194" s="16"/>
      <c r="J194" s="16"/>
      <c r="K194" s="16"/>
    </row>
    <row r="195" spans="2:11" ht="12.75">
      <c r="B195" s="16"/>
      <c r="C195" s="16"/>
      <c r="D195" s="16"/>
      <c r="E195" s="16"/>
      <c r="F195" s="16"/>
      <c r="G195" s="16"/>
      <c r="H195" s="16"/>
      <c r="I195" s="16"/>
      <c r="J195" s="16"/>
      <c r="K195" s="16"/>
    </row>
    <row r="196" spans="2:11" ht="12.75">
      <c r="B196" s="16"/>
      <c r="C196" s="16"/>
      <c r="D196" s="16"/>
      <c r="E196" s="16"/>
      <c r="F196" s="16"/>
      <c r="G196" s="16"/>
      <c r="H196" s="16"/>
      <c r="I196" s="16"/>
      <c r="J196" s="16"/>
      <c r="K196" s="16"/>
    </row>
    <row r="197" spans="2:11" ht="12.75">
      <c r="B197" s="16"/>
      <c r="C197" s="16"/>
      <c r="D197" s="16"/>
      <c r="E197" s="16"/>
      <c r="F197" s="16"/>
      <c r="G197" s="16"/>
      <c r="H197" s="16"/>
      <c r="I197" s="16"/>
      <c r="J197" s="16"/>
      <c r="K197" s="16"/>
    </row>
    <row r="198" spans="2:11" ht="12.75">
      <c r="B198" s="16"/>
      <c r="C198" s="16"/>
      <c r="D198" s="16"/>
      <c r="E198" s="16"/>
      <c r="F198" s="16"/>
      <c r="G198" s="16"/>
      <c r="H198" s="16"/>
      <c r="I198" s="16"/>
      <c r="J198" s="16"/>
      <c r="K198" s="16"/>
    </row>
    <row r="199" spans="2:11" ht="12.75">
      <c r="B199" s="16"/>
      <c r="C199" s="16"/>
      <c r="D199" s="16"/>
      <c r="E199" s="16"/>
      <c r="F199" s="16"/>
      <c r="G199" s="16"/>
      <c r="H199" s="16"/>
      <c r="I199" s="16"/>
      <c r="J199" s="16"/>
      <c r="K199" s="16"/>
    </row>
    <row r="200" spans="2:11" ht="12.75">
      <c r="B200" s="16"/>
      <c r="C200" s="16"/>
      <c r="D200" s="16"/>
      <c r="E200" s="16"/>
      <c r="F200" s="16"/>
      <c r="G200" s="16"/>
      <c r="H200" s="16"/>
      <c r="I200" s="16"/>
      <c r="J200" s="16"/>
      <c r="K200" s="16"/>
    </row>
    <row r="201" spans="2:11" ht="12.75">
      <c r="B201" s="16"/>
      <c r="C201" s="16"/>
      <c r="D201" s="16"/>
      <c r="E201" s="16"/>
      <c r="F201" s="16"/>
      <c r="G201" s="16"/>
      <c r="H201" s="16"/>
      <c r="I201" s="16"/>
      <c r="J201" s="16"/>
      <c r="K201" s="16"/>
    </row>
    <row r="202" spans="2:11" ht="12.75">
      <c r="B202" s="16"/>
      <c r="C202" s="16"/>
      <c r="D202" s="16"/>
      <c r="E202" s="16"/>
      <c r="F202" s="16"/>
      <c r="G202" s="16"/>
      <c r="H202" s="16"/>
      <c r="I202" s="16"/>
      <c r="J202" s="16"/>
      <c r="K202" s="16"/>
    </row>
    <row r="203" spans="2:11" ht="12.75">
      <c r="B203" s="16"/>
      <c r="C203" s="16"/>
      <c r="D203" s="16"/>
      <c r="E203" s="16"/>
      <c r="F203" s="16"/>
      <c r="G203" s="16"/>
      <c r="H203" s="16"/>
      <c r="I203" s="16"/>
      <c r="J203" s="16"/>
      <c r="K203" s="16"/>
    </row>
    <row r="204" spans="2:11" ht="12.75">
      <c r="B204" s="16"/>
      <c r="C204" s="16"/>
      <c r="D204" s="16"/>
      <c r="E204" s="16"/>
      <c r="F204" s="16"/>
      <c r="G204" s="16"/>
      <c r="H204" s="16"/>
      <c r="I204" s="16"/>
      <c r="J204" s="16"/>
      <c r="K204" s="16"/>
    </row>
    <row r="205" spans="2:11" ht="12.75">
      <c r="B205" s="16"/>
      <c r="C205" s="16"/>
      <c r="D205" s="16"/>
      <c r="E205" s="16"/>
      <c r="F205" s="16"/>
      <c r="G205" s="16"/>
      <c r="H205" s="16"/>
      <c r="I205" s="16"/>
      <c r="J205" s="16"/>
      <c r="K205" s="16"/>
    </row>
    <row r="206" spans="2:11" ht="12.75">
      <c r="B206" s="16"/>
      <c r="C206" s="16"/>
      <c r="D206" s="16"/>
      <c r="E206" s="16"/>
      <c r="F206" s="16"/>
      <c r="G206" s="16"/>
      <c r="H206" s="16"/>
      <c r="I206" s="16"/>
      <c r="J206" s="16"/>
      <c r="K206" s="16"/>
    </row>
    <row r="207" spans="2:11" ht="12.75">
      <c r="B207" s="16"/>
      <c r="C207" s="16"/>
      <c r="D207" s="16"/>
      <c r="E207" s="16"/>
      <c r="F207" s="16"/>
      <c r="G207" s="16"/>
      <c r="H207" s="16"/>
      <c r="I207" s="16"/>
      <c r="J207" s="16"/>
      <c r="K207" s="16"/>
    </row>
    <row r="208" spans="2:11" ht="12.75">
      <c r="B208" s="16"/>
      <c r="C208" s="16"/>
      <c r="D208" s="16"/>
      <c r="E208" s="16"/>
      <c r="F208" s="16"/>
      <c r="G208" s="16"/>
      <c r="H208" s="16"/>
      <c r="I208" s="16"/>
      <c r="J208" s="16"/>
      <c r="K208" s="16"/>
    </row>
    <row r="209" spans="2:11" ht="12.75">
      <c r="B209" s="16"/>
      <c r="C209" s="16"/>
      <c r="D209" s="16"/>
      <c r="E209" s="16"/>
      <c r="F209" s="16"/>
      <c r="G209" s="16"/>
      <c r="H209" s="16"/>
      <c r="I209" s="16"/>
      <c r="J209" s="16"/>
      <c r="K209" s="16"/>
    </row>
    <row r="210" spans="2:11" ht="12.75">
      <c r="B210" s="16"/>
      <c r="C210" s="16"/>
      <c r="D210" s="16"/>
      <c r="E210" s="16"/>
      <c r="F210" s="16"/>
      <c r="G210" s="16"/>
      <c r="H210" s="16"/>
      <c r="I210" s="16"/>
      <c r="J210" s="16"/>
      <c r="K210" s="16"/>
    </row>
    <row r="211" spans="2:11" ht="12.75">
      <c r="B211" s="16"/>
      <c r="C211" s="16"/>
      <c r="D211" s="16"/>
      <c r="E211" s="16"/>
      <c r="F211" s="16"/>
      <c r="G211" s="16"/>
      <c r="H211" s="16"/>
      <c r="I211" s="16"/>
      <c r="J211" s="16"/>
      <c r="K211" s="16"/>
    </row>
    <row r="212" spans="2:11" ht="12.75">
      <c r="B212" s="16"/>
      <c r="C212" s="16"/>
      <c r="D212" s="16"/>
      <c r="E212" s="16"/>
      <c r="F212" s="16"/>
      <c r="G212" s="16"/>
      <c r="H212" s="16"/>
      <c r="I212" s="16"/>
      <c r="J212" s="16"/>
      <c r="K212" s="16"/>
    </row>
    <row r="213" spans="2:11" ht="12.75">
      <c r="B213" s="16"/>
      <c r="C213" s="16"/>
      <c r="D213" s="16"/>
      <c r="E213" s="16"/>
      <c r="F213" s="16"/>
      <c r="G213" s="16"/>
      <c r="H213" s="16"/>
      <c r="I213" s="16"/>
      <c r="J213" s="16"/>
      <c r="K213" s="16"/>
    </row>
    <row r="214" spans="2:11" ht="12.75">
      <c r="B214" s="16"/>
      <c r="C214" s="16"/>
      <c r="D214" s="16"/>
      <c r="E214" s="16"/>
      <c r="F214" s="16"/>
      <c r="G214" s="16"/>
      <c r="H214" s="16"/>
      <c r="I214" s="16"/>
      <c r="J214" s="16"/>
      <c r="K214" s="16"/>
    </row>
    <row r="215" spans="2:11" ht="12.75">
      <c r="B215" s="16"/>
      <c r="C215" s="16"/>
      <c r="D215" s="16"/>
      <c r="E215" s="16"/>
      <c r="F215" s="16"/>
      <c r="G215" s="16"/>
      <c r="H215" s="16"/>
      <c r="I215" s="16"/>
      <c r="J215" s="16"/>
      <c r="K215" s="16"/>
    </row>
    <row r="216" spans="2:11" ht="12.75">
      <c r="B216" s="16"/>
      <c r="C216" s="16"/>
      <c r="D216" s="16"/>
      <c r="E216" s="16"/>
      <c r="F216" s="16"/>
      <c r="G216" s="16"/>
      <c r="H216" s="16"/>
      <c r="I216" s="16"/>
      <c r="J216" s="16"/>
      <c r="K216" s="16"/>
    </row>
    <row r="217" spans="2:11" ht="12.75">
      <c r="B217" s="16"/>
      <c r="C217" s="16"/>
      <c r="D217" s="16"/>
      <c r="E217" s="16"/>
      <c r="F217" s="16"/>
      <c r="G217" s="16"/>
      <c r="H217" s="16"/>
      <c r="I217" s="16"/>
      <c r="J217" s="16"/>
      <c r="K217" s="16"/>
    </row>
    <row r="218" spans="2:11" ht="12.75">
      <c r="B218" s="16"/>
      <c r="C218" s="16"/>
      <c r="D218" s="16"/>
      <c r="E218" s="16"/>
      <c r="F218" s="16"/>
      <c r="G218" s="16"/>
      <c r="H218" s="16"/>
      <c r="I218" s="16"/>
      <c r="J218" s="16"/>
      <c r="K218" s="16"/>
    </row>
    <row r="219" spans="2:11" ht="12.75">
      <c r="B219" s="16"/>
      <c r="C219" s="16"/>
      <c r="D219" s="16"/>
      <c r="E219" s="16"/>
      <c r="F219" s="16"/>
      <c r="G219" s="16"/>
      <c r="H219" s="16"/>
      <c r="I219" s="16"/>
      <c r="J219" s="16"/>
      <c r="K219" s="16"/>
    </row>
    <row r="220" spans="2:11" ht="12.75">
      <c r="B220" s="16"/>
      <c r="C220" s="16"/>
      <c r="D220" s="16"/>
      <c r="E220" s="16"/>
      <c r="F220" s="16"/>
      <c r="G220" s="16"/>
      <c r="H220" s="16"/>
      <c r="I220" s="16"/>
      <c r="J220" s="16"/>
      <c r="K220" s="16"/>
    </row>
    <row r="221" spans="2:11" ht="12.75">
      <c r="B221" s="16"/>
      <c r="C221" s="16"/>
      <c r="D221" s="16"/>
      <c r="E221" s="16"/>
      <c r="F221" s="16"/>
      <c r="G221" s="16"/>
      <c r="H221" s="16"/>
      <c r="I221" s="16"/>
      <c r="J221" s="16"/>
      <c r="K221" s="16"/>
    </row>
    <row r="222" spans="2:11" ht="12.75">
      <c r="B222" s="16"/>
      <c r="C222" s="16"/>
      <c r="D222" s="16"/>
      <c r="E222" s="16"/>
      <c r="F222" s="16"/>
      <c r="G222" s="16"/>
      <c r="H222" s="16"/>
      <c r="I222" s="16"/>
      <c r="J222" s="16"/>
      <c r="K222" s="16"/>
    </row>
    <row r="223" spans="2:11" ht="12.75">
      <c r="B223" s="16"/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2:11" ht="12.75">
      <c r="B224" s="16"/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2:11" ht="12.75">
      <c r="B225" s="16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2:11" ht="12.75">
      <c r="B226" s="16"/>
      <c r="C226" s="16"/>
      <c r="D226" s="16"/>
      <c r="E226" s="16"/>
      <c r="F226" s="16"/>
      <c r="G226" s="16"/>
      <c r="H226" s="16"/>
      <c r="I226" s="16"/>
      <c r="J226" s="16"/>
      <c r="K226" s="16"/>
    </row>
    <row r="227" spans="2:11" ht="12.75">
      <c r="B227" s="16"/>
      <c r="C227" s="16"/>
      <c r="D227" s="16"/>
      <c r="E227" s="16"/>
      <c r="F227" s="16"/>
      <c r="G227" s="16"/>
      <c r="H227" s="16"/>
      <c r="I227" s="16"/>
      <c r="J227" s="16"/>
      <c r="K227" s="16"/>
    </row>
    <row r="228" spans="2:11" ht="12.75">
      <c r="B228" s="16"/>
      <c r="C228" s="16"/>
      <c r="D228" s="16"/>
      <c r="E228" s="16"/>
      <c r="F228" s="16"/>
      <c r="G228" s="16"/>
      <c r="H228" s="16"/>
      <c r="I228" s="16"/>
      <c r="J228" s="16"/>
      <c r="K228" s="16"/>
    </row>
    <row r="229" spans="2:11" ht="12.75">
      <c r="B229" s="16"/>
      <c r="C229" s="16"/>
      <c r="D229" s="16"/>
      <c r="E229" s="16"/>
      <c r="F229" s="16"/>
      <c r="G229" s="16"/>
      <c r="H229" s="16"/>
      <c r="I229" s="16"/>
      <c r="J229" s="16"/>
      <c r="K229" s="16"/>
    </row>
    <row r="230" spans="2:11" ht="12.75">
      <c r="B230" s="16"/>
      <c r="C230" s="16"/>
      <c r="D230" s="16"/>
      <c r="E230" s="16"/>
      <c r="F230" s="16"/>
      <c r="G230" s="16"/>
      <c r="H230" s="16"/>
      <c r="I230" s="16"/>
      <c r="J230" s="16"/>
      <c r="K230" s="16"/>
    </row>
    <row r="231" spans="2:11" ht="12.75">
      <c r="B231" s="16"/>
      <c r="C231" s="16"/>
      <c r="D231" s="16"/>
      <c r="E231" s="16"/>
      <c r="F231" s="16"/>
      <c r="G231" s="16"/>
      <c r="H231" s="16"/>
      <c r="I231" s="16"/>
      <c r="J231" s="16"/>
      <c r="K231" s="16"/>
    </row>
    <row r="232" spans="2:11" ht="12.75">
      <c r="B232" s="16"/>
      <c r="C232" s="16"/>
      <c r="D232" s="16"/>
      <c r="E232" s="16"/>
      <c r="F232" s="16"/>
      <c r="G232" s="16"/>
      <c r="H232" s="16"/>
      <c r="I232" s="16"/>
      <c r="J232" s="16"/>
      <c r="K232" s="16"/>
    </row>
    <row r="233" spans="2:11" ht="12.75">
      <c r="B233" s="16"/>
      <c r="C233" s="16"/>
      <c r="D233" s="16"/>
      <c r="E233" s="16"/>
      <c r="F233" s="16"/>
      <c r="G233" s="16"/>
      <c r="H233" s="16"/>
      <c r="I233" s="16"/>
      <c r="J233" s="16"/>
      <c r="K233" s="16"/>
    </row>
    <row r="234" spans="2:11" ht="12.75">
      <c r="B234" s="16"/>
      <c r="C234" s="16"/>
      <c r="D234" s="16"/>
      <c r="E234" s="16"/>
      <c r="F234" s="16"/>
      <c r="G234" s="16"/>
      <c r="H234" s="16"/>
      <c r="I234" s="16"/>
      <c r="J234" s="16"/>
      <c r="K234" s="16"/>
    </row>
    <row r="235" spans="2:11" ht="12.75">
      <c r="B235" s="16"/>
      <c r="C235" s="16"/>
      <c r="D235" s="16"/>
      <c r="E235" s="16"/>
      <c r="F235" s="16"/>
      <c r="G235" s="16"/>
      <c r="H235" s="16"/>
      <c r="I235" s="16"/>
      <c r="J235" s="16"/>
      <c r="K235" s="16"/>
    </row>
    <row r="236" spans="2:11" ht="12.75">
      <c r="B236" s="16"/>
      <c r="C236" s="16"/>
      <c r="D236" s="16"/>
      <c r="E236" s="16"/>
      <c r="F236" s="16"/>
      <c r="G236" s="16"/>
      <c r="H236" s="16"/>
      <c r="I236" s="16"/>
      <c r="J236" s="16"/>
      <c r="K236" s="16"/>
    </row>
    <row r="237" spans="2:11" ht="12.75">
      <c r="B237" s="16"/>
      <c r="C237" s="16"/>
      <c r="D237" s="16"/>
      <c r="E237" s="16"/>
      <c r="F237" s="16"/>
      <c r="G237" s="16"/>
      <c r="H237" s="16"/>
      <c r="I237" s="16"/>
      <c r="J237" s="16"/>
      <c r="K237" s="16"/>
    </row>
    <row r="238" spans="2:11" ht="12.75">
      <c r="B238" s="16"/>
      <c r="C238" s="16"/>
      <c r="D238" s="16"/>
      <c r="E238" s="16"/>
      <c r="F238" s="16"/>
      <c r="G238" s="16"/>
      <c r="H238" s="16"/>
      <c r="I238" s="16"/>
      <c r="J238" s="16"/>
      <c r="K238" s="16"/>
    </row>
    <row r="239" spans="2:11" ht="12.75">
      <c r="B239" s="16"/>
      <c r="C239" s="16"/>
      <c r="D239" s="16"/>
      <c r="E239" s="16"/>
      <c r="F239" s="16"/>
      <c r="G239" s="16"/>
      <c r="H239" s="16"/>
      <c r="I239" s="16"/>
      <c r="J239" s="16"/>
      <c r="K239" s="16"/>
    </row>
    <row r="240" spans="2:11" ht="12.75">
      <c r="B240" s="16"/>
      <c r="C240" s="16"/>
      <c r="D240" s="16"/>
      <c r="E240" s="16"/>
      <c r="F240" s="16"/>
      <c r="G240" s="16"/>
      <c r="H240" s="16"/>
      <c r="I240" s="16"/>
      <c r="J240" s="16"/>
      <c r="K240" s="16"/>
    </row>
    <row r="241" spans="2:11" ht="12.75">
      <c r="B241" s="16"/>
      <c r="C241" s="16"/>
      <c r="D241" s="16"/>
      <c r="E241" s="16"/>
      <c r="F241" s="16"/>
      <c r="G241" s="16"/>
      <c r="H241" s="16"/>
      <c r="I241" s="16"/>
      <c r="J241" s="16"/>
      <c r="K241" s="16"/>
    </row>
    <row r="242" spans="2:11" ht="12.75">
      <c r="B242" s="16"/>
      <c r="C242" s="16"/>
      <c r="D242" s="16"/>
      <c r="E242" s="16"/>
      <c r="F242" s="16"/>
      <c r="G242" s="16"/>
      <c r="H242" s="16"/>
      <c r="I242" s="16"/>
      <c r="J242" s="16"/>
      <c r="K242" s="16"/>
    </row>
    <row r="243" spans="2:11" ht="12.75">
      <c r="B243" s="16"/>
      <c r="C243" s="16"/>
      <c r="D243" s="16"/>
      <c r="E243" s="16"/>
      <c r="F243" s="16"/>
      <c r="G243" s="16"/>
      <c r="H243" s="16"/>
      <c r="I243" s="16"/>
      <c r="J243" s="16"/>
      <c r="K243" s="16"/>
    </row>
    <row r="244" spans="2:11" ht="12.75">
      <c r="B244" s="16"/>
      <c r="C244" s="16"/>
      <c r="D244" s="16"/>
      <c r="E244" s="16"/>
      <c r="F244" s="16"/>
      <c r="G244" s="16"/>
      <c r="H244" s="16"/>
      <c r="I244" s="16"/>
      <c r="J244" s="16"/>
      <c r="K244" s="16"/>
    </row>
    <row r="245" spans="2:11" ht="12.75">
      <c r="B245" s="16"/>
      <c r="C245" s="16"/>
      <c r="D245" s="16"/>
      <c r="E245" s="16"/>
      <c r="F245" s="16"/>
      <c r="G245" s="16"/>
      <c r="H245" s="16"/>
      <c r="I245" s="16"/>
      <c r="J245" s="16"/>
      <c r="K245" s="16"/>
    </row>
    <row r="246" spans="2:11" ht="12.75">
      <c r="B246" s="16"/>
      <c r="C246" s="16"/>
      <c r="D246" s="16"/>
      <c r="E246" s="16"/>
      <c r="F246" s="16"/>
      <c r="G246" s="16"/>
      <c r="H246" s="16"/>
      <c r="I246" s="16"/>
      <c r="J246" s="16"/>
      <c r="K246" s="16"/>
    </row>
    <row r="247" spans="2:11" ht="12.75">
      <c r="B247" s="16"/>
      <c r="C247" s="16"/>
      <c r="D247" s="16"/>
      <c r="E247" s="16"/>
      <c r="F247" s="16"/>
      <c r="G247" s="16"/>
      <c r="H247" s="16"/>
      <c r="I247" s="16"/>
      <c r="J247" s="16"/>
      <c r="K247" s="16"/>
    </row>
    <row r="248" spans="2:11" ht="12.75">
      <c r="B248" s="16"/>
      <c r="C248" s="16"/>
      <c r="D248" s="16"/>
      <c r="E248" s="16"/>
      <c r="F248" s="16"/>
      <c r="G248" s="16"/>
      <c r="H248" s="16"/>
      <c r="I248" s="16"/>
      <c r="J248" s="16"/>
      <c r="K248" s="16"/>
    </row>
    <row r="249" spans="2:11" ht="12.75">
      <c r="B249" s="16"/>
      <c r="C249" s="16"/>
      <c r="D249" s="16"/>
      <c r="E249" s="16"/>
      <c r="F249" s="16"/>
      <c r="G249" s="16"/>
      <c r="H249" s="16"/>
      <c r="I249" s="16"/>
      <c r="J249" s="16"/>
      <c r="K249" s="16"/>
    </row>
    <row r="250" spans="2:11" ht="12.75">
      <c r="B250" s="16"/>
      <c r="C250" s="16"/>
      <c r="D250" s="16"/>
      <c r="E250" s="16"/>
      <c r="F250" s="16"/>
      <c r="G250" s="16"/>
      <c r="H250" s="16"/>
      <c r="I250" s="16"/>
      <c r="J250" s="16"/>
      <c r="K250" s="16"/>
    </row>
    <row r="251" spans="2:11" ht="12.75">
      <c r="B251" s="16"/>
      <c r="C251" s="16"/>
      <c r="D251" s="16"/>
      <c r="E251" s="16"/>
      <c r="F251" s="16"/>
      <c r="G251" s="16"/>
      <c r="H251" s="16"/>
      <c r="I251" s="16"/>
      <c r="J251" s="16"/>
      <c r="K251" s="16"/>
    </row>
    <row r="252" spans="2:11" ht="12.75">
      <c r="B252" s="16"/>
      <c r="C252" s="16"/>
      <c r="D252" s="16"/>
      <c r="E252" s="16"/>
      <c r="F252" s="16"/>
      <c r="G252" s="16"/>
      <c r="H252" s="16"/>
      <c r="I252" s="16"/>
      <c r="J252" s="16"/>
      <c r="K252" s="16"/>
    </row>
    <row r="253" spans="2:11" ht="12.75">
      <c r="B253" s="16"/>
      <c r="C253" s="16"/>
      <c r="D253" s="16"/>
      <c r="E253" s="16"/>
      <c r="F253" s="16"/>
      <c r="G253" s="16"/>
      <c r="H253" s="16"/>
      <c r="I253" s="16"/>
      <c r="J253" s="16"/>
      <c r="K253" s="16"/>
    </row>
    <row r="254" spans="2:11" ht="12.75">
      <c r="B254" s="16"/>
      <c r="C254" s="16"/>
      <c r="D254" s="16"/>
      <c r="E254" s="16"/>
      <c r="F254" s="16"/>
      <c r="G254" s="16"/>
      <c r="H254" s="16"/>
      <c r="I254" s="16"/>
      <c r="J254" s="16"/>
      <c r="K254" s="16"/>
    </row>
    <row r="255" spans="2:11" ht="12.75">
      <c r="B255" s="16"/>
      <c r="C255" s="16"/>
      <c r="D255" s="16"/>
      <c r="E255" s="16"/>
      <c r="F255" s="16"/>
      <c r="G255" s="16"/>
      <c r="H255" s="16"/>
      <c r="I255" s="16"/>
      <c r="J255" s="16"/>
      <c r="K255" s="16"/>
    </row>
    <row r="256" spans="2:11" ht="12.75">
      <c r="B256" s="16"/>
      <c r="C256" s="16"/>
      <c r="D256" s="16"/>
      <c r="E256" s="16"/>
      <c r="F256" s="16"/>
      <c r="G256" s="16"/>
      <c r="H256" s="16"/>
      <c r="I256" s="16"/>
      <c r="J256" s="16"/>
      <c r="K256" s="16"/>
    </row>
    <row r="257" spans="2:11" ht="12.75">
      <c r="B257" s="16"/>
      <c r="C257" s="16"/>
      <c r="D257" s="16"/>
      <c r="E257" s="16"/>
      <c r="F257" s="16"/>
      <c r="G257" s="16"/>
      <c r="H257" s="16"/>
      <c r="I257" s="16"/>
      <c r="J257" s="16"/>
      <c r="K257" s="16"/>
    </row>
    <row r="258" spans="2:11" ht="12.75">
      <c r="B258" s="16"/>
      <c r="C258" s="16"/>
      <c r="D258" s="16"/>
      <c r="E258" s="16"/>
      <c r="F258" s="16"/>
      <c r="G258" s="16"/>
      <c r="H258" s="16"/>
      <c r="I258" s="16"/>
      <c r="J258" s="16"/>
      <c r="K258" s="16"/>
    </row>
    <row r="259" spans="2:11" ht="12.75">
      <c r="B259" s="16"/>
      <c r="C259" s="16"/>
      <c r="D259" s="16"/>
      <c r="E259" s="16"/>
      <c r="F259" s="16"/>
      <c r="G259" s="16"/>
      <c r="H259" s="16"/>
      <c r="I259" s="16"/>
      <c r="J259" s="16"/>
      <c r="K259" s="16"/>
    </row>
    <row r="260" spans="2:11" ht="12.75">
      <c r="B260" s="16"/>
      <c r="C260" s="16"/>
      <c r="D260" s="16"/>
      <c r="E260" s="16"/>
      <c r="F260" s="16"/>
      <c r="G260" s="16"/>
      <c r="H260" s="16"/>
      <c r="I260" s="16"/>
      <c r="J260" s="16"/>
      <c r="K260" s="16"/>
    </row>
    <row r="261" spans="2:11" ht="12.75">
      <c r="B261" s="16"/>
      <c r="C261" s="16"/>
      <c r="D261" s="16"/>
      <c r="E261" s="16"/>
      <c r="F261" s="16"/>
      <c r="G261" s="16"/>
      <c r="H261" s="16"/>
      <c r="I261" s="16"/>
      <c r="J261" s="16"/>
      <c r="K261" s="16"/>
    </row>
    <row r="262" spans="2:11" ht="12.75">
      <c r="B262" s="16"/>
      <c r="C262" s="16"/>
      <c r="D262" s="16"/>
      <c r="E262" s="16"/>
      <c r="F262" s="16"/>
      <c r="G262" s="16"/>
      <c r="H262" s="16"/>
      <c r="I262" s="16"/>
      <c r="J262" s="16"/>
      <c r="K262" s="16"/>
    </row>
    <row r="263" spans="2:11" ht="12.75">
      <c r="B263" s="16"/>
      <c r="C263" s="16"/>
      <c r="D263" s="16"/>
      <c r="E263" s="16"/>
      <c r="F263" s="16"/>
      <c r="G263" s="16"/>
      <c r="H263" s="16"/>
      <c r="I263" s="16"/>
      <c r="J263" s="16"/>
      <c r="K263" s="16"/>
    </row>
    <row r="264" spans="2:11" ht="12.75">
      <c r="B264" s="16"/>
      <c r="C264" s="16"/>
      <c r="D264" s="16"/>
      <c r="E264" s="16"/>
      <c r="F264" s="16"/>
      <c r="G264" s="16"/>
      <c r="H264" s="16"/>
      <c r="I264" s="16"/>
      <c r="J264" s="16"/>
      <c r="K264" s="16"/>
    </row>
    <row r="265" spans="2:11" ht="12.75">
      <c r="B265" s="16"/>
      <c r="C265" s="16"/>
      <c r="D265" s="16"/>
      <c r="E265" s="16"/>
      <c r="F265" s="16"/>
      <c r="G265" s="16"/>
      <c r="H265" s="16"/>
      <c r="I265" s="16"/>
      <c r="J265" s="16"/>
      <c r="K265" s="16"/>
    </row>
    <row r="266" spans="2:11" ht="12.75">
      <c r="B266" s="16"/>
      <c r="C266" s="16"/>
      <c r="D266" s="16"/>
      <c r="E266" s="16"/>
      <c r="F266" s="16"/>
      <c r="G266" s="16"/>
      <c r="H266" s="16"/>
      <c r="I266" s="16"/>
      <c r="J266" s="16"/>
      <c r="K266" s="16"/>
    </row>
    <row r="267" spans="2:11" ht="12.75">
      <c r="B267" s="16"/>
      <c r="C267" s="16"/>
      <c r="D267" s="16"/>
      <c r="E267" s="16"/>
      <c r="F267" s="16"/>
      <c r="G267" s="16"/>
      <c r="H267" s="16"/>
      <c r="I267" s="16"/>
      <c r="J267" s="16"/>
      <c r="K267" s="16"/>
    </row>
    <row r="268" spans="2:11" ht="12.75">
      <c r="B268" s="16"/>
      <c r="C268" s="16"/>
      <c r="D268" s="16"/>
      <c r="E268" s="16"/>
      <c r="F268" s="16"/>
      <c r="G268" s="16"/>
      <c r="H268" s="16"/>
      <c r="I268" s="16"/>
      <c r="J268" s="16"/>
      <c r="K268" s="16"/>
    </row>
    <row r="269" spans="2:11" ht="12.75">
      <c r="B269" s="16"/>
      <c r="C269" s="16"/>
      <c r="D269" s="16"/>
      <c r="E269" s="16"/>
      <c r="F269" s="16"/>
      <c r="G269" s="16"/>
      <c r="H269" s="16"/>
      <c r="I269" s="16"/>
      <c r="J269" s="16"/>
      <c r="K269" s="16"/>
    </row>
    <row r="270" spans="2:11" ht="12.75">
      <c r="B270" s="16"/>
      <c r="C270" s="16"/>
      <c r="D270" s="16"/>
      <c r="E270" s="16"/>
      <c r="F270" s="16"/>
      <c r="G270" s="16"/>
      <c r="H270" s="16"/>
      <c r="I270" s="16"/>
      <c r="J270" s="16"/>
      <c r="K270" s="16"/>
    </row>
    <row r="271" spans="2:11" ht="12.75">
      <c r="B271" s="16"/>
      <c r="C271" s="16"/>
      <c r="D271" s="16"/>
      <c r="E271" s="16"/>
      <c r="F271" s="16"/>
      <c r="G271" s="16"/>
      <c r="H271" s="16"/>
      <c r="I271" s="16"/>
      <c r="J271" s="16"/>
      <c r="K271" s="16"/>
    </row>
    <row r="272" spans="2:11" ht="12.75">
      <c r="B272" s="16"/>
      <c r="C272" s="16"/>
      <c r="D272" s="16"/>
      <c r="E272" s="16"/>
      <c r="F272" s="16"/>
      <c r="G272" s="16"/>
      <c r="H272" s="16"/>
      <c r="I272" s="16"/>
      <c r="J272" s="16"/>
      <c r="K272" s="16"/>
    </row>
    <row r="273" spans="2:11" ht="12.75">
      <c r="B273" s="16"/>
      <c r="C273" s="16"/>
      <c r="D273" s="16"/>
      <c r="E273" s="16"/>
      <c r="F273" s="16"/>
      <c r="G273" s="16"/>
      <c r="H273" s="16"/>
      <c r="I273" s="16"/>
      <c r="J273" s="16"/>
      <c r="K273" s="16"/>
    </row>
    <row r="274" spans="2:11" ht="12.75">
      <c r="B274" s="16"/>
      <c r="C274" s="16"/>
      <c r="D274" s="16"/>
      <c r="E274" s="16"/>
      <c r="F274" s="16"/>
      <c r="G274" s="16"/>
      <c r="H274" s="16"/>
      <c r="I274" s="16"/>
      <c r="J274" s="16"/>
      <c r="K274" s="16"/>
    </row>
    <row r="275" spans="2:11" ht="12.75">
      <c r="B275" s="16"/>
      <c r="C275" s="16"/>
      <c r="D275" s="16"/>
      <c r="E275" s="16"/>
      <c r="F275" s="16"/>
      <c r="G275" s="16"/>
      <c r="H275" s="16"/>
      <c r="I275" s="16"/>
      <c r="J275" s="16"/>
      <c r="K275" s="16"/>
    </row>
    <row r="276" spans="2:11" ht="12.75">
      <c r="B276" s="16"/>
      <c r="C276" s="16"/>
      <c r="D276" s="16"/>
      <c r="E276" s="16"/>
      <c r="F276" s="16"/>
      <c r="G276" s="16"/>
      <c r="H276" s="16"/>
      <c r="I276" s="16"/>
      <c r="J276" s="16"/>
      <c r="K276" s="16"/>
    </row>
    <row r="277" spans="2:11" ht="12.75">
      <c r="B277" s="16"/>
      <c r="C277" s="16"/>
      <c r="D277" s="16"/>
      <c r="E277" s="16"/>
      <c r="F277" s="16"/>
      <c r="G277" s="16"/>
      <c r="H277" s="16"/>
      <c r="I277" s="16"/>
      <c r="J277" s="16"/>
      <c r="K277" s="16"/>
    </row>
    <row r="278" spans="2:11" ht="12.75">
      <c r="B278" s="16"/>
      <c r="C278" s="16"/>
      <c r="D278" s="16"/>
      <c r="E278" s="16"/>
      <c r="F278" s="16"/>
      <c r="G278" s="16"/>
      <c r="H278" s="16"/>
      <c r="I278" s="16"/>
      <c r="J278" s="16"/>
      <c r="K278" s="16"/>
    </row>
    <row r="279" spans="2:11" ht="12.75">
      <c r="B279" s="16"/>
      <c r="C279" s="16"/>
      <c r="D279" s="16"/>
      <c r="E279" s="16"/>
      <c r="F279" s="16"/>
      <c r="G279" s="16"/>
      <c r="H279" s="16"/>
      <c r="I279" s="16"/>
      <c r="J279" s="16"/>
      <c r="K279" s="16"/>
    </row>
    <row r="280" spans="2:11" ht="12.75">
      <c r="B280" s="16"/>
      <c r="C280" s="16"/>
      <c r="D280" s="16"/>
      <c r="E280" s="16"/>
      <c r="F280" s="16"/>
      <c r="G280" s="16"/>
      <c r="H280" s="16"/>
      <c r="I280" s="16"/>
      <c r="J280" s="16"/>
      <c r="K280" s="16"/>
    </row>
    <row r="281" spans="2:11" ht="12.75">
      <c r="B281" s="16"/>
      <c r="C281" s="16"/>
      <c r="D281" s="16"/>
      <c r="E281" s="16"/>
      <c r="F281" s="16"/>
      <c r="G281" s="16"/>
      <c r="H281" s="16"/>
      <c r="I281" s="16"/>
      <c r="J281" s="16"/>
      <c r="K281" s="16"/>
    </row>
    <row r="282" spans="2:11" ht="12.75">
      <c r="B282" s="16"/>
      <c r="C282" s="16"/>
      <c r="D282" s="16"/>
      <c r="E282" s="16"/>
      <c r="F282" s="16"/>
      <c r="G282" s="16"/>
      <c r="H282" s="16"/>
      <c r="I282" s="16"/>
      <c r="J282" s="16"/>
      <c r="K282" s="16"/>
    </row>
    <row r="283" spans="2:11" ht="12.75">
      <c r="B283" s="16"/>
      <c r="C283" s="16"/>
      <c r="D283" s="16"/>
      <c r="E283" s="16"/>
      <c r="F283" s="16"/>
      <c r="G283" s="16"/>
      <c r="H283" s="16"/>
      <c r="I283" s="16"/>
      <c r="J283" s="16"/>
      <c r="K283" s="16"/>
    </row>
    <row r="284" spans="2:11" ht="12.75">
      <c r="B284" s="16"/>
      <c r="C284" s="16"/>
      <c r="D284" s="16"/>
      <c r="E284" s="16"/>
      <c r="F284" s="16"/>
      <c r="G284" s="16"/>
      <c r="H284" s="16"/>
      <c r="I284" s="16"/>
      <c r="J284" s="16"/>
      <c r="K284" s="16"/>
    </row>
    <row r="285" spans="2:11" ht="12.75">
      <c r="B285" s="16"/>
      <c r="C285" s="16"/>
      <c r="D285" s="16"/>
      <c r="E285" s="16"/>
      <c r="F285" s="16"/>
      <c r="G285" s="16"/>
      <c r="H285" s="16"/>
      <c r="I285" s="16"/>
      <c r="J285" s="16"/>
      <c r="K285" s="16"/>
    </row>
    <row r="286" spans="2:11" ht="12.75">
      <c r="B286" s="16"/>
      <c r="C286" s="16"/>
      <c r="D286" s="16"/>
      <c r="E286" s="16"/>
      <c r="F286" s="16"/>
      <c r="G286" s="16"/>
      <c r="H286" s="16"/>
      <c r="I286" s="16"/>
      <c r="J286" s="16"/>
      <c r="K286" s="16"/>
    </row>
    <row r="287" spans="2:11" ht="12.75">
      <c r="B287" s="16"/>
      <c r="C287" s="16"/>
      <c r="D287" s="16"/>
      <c r="E287" s="16"/>
      <c r="F287" s="16"/>
      <c r="G287" s="16"/>
      <c r="H287" s="16"/>
      <c r="I287" s="16"/>
      <c r="J287" s="16"/>
      <c r="K287" s="16"/>
    </row>
    <row r="288" spans="2:11" ht="12.75">
      <c r="B288" s="16"/>
      <c r="C288" s="16"/>
      <c r="D288" s="16"/>
      <c r="E288" s="16"/>
      <c r="F288" s="16"/>
      <c r="G288" s="16"/>
      <c r="H288" s="16"/>
      <c r="I288" s="16"/>
      <c r="J288" s="16"/>
      <c r="K288" s="16"/>
    </row>
    <row r="289" spans="2:11" ht="12.75">
      <c r="B289" s="16"/>
      <c r="C289" s="16"/>
      <c r="D289" s="16"/>
      <c r="E289" s="16"/>
      <c r="F289" s="16"/>
      <c r="G289" s="16"/>
      <c r="H289" s="16"/>
      <c r="I289" s="16"/>
      <c r="J289" s="16"/>
      <c r="K289" s="16"/>
    </row>
    <row r="290" spans="2:11" ht="12.75">
      <c r="B290" s="16"/>
      <c r="C290" s="16"/>
      <c r="D290" s="16"/>
      <c r="E290" s="16"/>
      <c r="F290" s="16"/>
      <c r="G290" s="16"/>
      <c r="H290" s="16"/>
      <c r="I290" s="16"/>
      <c r="J290" s="16"/>
      <c r="K290" s="16"/>
    </row>
    <row r="291" spans="2:11" ht="12.75">
      <c r="B291" s="16"/>
      <c r="C291" s="16"/>
      <c r="D291" s="16"/>
      <c r="E291" s="16"/>
      <c r="F291" s="16"/>
      <c r="G291" s="16"/>
      <c r="H291" s="16"/>
      <c r="I291" s="16"/>
      <c r="J291" s="16"/>
      <c r="K291" s="16"/>
    </row>
    <row r="292" spans="2:11" ht="12.75">
      <c r="B292" s="16"/>
      <c r="C292" s="16"/>
      <c r="D292" s="16"/>
      <c r="E292" s="16"/>
      <c r="F292" s="16"/>
      <c r="G292" s="16"/>
      <c r="H292" s="16"/>
      <c r="I292" s="16"/>
      <c r="J292" s="16"/>
      <c r="K292" s="16"/>
    </row>
    <row r="293" spans="2:11" ht="12.75">
      <c r="B293" s="16"/>
      <c r="C293" s="16"/>
      <c r="D293" s="16"/>
      <c r="E293" s="16"/>
      <c r="F293" s="16"/>
      <c r="G293" s="16"/>
      <c r="H293" s="16"/>
      <c r="I293" s="16"/>
      <c r="J293" s="16"/>
      <c r="K293" s="16"/>
    </row>
    <row r="294" spans="2:11" ht="12.75">
      <c r="B294" s="16"/>
      <c r="C294" s="16"/>
      <c r="D294" s="16"/>
      <c r="E294" s="16"/>
      <c r="F294" s="16"/>
      <c r="G294" s="16"/>
      <c r="H294" s="16"/>
      <c r="I294" s="16"/>
      <c r="J294" s="16"/>
      <c r="K294" s="16"/>
    </row>
    <row r="295" spans="2:11" ht="12.75">
      <c r="B295" s="16"/>
      <c r="C295" s="16"/>
      <c r="D295" s="16"/>
      <c r="E295" s="16"/>
      <c r="F295" s="16"/>
      <c r="G295" s="16"/>
      <c r="H295" s="16"/>
      <c r="I295" s="16"/>
      <c r="J295" s="16"/>
      <c r="K295" s="16"/>
    </row>
    <row r="296" spans="2:11" ht="12.75">
      <c r="B296" s="16"/>
      <c r="C296" s="16"/>
      <c r="D296" s="16"/>
      <c r="E296" s="16"/>
      <c r="F296" s="16"/>
      <c r="G296" s="16"/>
      <c r="H296" s="16"/>
      <c r="I296" s="16"/>
      <c r="J296" s="16"/>
      <c r="K296" s="16"/>
    </row>
    <row r="297" spans="2:11" ht="12.75">
      <c r="B297" s="16"/>
      <c r="C297" s="16"/>
      <c r="D297" s="16"/>
      <c r="E297" s="16"/>
      <c r="F297" s="16"/>
      <c r="G297" s="16"/>
      <c r="H297" s="16"/>
      <c r="I297" s="16"/>
      <c r="J297" s="16"/>
      <c r="K297" s="16"/>
    </row>
    <row r="298" spans="2:11" ht="12.75">
      <c r="B298" s="16"/>
      <c r="C298" s="16"/>
      <c r="D298" s="16"/>
      <c r="E298" s="16"/>
      <c r="F298" s="16"/>
      <c r="G298" s="16"/>
      <c r="H298" s="16"/>
      <c r="I298" s="16"/>
      <c r="J298" s="16"/>
      <c r="K298" s="16"/>
    </row>
    <row r="299" spans="2:11" ht="12.75">
      <c r="B299" s="16"/>
      <c r="C299" s="16"/>
      <c r="D299" s="16"/>
      <c r="E299" s="16"/>
      <c r="F299" s="16"/>
      <c r="G299" s="16"/>
      <c r="H299" s="16"/>
      <c r="I299" s="16"/>
      <c r="J299" s="16"/>
      <c r="K299" s="16"/>
    </row>
    <row r="300" spans="2:11" ht="12.75">
      <c r="B300" s="16"/>
      <c r="C300" s="16"/>
      <c r="D300" s="16"/>
      <c r="E300" s="16"/>
      <c r="F300" s="16"/>
      <c r="G300" s="16"/>
      <c r="H300" s="16"/>
      <c r="I300" s="16"/>
      <c r="J300" s="16"/>
      <c r="K300" s="16"/>
    </row>
    <row r="301" spans="2:11" ht="12.75">
      <c r="B301" s="16"/>
      <c r="C301" s="16"/>
      <c r="D301" s="16"/>
      <c r="E301" s="16"/>
      <c r="F301" s="16"/>
      <c r="G301" s="16"/>
      <c r="H301" s="16"/>
      <c r="I301" s="16"/>
      <c r="J301" s="16"/>
      <c r="K301" s="16"/>
    </row>
    <row r="302" spans="2:11" ht="12.75">
      <c r="B302" s="16"/>
      <c r="C302" s="16"/>
      <c r="D302" s="16"/>
      <c r="E302" s="16"/>
      <c r="F302" s="16"/>
      <c r="G302" s="16"/>
      <c r="H302" s="16"/>
      <c r="I302" s="16"/>
      <c r="J302" s="16"/>
      <c r="K302" s="16"/>
    </row>
    <row r="303" spans="2:11" ht="12.75">
      <c r="B303" s="16"/>
      <c r="C303" s="16"/>
      <c r="D303" s="16"/>
      <c r="E303" s="16"/>
      <c r="F303" s="16"/>
      <c r="G303" s="16"/>
      <c r="H303" s="16"/>
      <c r="I303" s="16"/>
      <c r="J303" s="16"/>
      <c r="K303" s="16"/>
    </row>
    <row r="304" spans="2:11" ht="12.75">
      <c r="B304" s="16"/>
      <c r="C304" s="16"/>
      <c r="D304" s="16"/>
      <c r="E304" s="16"/>
      <c r="F304" s="16"/>
      <c r="G304" s="16"/>
      <c r="H304" s="16"/>
      <c r="I304" s="16"/>
      <c r="J304" s="16"/>
      <c r="K304" s="16"/>
    </row>
    <row r="305" spans="2:11" ht="12.75">
      <c r="B305" s="16"/>
      <c r="C305" s="16"/>
      <c r="D305" s="16"/>
      <c r="E305" s="16"/>
      <c r="F305" s="16"/>
      <c r="G305" s="16"/>
      <c r="H305" s="16"/>
      <c r="I305" s="16"/>
      <c r="J305" s="16"/>
      <c r="K305" s="16"/>
    </row>
    <row r="306" spans="2:11" ht="12.75">
      <c r="B306" s="16"/>
      <c r="C306" s="16"/>
      <c r="D306" s="16"/>
      <c r="E306" s="16"/>
      <c r="F306" s="16"/>
      <c r="G306" s="16"/>
      <c r="H306" s="16"/>
      <c r="I306" s="16"/>
      <c r="J306" s="16"/>
      <c r="K306" s="16"/>
    </row>
    <row r="307" spans="2:11" ht="12.75">
      <c r="B307" s="16"/>
      <c r="C307" s="16"/>
      <c r="D307" s="16"/>
      <c r="E307" s="16"/>
      <c r="F307" s="16"/>
      <c r="G307" s="16"/>
      <c r="H307" s="16"/>
      <c r="I307" s="16"/>
      <c r="J307" s="16"/>
      <c r="K307" s="16"/>
    </row>
    <row r="308" spans="2:11" ht="12.75">
      <c r="B308" s="16"/>
      <c r="C308" s="16"/>
      <c r="D308" s="16"/>
      <c r="E308" s="16"/>
      <c r="F308" s="16"/>
      <c r="G308" s="16"/>
      <c r="H308" s="16"/>
      <c r="I308" s="16"/>
      <c r="J308" s="16"/>
      <c r="K308" s="16"/>
    </row>
    <row r="309" spans="2:11" ht="12.75">
      <c r="B309" s="16"/>
      <c r="C309" s="16"/>
      <c r="D309" s="16"/>
      <c r="E309" s="16"/>
      <c r="F309" s="16"/>
      <c r="G309" s="16"/>
      <c r="H309" s="16"/>
      <c r="I309" s="16"/>
      <c r="J309" s="16"/>
      <c r="K309" s="16"/>
    </row>
    <row r="310" spans="2:11" ht="12.75">
      <c r="B310" s="16"/>
      <c r="C310" s="16"/>
      <c r="D310" s="16"/>
      <c r="E310" s="16"/>
      <c r="F310" s="16"/>
      <c r="G310" s="16"/>
      <c r="H310" s="16"/>
      <c r="I310" s="16"/>
      <c r="J310" s="16"/>
      <c r="K310" s="16"/>
    </row>
    <row r="311" spans="2:11" ht="12.75">
      <c r="B311" s="16"/>
      <c r="C311" s="16"/>
      <c r="D311" s="16"/>
      <c r="E311" s="16"/>
      <c r="F311" s="16"/>
      <c r="G311" s="16"/>
      <c r="H311" s="16"/>
      <c r="I311" s="16"/>
      <c r="J311" s="16"/>
      <c r="K311" s="16"/>
    </row>
    <row r="312" spans="2:11" ht="12.75">
      <c r="B312" s="16"/>
      <c r="C312" s="16"/>
      <c r="D312" s="16"/>
      <c r="E312" s="16"/>
      <c r="F312" s="16"/>
      <c r="G312" s="16"/>
      <c r="H312" s="16"/>
      <c r="I312" s="16"/>
      <c r="J312" s="16"/>
      <c r="K312" s="16"/>
    </row>
    <row r="313" spans="2:11" ht="12.75">
      <c r="B313" s="16"/>
      <c r="C313" s="16"/>
      <c r="D313" s="16"/>
      <c r="E313" s="16"/>
      <c r="F313" s="16"/>
      <c r="G313" s="16"/>
      <c r="H313" s="16"/>
      <c r="I313" s="16"/>
      <c r="J313" s="16"/>
      <c r="K313" s="16"/>
    </row>
    <row r="314" spans="2:11" ht="12.75">
      <c r="B314" s="16"/>
      <c r="C314" s="16"/>
      <c r="D314" s="16"/>
      <c r="E314" s="16"/>
      <c r="F314" s="16"/>
      <c r="G314" s="16"/>
      <c r="H314" s="16"/>
      <c r="I314" s="16"/>
      <c r="J314" s="16"/>
      <c r="K314" s="16"/>
    </row>
    <row r="315" spans="2:11" ht="12.75">
      <c r="B315" s="16"/>
      <c r="C315" s="16"/>
      <c r="D315" s="16"/>
      <c r="E315" s="16"/>
      <c r="F315" s="16"/>
      <c r="G315" s="16"/>
      <c r="H315" s="16"/>
      <c r="I315" s="16"/>
      <c r="J315" s="16"/>
      <c r="K315" s="16"/>
    </row>
    <row r="316" spans="2:11" ht="12.75">
      <c r="B316" s="16"/>
      <c r="C316" s="16"/>
      <c r="D316" s="16"/>
      <c r="E316" s="16"/>
      <c r="F316" s="16"/>
      <c r="G316" s="16"/>
      <c r="H316" s="16"/>
      <c r="I316" s="16"/>
      <c r="J316" s="16"/>
      <c r="K316" s="16"/>
    </row>
    <row r="317" spans="2:11" ht="12.75">
      <c r="B317" s="16"/>
      <c r="C317" s="16"/>
      <c r="D317" s="16"/>
      <c r="E317" s="16"/>
      <c r="F317" s="16"/>
      <c r="G317" s="16"/>
      <c r="H317" s="16"/>
      <c r="I317" s="16"/>
      <c r="J317" s="16"/>
      <c r="K317" s="16"/>
    </row>
    <row r="318" spans="2:11" ht="12.75">
      <c r="B318" s="16"/>
      <c r="C318" s="16"/>
      <c r="D318" s="16"/>
      <c r="E318" s="16"/>
      <c r="F318" s="16"/>
      <c r="G318" s="16"/>
      <c r="H318" s="16"/>
      <c r="I318" s="16"/>
      <c r="J318" s="16"/>
      <c r="K318" s="16"/>
    </row>
    <row r="319" spans="2:11" ht="12.75">
      <c r="B319" s="16"/>
      <c r="C319" s="16"/>
      <c r="D319" s="16"/>
      <c r="E319" s="16"/>
      <c r="F319" s="16"/>
      <c r="G319" s="16"/>
      <c r="H319" s="16"/>
      <c r="I319" s="16"/>
      <c r="J319" s="16"/>
      <c r="K319" s="16"/>
    </row>
    <row r="320" spans="2:11" ht="12.75">
      <c r="B320" s="16"/>
      <c r="C320" s="16"/>
      <c r="D320" s="16"/>
      <c r="E320" s="16"/>
      <c r="F320" s="16"/>
      <c r="G320" s="16"/>
      <c r="H320" s="16"/>
      <c r="I320" s="16"/>
      <c r="J320" s="16"/>
      <c r="K320" s="16"/>
    </row>
    <row r="321" spans="2:11" ht="12.75">
      <c r="B321" s="16"/>
      <c r="C321" s="16"/>
      <c r="D321" s="16"/>
      <c r="E321" s="16"/>
      <c r="F321" s="16"/>
      <c r="G321" s="16"/>
      <c r="H321" s="16"/>
      <c r="I321" s="16"/>
      <c r="J321" s="16"/>
      <c r="K321" s="16"/>
    </row>
    <row r="322" spans="2:11" ht="12.75">
      <c r="B322" s="16"/>
      <c r="C322" s="16"/>
      <c r="D322" s="16"/>
      <c r="E322" s="16"/>
      <c r="F322" s="16"/>
      <c r="G322" s="16"/>
      <c r="H322" s="16"/>
      <c r="I322" s="16"/>
      <c r="J322" s="16"/>
      <c r="K322" s="16"/>
    </row>
    <row r="323" spans="2:11" ht="12.75">
      <c r="B323" s="16"/>
      <c r="C323" s="16"/>
      <c r="D323" s="16"/>
      <c r="E323" s="16"/>
      <c r="F323" s="16"/>
      <c r="G323" s="16"/>
      <c r="H323" s="16"/>
      <c r="I323" s="16"/>
      <c r="J323" s="16"/>
      <c r="K323" s="16"/>
    </row>
    <row r="324" spans="2:11" ht="12.75">
      <c r="B324" s="16"/>
      <c r="C324" s="16"/>
      <c r="D324" s="16"/>
      <c r="E324" s="16"/>
      <c r="F324" s="16"/>
      <c r="G324" s="16"/>
      <c r="H324" s="16"/>
      <c r="I324" s="16"/>
      <c r="J324" s="16"/>
      <c r="K324" s="16"/>
    </row>
    <row r="325" spans="2:11" ht="12.75">
      <c r="B325" s="16"/>
      <c r="C325" s="16"/>
      <c r="D325" s="16"/>
      <c r="E325" s="16"/>
      <c r="F325" s="16"/>
      <c r="G325" s="16"/>
      <c r="H325" s="16"/>
      <c r="I325" s="16"/>
      <c r="J325" s="16"/>
      <c r="K325" s="16"/>
    </row>
    <row r="326" spans="2:11" ht="12.75">
      <c r="B326" s="16"/>
      <c r="C326" s="16"/>
      <c r="D326" s="16"/>
      <c r="E326" s="16"/>
      <c r="F326" s="16"/>
      <c r="G326" s="16"/>
      <c r="H326" s="16"/>
      <c r="I326" s="16"/>
      <c r="J326" s="16"/>
      <c r="K326" s="16"/>
    </row>
    <row r="327" spans="2:11" ht="12.75">
      <c r="B327" s="16"/>
      <c r="C327" s="16"/>
      <c r="D327" s="16"/>
      <c r="E327" s="16"/>
      <c r="F327" s="16"/>
      <c r="G327" s="16"/>
      <c r="H327" s="16"/>
      <c r="I327" s="16"/>
      <c r="J327" s="16"/>
      <c r="K327" s="16"/>
    </row>
    <row r="328" spans="2:11" ht="12.75">
      <c r="B328" s="16"/>
      <c r="C328" s="16"/>
      <c r="D328" s="16"/>
      <c r="E328" s="16"/>
      <c r="F328" s="16"/>
      <c r="G328" s="16"/>
      <c r="H328" s="16"/>
      <c r="I328" s="16"/>
      <c r="J328" s="16"/>
      <c r="K328" s="16"/>
    </row>
    <row r="329" spans="2:11" ht="12.75">
      <c r="B329" s="16"/>
      <c r="C329" s="16"/>
      <c r="D329" s="16"/>
      <c r="E329" s="16"/>
      <c r="F329" s="16"/>
      <c r="G329" s="16"/>
      <c r="H329" s="16"/>
      <c r="I329" s="16"/>
      <c r="J329" s="16"/>
      <c r="K329" s="16"/>
    </row>
    <row r="330" spans="2:11" ht="12.75">
      <c r="B330" s="16"/>
      <c r="C330" s="16"/>
      <c r="D330" s="16"/>
      <c r="E330" s="16"/>
      <c r="F330" s="16"/>
      <c r="G330" s="16"/>
      <c r="H330" s="16"/>
      <c r="I330" s="16"/>
      <c r="J330" s="16"/>
      <c r="K330" s="16"/>
    </row>
    <row r="331" spans="2:11" ht="12.75">
      <c r="B331" s="16"/>
      <c r="C331" s="16"/>
      <c r="D331" s="16"/>
      <c r="E331" s="16"/>
      <c r="F331" s="16"/>
      <c r="G331" s="16"/>
      <c r="H331" s="16"/>
      <c r="I331" s="16"/>
      <c r="J331" s="16"/>
      <c r="K331" s="16"/>
    </row>
    <row r="332" spans="2:11" ht="12.75">
      <c r="B332" s="16"/>
      <c r="C332" s="16"/>
      <c r="D332" s="16"/>
      <c r="E332" s="16"/>
      <c r="F332" s="16"/>
      <c r="G332" s="16"/>
      <c r="H332" s="16"/>
      <c r="I332" s="16"/>
      <c r="J332" s="16"/>
      <c r="K332" s="16"/>
    </row>
    <row r="333" spans="2:11" ht="12.75">
      <c r="B333" s="16"/>
      <c r="C333" s="16"/>
      <c r="D333" s="16"/>
      <c r="E333" s="16"/>
      <c r="F333" s="16"/>
      <c r="G333" s="16"/>
      <c r="H333" s="16"/>
      <c r="I333" s="16"/>
      <c r="J333" s="16"/>
      <c r="K333" s="16"/>
    </row>
    <row r="334" spans="2:11" ht="12.75">
      <c r="B334" s="16"/>
      <c r="C334" s="16"/>
      <c r="D334" s="16"/>
      <c r="E334" s="16"/>
      <c r="F334" s="16"/>
      <c r="G334" s="16"/>
      <c r="H334" s="16"/>
      <c r="I334" s="16"/>
      <c r="J334" s="16"/>
      <c r="K334" s="16"/>
    </row>
    <row r="335" spans="2:11" ht="12.75">
      <c r="B335" s="16"/>
      <c r="C335" s="16"/>
      <c r="D335" s="16"/>
      <c r="E335" s="16"/>
      <c r="F335" s="16"/>
      <c r="G335" s="16"/>
      <c r="H335" s="16"/>
      <c r="I335" s="16"/>
      <c r="J335" s="16"/>
      <c r="K335" s="16"/>
    </row>
    <row r="336" spans="2:11" ht="12.75">
      <c r="B336" s="16"/>
      <c r="C336" s="16"/>
      <c r="D336" s="16"/>
      <c r="E336" s="16"/>
      <c r="F336" s="16"/>
      <c r="G336" s="16"/>
      <c r="H336" s="16"/>
      <c r="I336" s="16"/>
      <c r="J336" s="16"/>
      <c r="K336" s="16"/>
    </row>
    <row r="337" spans="2:11" ht="12.75">
      <c r="B337" s="16"/>
      <c r="C337" s="16"/>
      <c r="D337" s="16"/>
      <c r="E337" s="16"/>
      <c r="F337" s="16"/>
      <c r="G337" s="16"/>
      <c r="H337" s="16"/>
      <c r="I337" s="16"/>
      <c r="J337" s="16"/>
      <c r="K337" s="16"/>
    </row>
    <row r="338" spans="2:11" ht="12.75">
      <c r="B338" s="16"/>
      <c r="C338" s="16"/>
      <c r="D338" s="16"/>
      <c r="E338" s="16"/>
      <c r="F338" s="16"/>
      <c r="G338" s="16"/>
      <c r="H338" s="16"/>
      <c r="I338" s="16"/>
      <c r="J338" s="16"/>
      <c r="K338" s="16"/>
    </row>
    <row r="339" spans="2:11" ht="12.75">
      <c r="B339" s="16"/>
      <c r="C339" s="16"/>
      <c r="D339" s="16"/>
      <c r="E339" s="16"/>
      <c r="F339" s="16"/>
      <c r="G339" s="16"/>
      <c r="H339" s="16"/>
      <c r="I339" s="16"/>
      <c r="J339" s="16"/>
      <c r="K339" s="16"/>
    </row>
    <row r="340" spans="2:11" ht="12.75">
      <c r="B340" s="16"/>
      <c r="C340" s="16"/>
      <c r="D340" s="16"/>
      <c r="E340" s="16"/>
      <c r="F340" s="16"/>
      <c r="G340" s="16"/>
      <c r="H340" s="16"/>
      <c r="I340" s="16"/>
      <c r="J340" s="16"/>
      <c r="K340" s="16"/>
    </row>
    <row r="341" spans="2:11" ht="12.75">
      <c r="B341" s="16"/>
      <c r="C341" s="16"/>
      <c r="D341" s="16"/>
      <c r="E341" s="16"/>
      <c r="F341" s="16"/>
      <c r="G341" s="16"/>
      <c r="H341" s="16"/>
      <c r="I341" s="16"/>
      <c r="J341" s="16"/>
      <c r="K341" s="16"/>
    </row>
    <row r="342" spans="2:11" ht="12.75">
      <c r="B342" s="16"/>
      <c r="C342" s="16"/>
      <c r="D342" s="16"/>
      <c r="E342" s="16"/>
      <c r="F342" s="16"/>
      <c r="G342" s="16"/>
      <c r="H342" s="16"/>
      <c r="I342" s="16"/>
      <c r="J342" s="16"/>
      <c r="K342" s="16"/>
    </row>
    <row r="343" spans="2:11" ht="12.75">
      <c r="B343" s="16"/>
      <c r="C343" s="16"/>
      <c r="D343" s="16"/>
      <c r="E343" s="16"/>
      <c r="F343" s="16"/>
      <c r="G343" s="16"/>
      <c r="H343" s="16"/>
      <c r="I343" s="16"/>
      <c r="J343" s="16"/>
      <c r="K343" s="16"/>
    </row>
    <row r="344" spans="2:11" ht="12.75">
      <c r="B344" s="16"/>
      <c r="C344" s="16"/>
      <c r="D344" s="16"/>
      <c r="E344" s="16"/>
      <c r="F344" s="16"/>
      <c r="G344" s="16"/>
      <c r="H344" s="16"/>
      <c r="I344" s="16"/>
      <c r="J344" s="16"/>
      <c r="K344" s="16"/>
    </row>
    <row r="345" spans="2:11" ht="12.75">
      <c r="B345" s="16"/>
      <c r="C345" s="16"/>
      <c r="D345" s="16"/>
      <c r="E345" s="16"/>
      <c r="F345" s="16"/>
      <c r="G345" s="16"/>
      <c r="H345" s="16"/>
      <c r="I345" s="16"/>
      <c r="J345" s="16"/>
      <c r="K345" s="16"/>
    </row>
    <row r="346" spans="2:11" ht="12.75">
      <c r="B346" s="16"/>
      <c r="C346" s="16"/>
      <c r="D346" s="16"/>
      <c r="E346" s="16"/>
      <c r="F346" s="16"/>
      <c r="G346" s="16"/>
      <c r="H346" s="16"/>
      <c r="I346" s="16"/>
      <c r="J346" s="16"/>
      <c r="K346" s="16"/>
    </row>
    <row r="347" spans="2:11" ht="12.75">
      <c r="B347" s="16"/>
      <c r="C347" s="16"/>
      <c r="D347" s="16"/>
      <c r="E347" s="16"/>
      <c r="F347" s="16"/>
      <c r="G347" s="16"/>
      <c r="H347" s="16"/>
      <c r="I347" s="16"/>
      <c r="J347" s="16"/>
      <c r="K347" s="16"/>
    </row>
    <row r="348" spans="2:11" ht="12.75">
      <c r="B348" s="16"/>
      <c r="C348" s="16"/>
      <c r="D348" s="16"/>
      <c r="E348" s="16"/>
      <c r="F348" s="16"/>
      <c r="G348" s="16"/>
      <c r="H348" s="16"/>
      <c r="I348" s="16"/>
      <c r="J348" s="16"/>
      <c r="K348" s="16"/>
    </row>
    <row r="349" spans="2:11" ht="12.75">
      <c r="B349" s="16"/>
      <c r="C349" s="16"/>
      <c r="D349" s="16"/>
      <c r="E349" s="16"/>
      <c r="F349" s="16"/>
      <c r="G349" s="16"/>
      <c r="H349" s="16"/>
      <c r="I349" s="16"/>
      <c r="J349" s="16"/>
      <c r="K349" s="16"/>
    </row>
    <row r="350" spans="2:11" ht="12.75">
      <c r="B350" s="16"/>
      <c r="C350" s="16"/>
      <c r="D350" s="16"/>
      <c r="E350" s="16"/>
      <c r="F350" s="16"/>
      <c r="G350" s="16"/>
      <c r="H350" s="16"/>
      <c r="I350" s="16"/>
      <c r="J350" s="16"/>
      <c r="K350" s="16"/>
    </row>
    <row r="351" spans="2:11" ht="12.75">
      <c r="B351" s="16"/>
      <c r="C351" s="16"/>
      <c r="D351" s="16"/>
      <c r="E351" s="16"/>
      <c r="F351" s="16"/>
      <c r="G351" s="16"/>
      <c r="H351" s="16"/>
      <c r="I351" s="16"/>
      <c r="J351" s="16"/>
      <c r="K351" s="16"/>
    </row>
    <row r="352" spans="2:11" ht="12.75">
      <c r="B352" s="16"/>
      <c r="C352" s="16"/>
      <c r="D352" s="16"/>
      <c r="E352" s="16"/>
      <c r="F352" s="16"/>
      <c r="G352" s="16"/>
      <c r="H352" s="16"/>
      <c r="I352" s="16"/>
      <c r="J352" s="16"/>
      <c r="K352" s="16"/>
    </row>
    <row r="353" spans="2:11" ht="12.75">
      <c r="B353" s="16"/>
      <c r="C353" s="16"/>
      <c r="D353" s="16"/>
      <c r="E353" s="16"/>
      <c r="F353" s="16"/>
      <c r="G353" s="16"/>
      <c r="H353" s="16"/>
      <c r="I353" s="16"/>
      <c r="J353" s="16"/>
      <c r="K353" s="16"/>
    </row>
    <row r="354" spans="2:11" ht="12.75">
      <c r="B354" s="16"/>
      <c r="C354" s="16"/>
      <c r="D354" s="16"/>
      <c r="E354" s="16"/>
      <c r="F354" s="16"/>
      <c r="G354" s="16"/>
      <c r="H354" s="16"/>
      <c r="I354" s="16"/>
      <c r="J354" s="16"/>
      <c r="K354" s="16"/>
    </row>
    <row r="355" spans="2:11" ht="12.75">
      <c r="B355" s="16"/>
      <c r="C355" s="16"/>
      <c r="D355" s="16"/>
      <c r="E355" s="16"/>
      <c r="F355" s="16"/>
      <c r="G355" s="16"/>
      <c r="H355" s="16"/>
      <c r="I355" s="16"/>
      <c r="J355" s="16"/>
      <c r="K355" s="16"/>
    </row>
    <row r="356" spans="2:11" ht="12.75">
      <c r="B356" s="16"/>
      <c r="C356" s="16"/>
      <c r="D356" s="16"/>
      <c r="E356" s="16"/>
      <c r="F356" s="16"/>
      <c r="G356" s="16"/>
      <c r="H356" s="16"/>
      <c r="I356" s="16"/>
      <c r="J356" s="16"/>
      <c r="K356" s="16"/>
    </row>
    <row r="357" spans="2:11" ht="12.75">
      <c r="B357" s="16"/>
      <c r="C357" s="16"/>
      <c r="D357" s="16"/>
      <c r="E357" s="16"/>
      <c r="F357" s="16"/>
      <c r="G357" s="16"/>
      <c r="H357" s="16"/>
      <c r="I357" s="16"/>
      <c r="J357" s="16"/>
      <c r="K357" s="16"/>
    </row>
    <row r="358" spans="2:11" ht="12.75">
      <c r="B358" s="16"/>
      <c r="C358" s="16"/>
      <c r="D358" s="16"/>
      <c r="E358" s="16"/>
      <c r="F358" s="16"/>
      <c r="G358" s="16"/>
      <c r="H358" s="16"/>
      <c r="I358" s="16"/>
      <c r="J358" s="16"/>
      <c r="K358" s="16"/>
    </row>
    <row r="359" spans="2:11" ht="12.75">
      <c r="B359" s="16"/>
      <c r="C359" s="16"/>
      <c r="D359" s="16"/>
      <c r="E359" s="16"/>
      <c r="F359" s="16"/>
      <c r="G359" s="16"/>
      <c r="H359" s="16"/>
      <c r="I359" s="16"/>
      <c r="J359" s="16"/>
      <c r="K359" s="16"/>
    </row>
    <row r="360" spans="2:11" ht="12.75">
      <c r="B360" s="16"/>
      <c r="C360" s="16"/>
      <c r="D360" s="16"/>
      <c r="E360" s="16"/>
      <c r="F360" s="16"/>
      <c r="G360" s="16"/>
      <c r="H360" s="16"/>
      <c r="I360" s="16"/>
      <c r="J360" s="16"/>
      <c r="K360" s="16"/>
    </row>
    <row r="361" spans="2:11" ht="12.75">
      <c r="B361" s="16"/>
      <c r="C361" s="16"/>
      <c r="D361" s="16"/>
      <c r="E361" s="16"/>
      <c r="F361" s="16"/>
      <c r="G361" s="16"/>
      <c r="H361" s="16"/>
      <c r="I361" s="16"/>
      <c r="J361" s="16"/>
      <c r="K361" s="16"/>
    </row>
    <row r="362" spans="2:11" ht="12.75">
      <c r="B362" s="16"/>
      <c r="C362" s="16"/>
      <c r="D362" s="16"/>
      <c r="E362" s="16"/>
      <c r="F362" s="16"/>
      <c r="G362" s="16"/>
      <c r="H362" s="16"/>
      <c r="I362" s="16"/>
      <c r="J362" s="16"/>
      <c r="K362" s="16"/>
    </row>
    <row r="363" spans="2:11" ht="12.75">
      <c r="B363" s="16"/>
      <c r="C363" s="16"/>
      <c r="D363" s="16"/>
      <c r="E363" s="16"/>
      <c r="F363" s="16"/>
      <c r="G363" s="16"/>
      <c r="H363" s="16"/>
      <c r="I363" s="16"/>
      <c r="J363" s="16"/>
      <c r="K363" s="16"/>
    </row>
    <row r="364" spans="2:11" ht="12.75">
      <c r="B364" s="16"/>
      <c r="C364" s="16"/>
      <c r="D364" s="16"/>
      <c r="E364" s="16"/>
      <c r="F364" s="16"/>
      <c r="G364" s="16"/>
      <c r="H364" s="16"/>
      <c r="I364" s="16"/>
      <c r="J364" s="16"/>
      <c r="K364" s="16"/>
    </row>
    <row r="365" spans="2:11" ht="12.75">
      <c r="B365" s="16"/>
      <c r="C365" s="16"/>
      <c r="D365" s="16"/>
      <c r="E365" s="16"/>
      <c r="F365" s="16"/>
      <c r="G365" s="16"/>
      <c r="H365" s="16"/>
      <c r="I365" s="16"/>
      <c r="J365" s="16"/>
      <c r="K365" s="16"/>
    </row>
    <row r="366" spans="2:11" ht="12.75">
      <c r="B366" s="16"/>
      <c r="C366" s="16"/>
      <c r="D366" s="16"/>
      <c r="E366" s="16"/>
      <c r="F366" s="16"/>
      <c r="G366" s="16"/>
      <c r="H366" s="16"/>
      <c r="I366" s="16"/>
      <c r="J366" s="16"/>
      <c r="K366" s="16"/>
    </row>
    <row r="367" spans="2:11" ht="12.75">
      <c r="B367" s="16"/>
      <c r="C367" s="16"/>
      <c r="D367" s="16"/>
      <c r="E367" s="16"/>
      <c r="F367" s="16"/>
      <c r="G367" s="16"/>
      <c r="H367" s="16"/>
      <c r="I367" s="16"/>
      <c r="J367" s="16"/>
      <c r="K367" s="16"/>
    </row>
    <row r="368" spans="2:11" ht="12.75">
      <c r="B368" s="16"/>
      <c r="C368" s="16"/>
      <c r="D368" s="16"/>
      <c r="E368" s="16"/>
      <c r="F368" s="16"/>
      <c r="G368" s="16"/>
      <c r="H368" s="16"/>
      <c r="I368" s="16"/>
      <c r="J368" s="16"/>
      <c r="K368" s="16"/>
    </row>
    <row r="369" spans="2:11" ht="12.75">
      <c r="B369" s="16"/>
      <c r="C369" s="16"/>
      <c r="D369" s="16"/>
      <c r="E369" s="16"/>
      <c r="F369" s="16"/>
      <c r="G369" s="16"/>
      <c r="H369" s="16"/>
      <c r="I369" s="16"/>
      <c r="J369" s="16"/>
      <c r="K369" s="16"/>
    </row>
    <row r="370" spans="2:11" ht="12.75">
      <c r="B370" s="16"/>
      <c r="C370" s="16"/>
      <c r="D370" s="16"/>
      <c r="E370" s="16"/>
      <c r="F370" s="16"/>
      <c r="G370" s="16"/>
      <c r="H370" s="16"/>
      <c r="I370" s="16"/>
      <c r="J370" s="16"/>
      <c r="K370" s="16"/>
    </row>
    <row r="371" spans="2:11" ht="12.75">
      <c r="B371" s="16"/>
      <c r="C371" s="16"/>
      <c r="D371" s="16"/>
      <c r="E371" s="16"/>
      <c r="F371" s="16"/>
      <c r="G371" s="16"/>
      <c r="H371" s="16"/>
      <c r="I371" s="16"/>
      <c r="J371" s="16"/>
      <c r="K371" s="16"/>
    </row>
    <row r="372" spans="2:11" ht="12.75">
      <c r="B372" s="16"/>
      <c r="C372" s="16"/>
      <c r="D372" s="16"/>
      <c r="E372" s="16"/>
      <c r="F372" s="16"/>
      <c r="G372" s="16"/>
      <c r="H372" s="16"/>
      <c r="I372" s="16"/>
      <c r="J372" s="16"/>
      <c r="K372" s="16"/>
    </row>
    <row r="373" spans="2:11" ht="12.75">
      <c r="B373" s="16"/>
      <c r="C373" s="16"/>
      <c r="D373" s="16"/>
      <c r="E373" s="16"/>
      <c r="F373" s="16"/>
      <c r="G373" s="16"/>
      <c r="H373" s="16"/>
      <c r="I373" s="16"/>
      <c r="J373" s="16"/>
      <c r="K373" s="16"/>
    </row>
    <row r="374" spans="2:11" ht="12.75">
      <c r="B374" s="16"/>
      <c r="C374" s="16"/>
      <c r="D374" s="16"/>
      <c r="E374" s="16"/>
      <c r="F374" s="16"/>
      <c r="G374" s="16"/>
      <c r="H374" s="16"/>
      <c r="I374" s="16"/>
      <c r="J374" s="16"/>
      <c r="K374" s="16"/>
    </row>
    <row r="375" spans="2:11" ht="12.75">
      <c r="B375" s="16"/>
      <c r="C375" s="16"/>
      <c r="D375" s="16"/>
      <c r="E375" s="16"/>
      <c r="F375" s="16"/>
      <c r="G375" s="16"/>
      <c r="H375" s="16"/>
      <c r="I375" s="16"/>
      <c r="J375" s="16"/>
      <c r="K375" s="16"/>
    </row>
    <row r="376" spans="2:11" ht="12.75">
      <c r="B376" s="16"/>
      <c r="C376" s="16"/>
      <c r="D376" s="16"/>
      <c r="E376" s="16"/>
      <c r="F376" s="16"/>
      <c r="G376" s="16"/>
      <c r="H376" s="16"/>
      <c r="I376" s="16"/>
      <c r="J376" s="16"/>
      <c r="K376" s="16"/>
    </row>
    <row r="377" spans="2:11" ht="12.75">
      <c r="B377" s="16"/>
      <c r="C377" s="16"/>
      <c r="D377" s="16"/>
      <c r="E377" s="16"/>
      <c r="F377" s="16"/>
      <c r="G377" s="16"/>
      <c r="H377" s="16"/>
      <c r="I377" s="16"/>
      <c r="J377" s="16"/>
      <c r="K377" s="16"/>
    </row>
    <row r="378" spans="2:11" ht="12.75">
      <c r="B378" s="16"/>
      <c r="C378" s="16"/>
      <c r="D378" s="16"/>
      <c r="E378" s="16"/>
      <c r="F378" s="16"/>
      <c r="G378" s="16"/>
      <c r="H378" s="16"/>
      <c r="I378" s="16"/>
      <c r="J378" s="16"/>
      <c r="K378" s="16"/>
    </row>
    <row r="379" spans="2:11" ht="12.75">
      <c r="B379" s="16"/>
      <c r="C379" s="16"/>
      <c r="D379" s="16"/>
      <c r="E379" s="16"/>
      <c r="F379" s="16"/>
      <c r="G379" s="16"/>
      <c r="H379" s="16"/>
      <c r="I379" s="16"/>
      <c r="J379" s="16"/>
      <c r="K379" s="16"/>
    </row>
    <row r="380" spans="2:11" ht="12.75">
      <c r="B380" s="16"/>
      <c r="C380" s="16"/>
      <c r="D380" s="16"/>
      <c r="E380" s="16"/>
      <c r="F380" s="16"/>
      <c r="G380" s="16"/>
      <c r="H380" s="16"/>
      <c r="I380" s="16"/>
      <c r="J380" s="16"/>
      <c r="K380" s="16"/>
    </row>
    <row r="381" spans="2:11" ht="12.75">
      <c r="B381" s="16"/>
      <c r="C381" s="16"/>
      <c r="D381" s="16"/>
      <c r="E381" s="16"/>
      <c r="F381" s="16"/>
      <c r="G381" s="16"/>
      <c r="H381" s="16"/>
      <c r="I381" s="16"/>
      <c r="J381" s="16"/>
      <c r="K381" s="16"/>
    </row>
    <row r="382" spans="2:11" ht="12.75">
      <c r="B382" s="16"/>
      <c r="C382" s="16"/>
      <c r="D382" s="16"/>
      <c r="E382" s="16"/>
      <c r="F382" s="16"/>
      <c r="G382" s="16"/>
      <c r="H382" s="16"/>
      <c r="I382" s="16"/>
      <c r="J382" s="16"/>
      <c r="K382" s="16"/>
    </row>
    <row r="383" spans="2:11" ht="12.75">
      <c r="B383" s="16"/>
      <c r="C383" s="16"/>
      <c r="D383" s="16"/>
      <c r="E383" s="16"/>
      <c r="F383" s="16"/>
      <c r="G383" s="16"/>
      <c r="H383" s="16"/>
      <c r="I383" s="16"/>
      <c r="J383" s="16"/>
      <c r="K383" s="16"/>
    </row>
    <row r="384" spans="2:11" ht="12.75">
      <c r="B384" s="16"/>
      <c r="C384" s="16"/>
      <c r="D384" s="16"/>
      <c r="E384" s="16"/>
      <c r="F384" s="16"/>
      <c r="G384" s="16"/>
      <c r="H384" s="16"/>
      <c r="I384" s="16"/>
      <c r="J384" s="16"/>
      <c r="K384" s="16"/>
    </row>
    <row r="385" spans="2:11" ht="12.75">
      <c r="B385" s="16"/>
      <c r="C385" s="16"/>
      <c r="D385" s="16"/>
      <c r="E385" s="16"/>
      <c r="F385" s="16"/>
      <c r="G385" s="16"/>
      <c r="H385" s="16"/>
      <c r="I385" s="16"/>
      <c r="J385" s="16"/>
      <c r="K385" s="16"/>
    </row>
    <row r="386" spans="2:11" ht="12.75">
      <c r="B386" s="16"/>
      <c r="C386" s="16"/>
      <c r="D386" s="16"/>
      <c r="E386" s="16"/>
      <c r="F386" s="16"/>
      <c r="G386" s="16"/>
      <c r="H386" s="16"/>
      <c r="I386" s="16"/>
      <c r="J386" s="16"/>
      <c r="K386" s="16"/>
    </row>
    <row r="387" spans="2:11" ht="12.75">
      <c r="B387" s="16"/>
      <c r="C387" s="16"/>
      <c r="D387" s="16"/>
      <c r="E387" s="16"/>
      <c r="F387" s="16"/>
      <c r="G387" s="16"/>
      <c r="H387" s="16"/>
      <c r="I387" s="16"/>
      <c r="J387" s="16"/>
      <c r="K387" s="16"/>
    </row>
    <row r="388" spans="2:11" ht="12.75">
      <c r="B388" s="16"/>
      <c r="C388" s="16"/>
      <c r="D388" s="16"/>
      <c r="E388" s="16"/>
      <c r="F388" s="16"/>
      <c r="G388" s="16"/>
      <c r="H388" s="16"/>
      <c r="I388" s="16"/>
      <c r="J388" s="16"/>
      <c r="K388" s="16"/>
    </row>
    <row r="389" spans="2:11" ht="12.75">
      <c r="B389" s="16"/>
      <c r="C389" s="16"/>
      <c r="D389" s="16"/>
      <c r="E389" s="16"/>
      <c r="F389" s="16"/>
      <c r="G389" s="16"/>
      <c r="H389" s="16"/>
      <c r="I389" s="16"/>
      <c r="J389" s="16"/>
      <c r="K389" s="16"/>
    </row>
    <row r="390" spans="2:11" ht="12.75">
      <c r="B390" s="16"/>
      <c r="C390" s="16"/>
      <c r="D390" s="16"/>
      <c r="E390" s="16"/>
      <c r="F390" s="16"/>
      <c r="G390" s="16"/>
      <c r="H390" s="16"/>
      <c r="I390" s="16"/>
      <c r="J390" s="16"/>
      <c r="K390" s="16"/>
    </row>
    <row r="391" spans="2:11" ht="12.75">
      <c r="B391" s="16"/>
      <c r="C391" s="16"/>
      <c r="D391" s="16"/>
      <c r="E391" s="16"/>
      <c r="F391" s="16"/>
      <c r="G391" s="16"/>
      <c r="H391" s="16"/>
      <c r="I391" s="16"/>
      <c r="J391" s="16"/>
      <c r="K391" s="16"/>
    </row>
    <row r="392" spans="2:11" ht="12.75">
      <c r="B392" s="16"/>
      <c r="C392" s="16"/>
      <c r="D392" s="16"/>
      <c r="E392" s="16"/>
      <c r="F392" s="16"/>
      <c r="G392" s="16"/>
      <c r="H392" s="16"/>
      <c r="I392" s="16"/>
      <c r="J392" s="16"/>
      <c r="K392" s="16"/>
    </row>
    <row r="393" spans="2:11" ht="12.75">
      <c r="B393" s="16"/>
      <c r="C393" s="16"/>
      <c r="D393" s="16"/>
      <c r="E393" s="16"/>
      <c r="F393" s="16"/>
      <c r="G393" s="16"/>
      <c r="H393" s="16"/>
      <c r="I393" s="16"/>
      <c r="J393" s="16"/>
      <c r="K393" s="16"/>
    </row>
    <row r="394" spans="2:11" ht="12.75">
      <c r="B394" s="16"/>
      <c r="C394" s="16"/>
      <c r="D394" s="16"/>
      <c r="E394" s="16"/>
      <c r="F394" s="16"/>
      <c r="G394" s="16"/>
      <c r="H394" s="16"/>
      <c r="I394" s="16"/>
      <c r="J394" s="16"/>
      <c r="K394" s="16"/>
    </row>
    <row r="395" spans="2:11" ht="12.75">
      <c r="B395" s="16"/>
      <c r="C395" s="16"/>
      <c r="D395" s="16"/>
      <c r="E395" s="16"/>
      <c r="F395" s="16"/>
      <c r="G395" s="16"/>
      <c r="H395" s="16"/>
      <c r="I395" s="16"/>
      <c r="J395" s="16"/>
      <c r="K395" s="16"/>
    </row>
    <row r="396" spans="2:11" ht="12.75">
      <c r="B396" s="16"/>
      <c r="C396" s="16"/>
      <c r="D396" s="16"/>
      <c r="E396" s="16"/>
      <c r="F396" s="16"/>
      <c r="G396" s="16"/>
      <c r="H396" s="16"/>
      <c r="I396" s="16"/>
      <c r="J396" s="16"/>
      <c r="K396" s="16"/>
    </row>
    <row r="397" spans="2:11" ht="12.75">
      <c r="B397" s="16"/>
      <c r="C397" s="16"/>
      <c r="D397" s="16"/>
      <c r="E397" s="16"/>
      <c r="F397" s="16"/>
      <c r="G397" s="16"/>
      <c r="H397" s="16"/>
      <c r="I397" s="16"/>
      <c r="J397" s="16"/>
      <c r="K397" s="16"/>
    </row>
    <row r="398" spans="2:11" ht="12.75">
      <c r="B398" s="16"/>
      <c r="C398" s="16"/>
      <c r="D398" s="16"/>
      <c r="E398" s="16"/>
      <c r="F398" s="16"/>
      <c r="G398" s="16"/>
      <c r="H398" s="16"/>
      <c r="I398" s="16"/>
      <c r="J398" s="16"/>
      <c r="K398" s="16"/>
    </row>
    <row r="399" spans="2:11" ht="12.75">
      <c r="B399" s="16"/>
      <c r="C399" s="16"/>
      <c r="D399" s="16"/>
      <c r="E399" s="16"/>
      <c r="F399" s="16"/>
      <c r="G399" s="16"/>
      <c r="H399" s="16"/>
      <c r="I399" s="16"/>
      <c r="J399" s="16"/>
      <c r="K399" s="16"/>
    </row>
    <row r="400" spans="2:11" ht="12.75">
      <c r="B400" s="16"/>
      <c r="C400" s="16"/>
      <c r="D400" s="16"/>
      <c r="E400" s="16"/>
      <c r="F400" s="16"/>
      <c r="G400" s="16"/>
      <c r="H400" s="16"/>
      <c r="I400" s="16"/>
      <c r="J400" s="16"/>
      <c r="K400" s="16"/>
    </row>
    <row r="401" spans="2:11" ht="12.75">
      <c r="B401" s="16"/>
      <c r="C401" s="16"/>
      <c r="D401" s="16"/>
      <c r="E401" s="16"/>
      <c r="F401" s="16"/>
      <c r="G401" s="16"/>
      <c r="H401" s="16"/>
      <c r="I401" s="16"/>
      <c r="J401" s="16"/>
      <c r="K401" s="16"/>
    </row>
    <row r="402" spans="2:11" ht="12.75">
      <c r="B402" s="16"/>
      <c r="C402" s="16"/>
      <c r="D402" s="16"/>
      <c r="E402" s="16"/>
      <c r="F402" s="16"/>
      <c r="G402" s="16"/>
      <c r="H402" s="16"/>
      <c r="I402" s="16"/>
      <c r="J402" s="16"/>
      <c r="K402" s="16"/>
    </row>
    <row r="403" spans="2:11" ht="12.75">
      <c r="B403" s="16"/>
      <c r="C403" s="16"/>
      <c r="D403" s="16"/>
      <c r="E403" s="16"/>
      <c r="F403" s="16"/>
      <c r="G403" s="16"/>
      <c r="H403" s="16"/>
      <c r="I403" s="16"/>
      <c r="J403" s="16"/>
      <c r="K403" s="16"/>
    </row>
    <row r="404" spans="2:11" ht="12.75">
      <c r="B404" s="16"/>
      <c r="C404" s="16"/>
      <c r="D404" s="16"/>
      <c r="E404" s="16"/>
      <c r="F404" s="16"/>
      <c r="G404" s="16"/>
      <c r="H404" s="16"/>
      <c r="I404" s="16"/>
      <c r="J404" s="16"/>
      <c r="K404" s="16"/>
    </row>
    <row r="405" spans="2:11" ht="12.75">
      <c r="B405" s="16"/>
      <c r="C405" s="16"/>
      <c r="D405" s="16"/>
      <c r="E405" s="16"/>
      <c r="F405" s="16"/>
      <c r="G405" s="16"/>
      <c r="H405" s="16"/>
      <c r="I405" s="16"/>
      <c r="J405" s="16"/>
      <c r="K405" s="16"/>
    </row>
    <row r="406" spans="2:11" ht="12.75">
      <c r="B406" s="16"/>
      <c r="C406" s="16"/>
      <c r="D406" s="16"/>
      <c r="E406" s="16"/>
      <c r="F406" s="16"/>
      <c r="G406" s="16"/>
      <c r="H406" s="16"/>
      <c r="I406" s="16"/>
      <c r="J406" s="16"/>
      <c r="K406" s="16"/>
    </row>
    <row r="407" spans="2:11" ht="12.75">
      <c r="B407" s="16"/>
      <c r="C407" s="16"/>
      <c r="D407" s="16"/>
      <c r="E407" s="16"/>
      <c r="F407" s="16"/>
      <c r="G407" s="16"/>
      <c r="H407" s="16"/>
      <c r="I407" s="16"/>
      <c r="J407" s="16"/>
      <c r="K407" s="16"/>
    </row>
    <row r="408" spans="2:11" ht="12.75">
      <c r="B408" s="16"/>
      <c r="C408" s="16"/>
      <c r="D408" s="16"/>
      <c r="E408" s="16"/>
      <c r="F408" s="16"/>
      <c r="G408" s="16"/>
      <c r="H408" s="16"/>
      <c r="I408" s="16"/>
      <c r="J408" s="16"/>
      <c r="K408" s="16"/>
    </row>
    <row r="409" spans="2:11" ht="12.75">
      <c r="B409" s="16"/>
      <c r="C409" s="16"/>
      <c r="D409" s="16"/>
      <c r="E409" s="16"/>
      <c r="F409" s="16"/>
      <c r="G409" s="16"/>
      <c r="H409" s="16"/>
      <c r="I409" s="16"/>
      <c r="J409" s="16"/>
      <c r="K409" s="16"/>
    </row>
    <row r="410" spans="2:11" ht="12.75">
      <c r="B410" s="16"/>
      <c r="C410" s="16"/>
      <c r="D410" s="16"/>
      <c r="E410" s="16"/>
      <c r="F410" s="16"/>
      <c r="G410" s="16"/>
      <c r="H410" s="16"/>
      <c r="I410" s="16"/>
      <c r="J410" s="16"/>
      <c r="K410" s="16"/>
    </row>
    <row r="411" spans="2:11" ht="12.75">
      <c r="B411" s="16"/>
      <c r="C411" s="16"/>
      <c r="D411" s="16"/>
      <c r="E411" s="16"/>
      <c r="F411" s="16"/>
      <c r="G411" s="16"/>
      <c r="H411" s="16"/>
      <c r="I411" s="16"/>
      <c r="J411" s="16"/>
      <c r="K411" s="16"/>
    </row>
    <row r="412" spans="2:11" ht="12.75">
      <c r="B412" s="16"/>
      <c r="C412" s="16"/>
      <c r="D412" s="16"/>
      <c r="E412" s="16"/>
      <c r="F412" s="16"/>
      <c r="G412" s="16"/>
      <c r="H412" s="16"/>
      <c r="I412" s="16"/>
      <c r="J412" s="16"/>
      <c r="K412" s="16"/>
    </row>
    <row r="413" spans="2:11" ht="12.75">
      <c r="B413" s="16"/>
      <c r="C413" s="16"/>
      <c r="D413" s="16"/>
      <c r="E413" s="16"/>
      <c r="F413" s="16"/>
      <c r="G413" s="16"/>
      <c r="H413" s="16"/>
      <c r="I413" s="16"/>
      <c r="J413" s="16"/>
      <c r="K413" s="16"/>
    </row>
    <row r="414" spans="2:11" ht="12.75">
      <c r="B414" s="16"/>
      <c r="C414" s="16"/>
      <c r="D414" s="16"/>
      <c r="E414" s="16"/>
      <c r="F414" s="16"/>
      <c r="G414" s="16"/>
      <c r="H414" s="16"/>
      <c r="I414" s="16"/>
      <c r="J414" s="16"/>
      <c r="K414" s="16"/>
    </row>
    <row r="415" spans="2:11" ht="12.75">
      <c r="B415" s="16"/>
      <c r="C415" s="16"/>
      <c r="D415" s="16"/>
      <c r="E415" s="16"/>
      <c r="F415" s="16"/>
      <c r="G415" s="16"/>
      <c r="H415" s="16"/>
      <c r="I415" s="16"/>
      <c r="J415" s="16"/>
      <c r="K415" s="16"/>
    </row>
    <row r="416" spans="2:11" ht="12.75">
      <c r="B416" s="16"/>
      <c r="C416" s="16"/>
      <c r="D416" s="16"/>
      <c r="E416" s="16"/>
      <c r="F416" s="16"/>
      <c r="G416" s="16"/>
      <c r="H416" s="16"/>
      <c r="I416" s="16"/>
      <c r="J416" s="16"/>
      <c r="K416" s="16"/>
    </row>
    <row r="417" spans="2:11" ht="12.75">
      <c r="B417" s="16"/>
      <c r="C417" s="16"/>
      <c r="D417" s="16"/>
      <c r="E417" s="16"/>
      <c r="F417" s="16"/>
      <c r="G417" s="16"/>
      <c r="H417" s="16"/>
      <c r="I417" s="16"/>
      <c r="J417" s="16"/>
      <c r="K417" s="16"/>
    </row>
    <row r="418" spans="2:11" ht="12.75">
      <c r="B418" s="16"/>
      <c r="C418" s="16"/>
      <c r="D418" s="16"/>
      <c r="E418" s="16"/>
      <c r="F418" s="16"/>
      <c r="G418" s="16"/>
      <c r="H418" s="16"/>
      <c r="I418" s="16"/>
      <c r="J418" s="16"/>
      <c r="K418" s="16"/>
    </row>
    <row r="419" spans="2:11" ht="12.75">
      <c r="B419" s="16"/>
      <c r="C419" s="16"/>
      <c r="D419" s="16"/>
      <c r="E419" s="16"/>
      <c r="F419" s="16"/>
      <c r="G419" s="16"/>
      <c r="H419" s="16"/>
      <c r="I419" s="16"/>
      <c r="J419" s="16"/>
      <c r="K419" s="16"/>
    </row>
    <row r="420" spans="2:11" ht="12.75">
      <c r="B420" s="16"/>
      <c r="C420" s="16"/>
      <c r="D420" s="16"/>
      <c r="E420" s="16"/>
      <c r="F420" s="16"/>
      <c r="G420" s="16"/>
      <c r="H420" s="16"/>
      <c r="I420" s="16"/>
      <c r="J420" s="16"/>
      <c r="K420" s="16"/>
    </row>
    <row r="421" spans="2:11" ht="12.75">
      <c r="B421" s="16"/>
      <c r="C421" s="16"/>
      <c r="D421" s="16"/>
      <c r="E421" s="16"/>
      <c r="F421" s="16"/>
      <c r="G421" s="16"/>
      <c r="H421" s="16"/>
      <c r="I421" s="16"/>
      <c r="J421" s="16"/>
      <c r="K421" s="16"/>
    </row>
    <row r="422" spans="2:11" ht="12.75">
      <c r="B422" s="16"/>
      <c r="C422" s="16"/>
      <c r="D422" s="16"/>
      <c r="E422" s="16"/>
      <c r="F422" s="16"/>
      <c r="G422" s="16"/>
      <c r="H422" s="16"/>
      <c r="I422" s="16"/>
      <c r="J422" s="16"/>
      <c r="K422" s="16"/>
    </row>
    <row r="423" spans="2:11" ht="12.75">
      <c r="B423" s="16"/>
      <c r="C423" s="16"/>
      <c r="D423" s="16"/>
      <c r="E423" s="16"/>
      <c r="F423" s="16"/>
      <c r="G423" s="16"/>
      <c r="H423" s="16"/>
      <c r="I423" s="16"/>
      <c r="J423" s="16"/>
      <c r="K423" s="16"/>
    </row>
    <row r="424" spans="2:11" ht="12.75">
      <c r="B424" s="16"/>
      <c r="C424" s="16"/>
      <c r="D424" s="16"/>
      <c r="E424" s="16"/>
      <c r="F424" s="16"/>
      <c r="G424" s="16"/>
      <c r="H424" s="16"/>
      <c r="I424" s="16"/>
      <c r="J424" s="16"/>
      <c r="K424" s="16"/>
    </row>
    <row r="425" spans="2:11" ht="12.75">
      <c r="B425" s="16"/>
      <c r="C425" s="16"/>
      <c r="D425" s="16"/>
      <c r="E425" s="16"/>
      <c r="F425" s="16"/>
      <c r="G425" s="16"/>
      <c r="H425" s="16"/>
      <c r="I425" s="16"/>
      <c r="J425" s="16"/>
      <c r="K425" s="16"/>
    </row>
    <row r="426" spans="2:11" ht="12.75">
      <c r="B426" s="16"/>
      <c r="C426" s="16"/>
      <c r="D426" s="16"/>
      <c r="E426" s="16"/>
      <c r="F426" s="16"/>
      <c r="G426" s="16"/>
      <c r="H426" s="16"/>
      <c r="I426" s="16"/>
      <c r="J426" s="16"/>
      <c r="K426" s="16"/>
    </row>
    <row r="427" spans="2:11" ht="12.75">
      <c r="B427" s="16"/>
      <c r="C427" s="16"/>
      <c r="D427" s="16"/>
      <c r="E427" s="16"/>
      <c r="F427" s="16"/>
      <c r="G427" s="16"/>
      <c r="H427" s="16"/>
      <c r="I427" s="16"/>
      <c r="J427" s="16"/>
      <c r="K427" s="16"/>
    </row>
    <row r="428" spans="2:11" ht="12.75">
      <c r="B428" s="16"/>
      <c r="C428" s="16"/>
      <c r="D428" s="16"/>
      <c r="E428" s="16"/>
      <c r="F428" s="16"/>
      <c r="G428" s="16"/>
      <c r="H428" s="16"/>
      <c r="I428" s="16"/>
      <c r="J428" s="16"/>
      <c r="K428" s="16"/>
    </row>
    <row r="429" spans="2:11" ht="12.75">
      <c r="B429" s="16"/>
      <c r="C429" s="16"/>
      <c r="D429" s="16"/>
      <c r="E429" s="16"/>
      <c r="F429" s="16"/>
      <c r="G429" s="16"/>
      <c r="H429" s="16"/>
      <c r="I429" s="16"/>
      <c r="J429" s="16"/>
      <c r="K429" s="16"/>
    </row>
    <row r="430" spans="2:11" ht="12.75">
      <c r="B430" s="16"/>
      <c r="C430" s="16"/>
      <c r="D430" s="16"/>
      <c r="E430" s="16"/>
      <c r="F430" s="16"/>
      <c r="G430" s="16"/>
      <c r="H430" s="16"/>
      <c r="I430" s="16"/>
      <c r="J430" s="16"/>
      <c r="K430" s="16"/>
    </row>
    <row r="431" spans="2:11" ht="12.75">
      <c r="B431" s="16"/>
      <c r="C431" s="16"/>
      <c r="D431" s="16"/>
      <c r="E431" s="16"/>
      <c r="F431" s="16"/>
      <c r="G431" s="16"/>
      <c r="H431" s="16"/>
      <c r="I431" s="16"/>
      <c r="J431" s="16"/>
      <c r="K431" s="16"/>
    </row>
    <row r="432" spans="2:11" ht="12.75">
      <c r="B432" s="16"/>
      <c r="C432" s="16"/>
      <c r="D432" s="16"/>
      <c r="E432" s="16"/>
      <c r="F432" s="16"/>
      <c r="G432" s="16"/>
      <c r="H432" s="16"/>
      <c r="I432" s="16"/>
      <c r="J432" s="16"/>
      <c r="K432" s="16"/>
    </row>
    <row r="433" spans="2:11" ht="12.75">
      <c r="B433" s="16"/>
      <c r="C433" s="16"/>
      <c r="D433" s="16"/>
      <c r="E433" s="16"/>
      <c r="F433" s="16"/>
      <c r="G433" s="16"/>
      <c r="H433" s="16"/>
      <c r="I433" s="16"/>
      <c r="J433" s="16"/>
      <c r="K433" s="16"/>
    </row>
    <row r="434" spans="2:11" ht="12.75">
      <c r="B434" s="16"/>
      <c r="C434" s="16"/>
      <c r="D434" s="16"/>
      <c r="E434" s="16"/>
      <c r="F434" s="16"/>
      <c r="G434" s="16"/>
      <c r="H434" s="16"/>
      <c r="I434" s="16"/>
      <c r="J434" s="16"/>
      <c r="K434" s="16"/>
    </row>
    <row r="435" spans="2:11" ht="12.75">
      <c r="B435" s="16"/>
      <c r="C435" s="16"/>
      <c r="D435" s="16"/>
      <c r="E435" s="16"/>
      <c r="F435" s="16"/>
      <c r="G435" s="16"/>
      <c r="H435" s="16"/>
      <c r="I435" s="16"/>
      <c r="J435" s="16"/>
      <c r="K435" s="16"/>
    </row>
  </sheetData>
  <sheetProtection/>
  <mergeCells count="12">
    <mergeCell ref="L16:W16"/>
    <mergeCell ref="L27:W27"/>
    <mergeCell ref="X27:Z27"/>
    <mergeCell ref="L39:W39"/>
    <mergeCell ref="X39:Z39"/>
    <mergeCell ref="X16:Z16"/>
    <mergeCell ref="B39:K39"/>
    <mergeCell ref="F6:G6"/>
    <mergeCell ref="B6:C6"/>
    <mergeCell ref="D6:E6"/>
    <mergeCell ref="B16:K16"/>
    <mergeCell ref="B27:K27"/>
  </mergeCells>
  <printOptions/>
  <pageMargins left="0.75" right="0.75" top="1" bottom="1" header="0.5" footer="0.5"/>
  <pageSetup fitToHeight="2" horizontalDpi="600" verticalDpi="600" orientation="landscape" scale="5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23"/>
  <sheetViews>
    <sheetView zoomScale="80" zoomScaleNormal="80" zoomScalePageLayoutView="0" workbookViewId="0" topLeftCell="A1">
      <selection activeCell="P22" sqref="P22"/>
    </sheetView>
  </sheetViews>
  <sheetFormatPr defaultColWidth="21.28125" defaultRowHeight="15"/>
  <cols>
    <col min="1" max="1" width="41.00390625" style="15" bestFit="1" customWidth="1"/>
    <col min="2" max="2" width="13.57421875" style="15" customWidth="1"/>
    <col min="3" max="3" width="18.00390625" style="15" bestFit="1" customWidth="1"/>
    <col min="4" max="4" width="16.140625" style="15" bestFit="1" customWidth="1"/>
    <col min="5" max="5" width="18.140625" style="15" bestFit="1" customWidth="1"/>
    <col min="6" max="6" width="19.28125" style="15" bestFit="1" customWidth="1"/>
    <col min="7" max="7" width="22.421875" style="15" bestFit="1" customWidth="1"/>
    <col min="8" max="8" width="20.57421875" style="15" bestFit="1" customWidth="1"/>
    <col min="9" max="9" width="23.140625" style="15" bestFit="1" customWidth="1"/>
    <col min="10" max="10" width="19.28125" style="15" bestFit="1" customWidth="1"/>
    <col min="11" max="11" width="15.28125" style="15" customWidth="1"/>
    <col min="12" max="14" width="15.140625" style="15" bestFit="1" customWidth="1"/>
    <col min="15" max="15" width="17.28125" style="15" bestFit="1" customWidth="1"/>
    <col min="16" max="16" width="13.8515625" style="15" bestFit="1" customWidth="1"/>
    <col min="17" max="252" width="9.140625" style="15" customWidth="1"/>
    <col min="253" max="16384" width="21.28125" style="15" customWidth="1"/>
  </cols>
  <sheetData>
    <row r="1" spans="1:17" ht="18.75">
      <c r="A1" s="64" t="s">
        <v>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  <c r="P1" s="66"/>
      <c r="Q1" s="66"/>
    </row>
    <row r="2" spans="1:17" ht="18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  <c r="P2" s="66"/>
      <c r="Q2" s="66"/>
    </row>
    <row r="3" spans="1:17" ht="18.75">
      <c r="A3" s="64" t="s">
        <v>40</v>
      </c>
      <c r="B3" s="67" t="s">
        <v>36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  <c r="P3" s="66"/>
      <c r="Q3" s="66"/>
    </row>
    <row r="4" spans="1:17" ht="18.75">
      <c r="A4" s="64" t="s">
        <v>69</v>
      </c>
      <c r="B4" s="67" t="s">
        <v>37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  <c r="P4" s="66"/>
      <c r="Q4" s="66"/>
    </row>
    <row r="5" spans="1:17" ht="18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6"/>
      <c r="P5" s="66"/>
      <c r="Q5" s="66"/>
    </row>
    <row r="6" spans="1:17" ht="18.75">
      <c r="A6" s="64"/>
      <c r="B6" s="87" t="s">
        <v>42</v>
      </c>
      <c r="C6" s="87"/>
      <c r="D6" s="87" t="s">
        <v>45</v>
      </c>
      <c r="E6" s="87"/>
      <c r="F6" s="65"/>
      <c r="G6" s="65"/>
      <c r="H6" s="65"/>
      <c r="I6" s="65"/>
      <c r="J6" s="65"/>
      <c r="K6" s="65"/>
      <c r="L6" s="65"/>
      <c r="M6" s="65"/>
      <c r="N6" s="65"/>
      <c r="O6" s="66"/>
      <c r="P6" s="66"/>
      <c r="Q6" s="66"/>
    </row>
    <row r="7" spans="1:17" ht="18.75">
      <c r="A7" s="64" t="s">
        <v>41</v>
      </c>
      <c r="B7" s="68" t="s">
        <v>43</v>
      </c>
      <c r="C7" s="68" t="s">
        <v>44</v>
      </c>
      <c r="D7" s="68" t="s">
        <v>43</v>
      </c>
      <c r="E7" s="68" t="s">
        <v>44</v>
      </c>
      <c r="F7" s="65"/>
      <c r="G7" s="65"/>
      <c r="H7" s="65"/>
      <c r="I7" s="65"/>
      <c r="J7" s="65"/>
      <c r="K7" s="65"/>
      <c r="L7" s="65"/>
      <c r="M7" s="65"/>
      <c r="N7" s="65"/>
      <c r="O7" s="66"/>
      <c r="P7" s="66"/>
      <c r="Q7" s="66"/>
    </row>
    <row r="8" spans="1:17" ht="18.75">
      <c r="A8" s="65" t="s">
        <v>46</v>
      </c>
      <c r="B8" s="69">
        <v>0</v>
      </c>
      <c r="C8" s="70">
        <v>0</v>
      </c>
      <c r="D8" s="69"/>
      <c r="E8" s="70">
        <v>0.004091</v>
      </c>
      <c r="F8" s="65"/>
      <c r="G8" s="65"/>
      <c r="H8" s="65"/>
      <c r="I8" s="65"/>
      <c r="J8" s="65"/>
      <c r="K8" s="65"/>
      <c r="L8" s="65"/>
      <c r="M8" s="65"/>
      <c r="N8" s="65"/>
      <c r="O8" s="66"/>
      <c r="P8" s="66"/>
      <c r="Q8" s="66"/>
    </row>
    <row r="9" spans="1:17" ht="18.75">
      <c r="A9" s="65" t="s">
        <v>47</v>
      </c>
      <c r="B9" s="69">
        <v>0</v>
      </c>
      <c r="C9" s="70">
        <v>0</v>
      </c>
      <c r="D9" s="69"/>
      <c r="E9" s="70">
        <v>0.003404</v>
      </c>
      <c r="F9" s="65"/>
      <c r="G9" s="65"/>
      <c r="H9" s="65"/>
      <c r="I9" s="65"/>
      <c r="J9" s="65"/>
      <c r="K9" s="65"/>
      <c r="L9" s="65"/>
      <c r="M9" s="65"/>
      <c r="N9" s="65"/>
      <c r="O9" s="66"/>
      <c r="P9" s="66"/>
      <c r="Q9" s="66"/>
    </row>
    <row r="10" spans="1:17" ht="18.75">
      <c r="A10" s="65" t="s">
        <v>48</v>
      </c>
      <c r="B10" s="69">
        <v>0</v>
      </c>
      <c r="C10" s="70">
        <v>0</v>
      </c>
      <c r="D10" s="69"/>
      <c r="E10" s="70">
        <v>0.651972</v>
      </c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66"/>
      <c r="Q10" s="66"/>
    </row>
    <row r="11" spans="1:17" ht="18.75">
      <c r="A11" s="65" t="s">
        <v>49</v>
      </c>
      <c r="B11" s="69">
        <v>0</v>
      </c>
      <c r="C11" s="70">
        <v>0</v>
      </c>
      <c r="D11" s="69"/>
      <c r="E11" s="70">
        <v>1.873374</v>
      </c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66"/>
      <c r="Q11" s="66"/>
    </row>
    <row r="12" spans="1:17" ht="18.75">
      <c r="A12" s="65" t="s">
        <v>50</v>
      </c>
      <c r="B12" s="69">
        <v>0</v>
      </c>
      <c r="C12" s="70">
        <v>0</v>
      </c>
      <c r="D12" s="69"/>
      <c r="E12" s="70">
        <v>0.5946</v>
      </c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66"/>
      <c r="Q12" s="66"/>
    </row>
    <row r="13" spans="1:17" ht="18.75">
      <c r="A13" s="65" t="s">
        <v>111</v>
      </c>
      <c r="B13" s="69">
        <v>0</v>
      </c>
      <c r="C13" s="70">
        <v>0</v>
      </c>
      <c r="D13" s="69"/>
      <c r="E13" s="70">
        <v>0</v>
      </c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66"/>
      <c r="Q13" s="66"/>
    </row>
    <row r="14" spans="1:17" ht="18.7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66"/>
      <c r="Q14" s="66"/>
    </row>
    <row r="15" spans="1:17" ht="18.75">
      <c r="A15" s="64" t="s">
        <v>70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6"/>
      <c r="Q15" s="66"/>
    </row>
    <row r="16" spans="1:17" s="17" customFormat="1" ht="18.75">
      <c r="A16" s="71"/>
      <c r="B16" s="83">
        <v>2004</v>
      </c>
      <c r="C16" s="83"/>
      <c r="D16" s="83"/>
      <c r="E16" s="83"/>
      <c r="F16" s="83"/>
      <c r="G16" s="83"/>
      <c r="H16" s="83"/>
      <c r="I16" s="83"/>
      <c r="J16" s="83"/>
      <c r="K16" s="83"/>
      <c r="L16" s="85">
        <v>2005</v>
      </c>
      <c r="M16" s="85"/>
      <c r="N16" s="85"/>
      <c r="O16" s="72"/>
      <c r="P16" s="72"/>
      <c r="Q16" s="72"/>
    </row>
    <row r="17" spans="1:17" s="17" customFormat="1" ht="18.75">
      <c r="A17" s="68" t="str">
        <f aca="true" t="shared" si="0" ref="A17:A23">A7</f>
        <v>Rate Class</v>
      </c>
      <c r="B17" s="71" t="s">
        <v>9</v>
      </c>
      <c r="C17" s="71" t="s">
        <v>16</v>
      </c>
      <c r="D17" s="71" t="s">
        <v>17</v>
      </c>
      <c r="E17" s="71" t="s">
        <v>18</v>
      </c>
      <c r="F17" s="71" t="s">
        <v>19</v>
      </c>
      <c r="G17" s="71" t="s">
        <v>51</v>
      </c>
      <c r="H17" s="71" t="s">
        <v>52</v>
      </c>
      <c r="I17" s="71" t="s">
        <v>53</v>
      </c>
      <c r="J17" s="71" t="s">
        <v>54</v>
      </c>
      <c r="K17" s="71" t="s">
        <v>55</v>
      </c>
      <c r="L17" s="71" t="s">
        <v>56</v>
      </c>
      <c r="M17" s="71" t="s">
        <v>57</v>
      </c>
      <c r="N17" s="71" t="s">
        <v>58</v>
      </c>
      <c r="O17" s="71" t="s">
        <v>59</v>
      </c>
      <c r="P17" s="71" t="s">
        <v>17</v>
      </c>
      <c r="Q17" s="72"/>
    </row>
    <row r="18" spans="1:17" ht="18.75">
      <c r="A18" s="65" t="str">
        <f t="shared" si="0"/>
        <v>Residential</v>
      </c>
      <c r="B18" s="73">
        <v>862118</v>
      </c>
      <c r="C18" s="73">
        <v>1320285</v>
      </c>
      <c r="D18" s="73">
        <v>13823814</v>
      </c>
      <c r="E18" s="73">
        <v>15494776</v>
      </c>
      <c r="F18" s="73">
        <v>18289842</v>
      </c>
      <c r="G18" s="73">
        <v>21726099</v>
      </c>
      <c r="H18" s="73">
        <v>15725052</v>
      </c>
      <c r="I18" s="73">
        <v>17683163</v>
      </c>
      <c r="J18" s="73">
        <v>15927777</v>
      </c>
      <c r="K18" s="73">
        <v>16332397</v>
      </c>
      <c r="L18" s="74">
        <v>19763429</v>
      </c>
      <c r="M18" s="74">
        <v>22280801</v>
      </c>
      <c r="N18" s="74">
        <v>20102542</v>
      </c>
      <c r="O18" s="75">
        <v>19818717</v>
      </c>
      <c r="P18" s="74">
        <v>5579686</v>
      </c>
      <c r="Q18" s="66"/>
    </row>
    <row r="19" spans="1:17" ht="18.75">
      <c r="A19" s="65" t="str">
        <f t="shared" si="0"/>
        <v>General Service &lt; 50 kW</v>
      </c>
      <c r="B19" s="73">
        <v>8082</v>
      </c>
      <c r="C19" s="73">
        <v>1393</v>
      </c>
      <c r="D19" s="73">
        <v>7830302</v>
      </c>
      <c r="E19" s="73">
        <v>7771062</v>
      </c>
      <c r="F19" s="73">
        <v>9484287</v>
      </c>
      <c r="G19" s="73">
        <v>8564194</v>
      </c>
      <c r="H19" s="73">
        <v>7307788</v>
      </c>
      <c r="I19" s="73">
        <v>7780263</v>
      </c>
      <c r="J19" s="73">
        <v>7640405</v>
      </c>
      <c r="K19" s="73">
        <v>7520313</v>
      </c>
      <c r="L19" s="73">
        <v>9276627</v>
      </c>
      <c r="M19" s="73">
        <v>8922746</v>
      </c>
      <c r="N19" s="73">
        <v>8520776</v>
      </c>
      <c r="O19" s="74">
        <v>9590986</v>
      </c>
      <c r="P19" s="74">
        <v>589121</v>
      </c>
      <c r="Q19" s="66"/>
    </row>
    <row r="20" spans="1:17" ht="18.75">
      <c r="A20" s="65" t="str">
        <f t="shared" si="0"/>
        <v>General Service &gt; 50 kW</v>
      </c>
      <c r="B20" s="73">
        <v>5054.8</v>
      </c>
      <c r="C20" s="73">
        <v>6327.9</v>
      </c>
      <c r="D20" s="73">
        <v>58362.4</v>
      </c>
      <c r="E20" s="73">
        <v>72484.3</v>
      </c>
      <c r="F20" s="73">
        <v>70206.2</v>
      </c>
      <c r="G20" s="73">
        <v>69630.9</v>
      </c>
      <c r="H20" s="73">
        <v>69403.7</v>
      </c>
      <c r="I20" s="73">
        <v>69809.3</v>
      </c>
      <c r="J20" s="73">
        <v>66504.6</v>
      </c>
      <c r="K20" s="73">
        <v>63178.1</v>
      </c>
      <c r="L20" s="74">
        <v>59949</v>
      </c>
      <c r="M20" s="74">
        <v>64115.8</v>
      </c>
      <c r="N20" s="74">
        <v>62779</v>
      </c>
      <c r="O20" s="75">
        <v>64377.2</v>
      </c>
      <c r="P20" s="74">
        <v>3946.6</v>
      </c>
      <c r="Q20" s="66"/>
    </row>
    <row r="21" spans="1:17" ht="18.75">
      <c r="A21" s="65" t="str">
        <f t="shared" si="0"/>
        <v>Sentinel Lights</v>
      </c>
      <c r="B21" s="73">
        <v>63</v>
      </c>
      <c r="C21" s="73">
        <v>63</v>
      </c>
      <c r="D21" s="73">
        <v>63</v>
      </c>
      <c r="E21" s="73">
        <v>63</v>
      </c>
      <c r="F21" s="73">
        <v>63</v>
      </c>
      <c r="G21" s="73">
        <v>63</v>
      </c>
      <c r="H21" s="73">
        <v>63</v>
      </c>
      <c r="I21" s="73">
        <v>63</v>
      </c>
      <c r="J21" s="73">
        <v>63</v>
      </c>
      <c r="K21" s="73">
        <v>63</v>
      </c>
      <c r="L21" s="73">
        <v>70</v>
      </c>
      <c r="M21" s="73">
        <v>70</v>
      </c>
      <c r="N21" s="73">
        <v>70</v>
      </c>
      <c r="O21" s="73">
        <v>70</v>
      </c>
      <c r="P21" s="73"/>
      <c r="Q21" s="66"/>
    </row>
    <row r="22" spans="1:17" ht="18.75">
      <c r="A22" s="65" t="str">
        <f t="shared" si="0"/>
        <v>Street Lights</v>
      </c>
      <c r="B22" s="73">
        <v>779</v>
      </c>
      <c r="C22" s="73">
        <v>779</v>
      </c>
      <c r="D22" s="73">
        <v>779</v>
      </c>
      <c r="E22" s="73">
        <v>779</v>
      </c>
      <c r="F22" s="73">
        <v>779</v>
      </c>
      <c r="G22" s="73">
        <v>779</v>
      </c>
      <c r="H22" s="73">
        <v>779</v>
      </c>
      <c r="I22" s="73">
        <v>779</v>
      </c>
      <c r="J22" s="73">
        <v>779</v>
      </c>
      <c r="K22" s="73">
        <v>779</v>
      </c>
      <c r="L22" s="73">
        <v>800</v>
      </c>
      <c r="M22" s="73">
        <v>800</v>
      </c>
      <c r="N22" s="73">
        <v>800</v>
      </c>
      <c r="O22" s="73">
        <v>800</v>
      </c>
      <c r="P22" s="73"/>
      <c r="Q22" s="66"/>
    </row>
    <row r="23" spans="1:17" ht="18.75">
      <c r="A23" s="65" t="str">
        <f t="shared" si="0"/>
        <v>Unmetered Loads included in GS&lt;50 kW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66"/>
      <c r="P23" s="66"/>
      <c r="Q23" s="66"/>
    </row>
    <row r="24" spans="1:17" ht="18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  <c r="P24" s="66"/>
      <c r="Q24" s="66"/>
    </row>
    <row r="25" spans="1:17" ht="18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6"/>
      <c r="P25" s="66"/>
      <c r="Q25" s="66"/>
    </row>
    <row r="26" spans="1:17" ht="18.75">
      <c r="A26" s="64" t="s">
        <v>60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6"/>
      <c r="P26" s="66"/>
      <c r="Q26" s="66"/>
    </row>
    <row r="27" spans="1:17" ht="18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6"/>
      <c r="P27" s="66"/>
      <c r="Q27" s="66"/>
    </row>
    <row r="28" spans="1:17" ht="18.75">
      <c r="A28" s="65"/>
      <c r="B28" s="83">
        <v>2004</v>
      </c>
      <c r="C28" s="83"/>
      <c r="D28" s="83"/>
      <c r="E28" s="83"/>
      <c r="F28" s="83"/>
      <c r="G28" s="83"/>
      <c r="H28" s="83"/>
      <c r="I28" s="83"/>
      <c r="J28" s="83"/>
      <c r="K28" s="83"/>
      <c r="L28" s="85">
        <v>2005</v>
      </c>
      <c r="M28" s="85"/>
      <c r="N28" s="85"/>
      <c r="O28" s="66"/>
      <c r="P28" s="66"/>
      <c r="Q28" s="66"/>
    </row>
    <row r="29" spans="1:17" s="17" customFormat="1" ht="18.75">
      <c r="A29" s="68" t="str">
        <f aca="true" t="shared" si="1" ref="A29:A35">A17</f>
        <v>Rate Class</v>
      </c>
      <c r="B29" s="71" t="s">
        <v>9</v>
      </c>
      <c r="C29" s="71" t="s">
        <v>16</v>
      </c>
      <c r="D29" s="71" t="s">
        <v>17</v>
      </c>
      <c r="E29" s="71" t="s">
        <v>18</v>
      </c>
      <c r="F29" s="71" t="s">
        <v>19</v>
      </c>
      <c r="G29" s="71" t="s">
        <v>51</v>
      </c>
      <c r="H29" s="71" t="s">
        <v>52</v>
      </c>
      <c r="I29" s="71" t="s">
        <v>53</v>
      </c>
      <c r="J29" s="71" t="s">
        <v>54</v>
      </c>
      <c r="K29" s="71" t="s">
        <v>55</v>
      </c>
      <c r="L29" s="71" t="s">
        <v>56</v>
      </c>
      <c r="M29" s="71" t="s">
        <v>57</v>
      </c>
      <c r="N29" s="71" t="s">
        <v>58</v>
      </c>
      <c r="O29" s="71" t="s">
        <v>59</v>
      </c>
      <c r="P29" s="71" t="s">
        <v>17</v>
      </c>
      <c r="Q29" s="72"/>
    </row>
    <row r="30" spans="1:17" ht="18.75">
      <c r="A30" s="65" t="str">
        <f t="shared" si="1"/>
        <v>Residential</v>
      </c>
      <c r="B30" s="73">
        <f>(B18*$E8)</f>
        <v>3526.924738</v>
      </c>
      <c r="C30" s="73">
        <f>(C18*$E8)</f>
        <v>5401.285935</v>
      </c>
      <c r="D30" s="73">
        <f>(D18*$E8)</f>
        <v>56553.223074</v>
      </c>
      <c r="E30" s="73">
        <f aca="true" t="shared" si="2" ref="E30:M30">(E18*$E8)</f>
        <v>63389.128616</v>
      </c>
      <c r="F30" s="73">
        <f t="shared" si="2"/>
        <v>74823.743622</v>
      </c>
      <c r="G30" s="73">
        <f t="shared" si="2"/>
        <v>88881.471009</v>
      </c>
      <c r="H30" s="73">
        <f t="shared" si="2"/>
        <v>64331.187732</v>
      </c>
      <c r="I30" s="73">
        <f t="shared" si="2"/>
        <v>72341.819833</v>
      </c>
      <c r="J30" s="73">
        <f t="shared" si="2"/>
        <v>65160.535707</v>
      </c>
      <c r="K30" s="73">
        <f t="shared" si="2"/>
        <v>66815.836127</v>
      </c>
      <c r="L30" s="73">
        <f t="shared" si="2"/>
        <v>80852.188039</v>
      </c>
      <c r="M30" s="73">
        <f t="shared" si="2"/>
        <v>91150.756891</v>
      </c>
      <c r="N30" s="73">
        <f aca="true" t="shared" si="3" ref="N30:P34">(N18*$E8)</f>
        <v>82239.499322</v>
      </c>
      <c r="O30" s="73">
        <f t="shared" si="3"/>
        <v>81078.371247</v>
      </c>
      <c r="P30" s="73">
        <f t="shared" si="3"/>
        <v>22826.495426</v>
      </c>
      <c r="Q30" s="66"/>
    </row>
    <row r="31" spans="1:17" ht="18.75">
      <c r="A31" s="65" t="str">
        <f t="shared" si="1"/>
        <v>General Service &lt; 50 kW</v>
      </c>
      <c r="B31" s="73">
        <f>(B19*$E9)</f>
        <v>27.511128</v>
      </c>
      <c r="C31" s="73">
        <f aca="true" t="shared" si="4" ref="B31:O35">(C19*$E9)</f>
        <v>4.741772</v>
      </c>
      <c r="D31" s="73">
        <f t="shared" si="4"/>
        <v>26654.348008</v>
      </c>
      <c r="E31" s="73">
        <f t="shared" si="4"/>
        <v>26452.695047999998</v>
      </c>
      <c r="F31" s="73">
        <f t="shared" si="4"/>
        <v>32284.512948</v>
      </c>
      <c r="G31" s="73">
        <f t="shared" si="4"/>
        <v>29152.516376</v>
      </c>
      <c r="H31" s="73">
        <f t="shared" si="4"/>
        <v>24875.710352</v>
      </c>
      <c r="I31" s="73">
        <f t="shared" si="4"/>
        <v>26484.015252</v>
      </c>
      <c r="J31" s="73">
        <f t="shared" si="4"/>
        <v>26007.93862</v>
      </c>
      <c r="K31" s="73">
        <f t="shared" si="4"/>
        <v>25599.145452</v>
      </c>
      <c r="L31" s="73">
        <f t="shared" si="4"/>
        <v>31577.638307999998</v>
      </c>
      <c r="M31" s="73">
        <f t="shared" si="4"/>
        <v>30373.027384</v>
      </c>
      <c r="N31" s="73">
        <f t="shared" si="3"/>
        <v>29004.721504</v>
      </c>
      <c r="O31" s="73">
        <f t="shared" si="3"/>
        <v>32647.716344</v>
      </c>
      <c r="P31" s="73">
        <f t="shared" si="3"/>
        <v>2005.367884</v>
      </c>
      <c r="Q31" s="66"/>
    </row>
    <row r="32" spans="1:17" ht="18.75">
      <c r="A32" s="65" t="str">
        <f t="shared" si="1"/>
        <v>General Service &gt; 50 kW</v>
      </c>
      <c r="B32" s="73">
        <f>(B20*$E10)</f>
        <v>3295.5880656</v>
      </c>
      <c r="C32" s="73">
        <f t="shared" si="4"/>
        <v>4125.6136188</v>
      </c>
      <c r="D32" s="73">
        <f t="shared" si="4"/>
        <v>38050.6506528</v>
      </c>
      <c r="E32" s="73">
        <f t="shared" si="4"/>
        <v>47257.7340396</v>
      </c>
      <c r="F32" s="73">
        <f t="shared" si="4"/>
        <v>45772.4766264</v>
      </c>
      <c r="G32" s="73">
        <f t="shared" si="4"/>
        <v>45397.3971348</v>
      </c>
      <c r="H32" s="73">
        <f t="shared" si="4"/>
        <v>45249.2690964</v>
      </c>
      <c r="I32" s="73">
        <f t="shared" si="4"/>
        <v>45513.7089396</v>
      </c>
      <c r="J32" s="73">
        <f t="shared" si="4"/>
        <v>43359.137071200006</v>
      </c>
      <c r="K32" s="73">
        <f t="shared" si="4"/>
        <v>41190.3522132</v>
      </c>
      <c r="L32" s="73">
        <f t="shared" si="4"/>
        <v>39085.069428</v>
      </c>
      <c r="M32" s="73">
        <f t="shared" si="4"/>
        <v>41801.7063576</v>
      </c>
      <c r="N32" s="73">
        <f t="shared" si="3"/>
        <v>40930.150188</v>
      </c>
      <c r="O32" s="73">
        <f t="shared" si="3"/>
        <v>41972.1318384</v>
      </c>
      <c r="P32" s="73">
        <f t="shared" si="3"/>
        <v>2573.0726952</v>
      </c>
      <c r="Q32" s="66"/>
    </row>
    <row r="33" spans="1:17" ht="18.75">
      <c r="A33" s="65" t="str">
        <f t="shared" si="1"/>
        <v>Sentinel Lights</v>
      </c>
      <c r="B33" s="73">
        <f>(B21*$E11)*0.5</f>
        <v>59.011281000000004</v>
      </c>
      <c r="C33" s="73">
        <f t="shared" si="4"/>
        <v>118.02256200000001</v>
      </c>
      <c r="D33" s="73">
        <f t="shared" si="4"/>
        <v>118.02256200000001</v>
      </c>
      <c r="E33" s="73">
        <f t="shared" si="4"/>
        <v>118.02256200000001</v>
      </c>
      <c r="F33" s="73">
        <f t="shared" si="4"/>
        <v>118.02256200000001</v>
      </c>
      <c r="G33" s="73">
        <f t="shared" si="4"/>
        <v>118.02256200000001</v>
      </c>
      <c r="H33" s="73">
        <f t="shared" si="4"/>
        <v>118.02256200000001</v>
      </c>
      <c r="I33" s="73">
        <f t="shared" si="4"/>
        <v>118.02256200000001</v>
      </c>
      <c r="J33" s="73">
        <f t="shared" si="4"/>
        <v>118.02256200000001</v>
      </c>
      <c r="K33" s="73">
        <f t="shared" si="4"/>
        <v>118.02256200000001</v>
      </c>
      <c r="L33" s="73">
        <f t="shared" si="4"/>
        <v>131.13618</v>
      </c>
      <c r="M33" s="73">
        <f t="shared" si="4"/>
        <v>131.13618</v>
      </c>
      <c r="N33" s="73">
        <f t="shared" si="4"/>
        <v>131.13618</v>
      </c>
      <c r="O33" s="73">
        <f t="shared" si="4"/>
        <v>131.13618</v>
      </c>
      <c r="P33" s="73"/>
      <c r="Q33" s="66"/>
    </row>
    <row r="34" spans="1:17" ht="18.75">
      <c r="A34" s="65" t="str">
        <f t="shared" si="1"/>
        <v>Street Lights</v>
      </c>
      <c r="B34" s="73">
        <f t="shared" si="4"/>
        <v>463.1934</v>
      </c>
      <c r="C34" s="73">
        <f t="shared" si="4"/>
        <v>463.1934</v>
      </c>
      <c r="D34" s="73">
        <f t="shared" si="4"/>
        <v>463.1934</v>
      </c>
      <c r="E34" s="73">
        <f t="shared" si="4"/>
        <v>463.1934</v>
      </c>
      <c r="F34" s="73">
        <f t="shared" si="4"/>
        <v>463.1934</v>
      </c>
      <c r="G34" s="73">
        <f t="shared" si="4"/>
        <v>463.1934</v>
      </c>
      <c r="H34" s="73">
        <f t="shared" si="4"/>
        <v>463.1934</v>
      </c>
      <c r="I34" s="73">
        <f t="shared" si="4"/>
        <v>463.1934</v>
      </c>
      <c r="J34" s="73">
        <f t="shared" si="4"/>
        <v>463.1934</v>
      </c>
      <c r="K34" s="73">
        <f t="shared" si="4"/>
        <v>463.1934</v>
      </c>
      <c r="L34" s="73">
        <f t="shared" si="4"/>
        <v>475.68</v>
      </c>
      <c r="M34" s="73">
        <f t="shared" si="4"/>
        <v>475.68</v>
      </c>
      <c r="N34" s="73">
        <f t="shared" si="3"/>
        <v>475.68</v>
      </c>
      <c r="O34" s="73">
        <f t="shared" si="3"/>
        <v>475.68</v>
      </c>
      <c r="P34" s="73"/>
      <c r="Q34" s="66"/>
    </row>
    <row r="35" spans="1:17" ht="18.75">
      <c r="A35" s="76" t="str">
        <f t="shared" si="1"/>
        <v>Unmetered Loads included in GS&lt;50 kW</v>
      </c>
      <c r="B35" s="77">
        <f>(B23*$E13)*0.5</f>
        <v>0</v>
      </c>
      <c r="C35" s="77">
        <f t="shared" si="4"/>
        <v>0</v>
      </c>
      <c r="D35" s="77">
        <f t="shared" si="4"/>
        <v>0</v>
      </c>
      <c r="E35" s="77">
        <f t="shared" si="4"/>
        <v>0</v>
      </c>
      <c r="F35" s="77">
        <f t="shared" si="4"/>
        <v>0</v>
      </c>
      <c r="G35" s="77">
        <f t="shared" si="4"/>
        <v>0</v>
      </c>
      <c r="H35" s="77">
        <f t="shared" si="4"/>
        <v>0</v>
      </c>
      <c r="I35" s="77">
        <f t="shared" si="4"/>
        <v>0</v>
      </c>
      <c r="J35" s="77">
        <f t="shared" si="4"/>
        <v>0</v>
      </c>
      <c r="K35" s="77">
        <f t="shared" si="4"/>
        <v>0</v>
      </c>
      <c r="L35" s="77">
        <f t="shared" si="4"/>
        <v>0</v>
      </c>
      <c r="M35" s="77">
        <f t="shared" si="4"/>
        <v>0</v>
      </c>
      <c r="N35" s="77">
        <f>(N23*$E13)*0.5</f>
        <v>0</v>
      </c>
      <c r="O35" s="66"/>
      <c r="P35" s="66"/>
      <c r="Q35" s="66"/>
    </row>
    <row r="36" spans="1:17" ht="18.75">
      <c r="A36" s="65" t="s">
        <v>13</v>
      </c>
      <c r="B36" s="73">
        <f>SUM(B30:B35)</f>
        <v>7372.228612600001</v>
      </c>
      <c r="C36" s="73">
        <f aca="true" t="shared" si="5" ref="C36:P36">SUM(C30:C35)</f>
        <v>10112.8572878</v>
      </c>
      <c r="D36" s="73">
        <f t="shared" si="5"/>
        <v>121839.43769680001</v>
      </c>
      <c r="E36" s="73">
        <f t="shared" si="5"/>
        <v>137680.7736656</v>
      </c>
      <c r="F36" s="73">
        <f t="shared" si="5"/>
        <v>153461.94915839998</v>
      </c>
      <c r="G36" s="73">
        <f t="shared" si="5"/>
        <v>164012.60048179998</v>
      </c>
      <c r="H36" s="73">
        <f t="shared" si="5"/>
        <v>135037.38314239998</v>
      </c>
      <c r="I36" s="73">
        <f t="shared" si="5"/>
        <v>144920.7599866</v>
      </c>
      <c r="J36" s="73">
        <f t="shared" si="5"/>
        <v>135108.8273602</v>
      </c>
      <c r="K36" s="73">
        <f t="shared" si="5"/>
        <v>134186.54975419998</v>
      </c>
      <c r="L36" s="73">
        <f t="shared" si="5"/>
        <v>152121.71195499998</v>
      </c>
      <c r="M36" s="73">
        <f t="shared" si="5"/>
        <v>163932.3068126</v>
      </c>
      <c r="N36" s="73">
        <f t="shared" si="5"/>
        <v>152781.187194</v>
      </c>
      <c r="O36" s="73">
        <f t="shared" si="5"/>
        <v>156305.0356094</v>
      </c>
      <c r="P36" s="73">
        <f t="shared" si="5"/>
        <v>27404.9360052</v>
      </c>
      <c r="Q36" s="66"/>
    </row>
    <row r="37" spans="1:17" ht="18">
      <c r="A37" s="66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66"/>
      <c r="M37" s="66"/>
      <c r="N37" s="66"/>
      <c r="O37" s="66"/>
      <c r="P37" s="66"/>
      <c r="Q37" s="66"/>
    </row>
    <row r="38" spans="2:11" ht="12.75"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2:11" ht="12.75"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2:11" ht="12.75"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2:11" ht="12.75"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2:11" ht="12.75">
      <c r="B42" s="16"/>
      <c r="C42" s="16"/>
      <c r="D42" s="16"/>
      <c r="E42" s="16">
        <f>7788/10</f>
        <v>778.8</v>
      </c>
      <c r="F42" s="16"/>
      <c r="G42" s="16"/>
      <c r="H42" s="16"/>
      <c r="I42" s="16"/>
      <c r="J42" s="16"/>
      <c r="K42" s="16"/>
    </row>
    <row r="43" spans="2:11" ht="12.75"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2:11" ht="12.75"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2:11" ht="12.75"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2:11" ht="12.75"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2:11" ht="12.75"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2:11" ht="12.75"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2:11" ht="12.75"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2:11" ht="12.75"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2:11" ht="12.75"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2:11" ht="12.75"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2:11" ht="12.75"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2:11" ht="12.75"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2:11" ht="12.75"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2:11" ht="12.75"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2:11" ht="12.75"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2:11" ht="12.75"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2:11" ht="12.75"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2:11" ht="12.75"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2:11" ht="12.75"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2:11" ht="12.75"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2:11" ht="12.75"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2:11" ht="12.75"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2:11" ht="12.75"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2:11" ht="12.75"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2:11" ht="12.75"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2:11" ht="12.75"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2:11" ht="12.75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2:11" ht="12.75"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2:11" ht="12.75"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2:11" ht="12.75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2:11" ht="12.75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2:11" ht="12.75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2:11" ht="12.75"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2:11" ht="12.75"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2:11" ht="12.75"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2:11" ht="12.75"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12.75"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2:11" ht="12.75"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2:11" ht="12.75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ht="12.75"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2:11" ht="12.75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ht="12.75"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2:11" ht="12.75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ht="12.75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ht="12.75"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2:11" ht="12.75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11" ht="12.75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ht="12.75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ht="12.75"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2:11" ht="12.75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ht="12.75"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2:11" ht="12.75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ht="12.75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ht="12.75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ht="12.75"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2:11" ht="12.75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ht="12.75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ht="12.75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2:11" ht="12.75"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2:11" ht="12.75"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2:11" ht="12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1" ht="12.75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ht="12.75"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2:11" ht="12.75"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ht="12.75"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2:11" ht="12.75"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2:11" ht="12.75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ht="12.75"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2:11" ht="12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ht="12.75"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11" ht="12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2:11" ht="12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2:11" ht="12.75"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2:11" ht="12.75"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2:11" ht="12.75"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2:11" ht="12.75"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2:11" ht="12.75"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2:11" ht="12.75"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2:11" ht="12.75"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2:11" ht="12.75"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2:11" ht="12.75"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2:11" ht="12.75"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2:11" ht="12.75"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2:11" ht="12.75"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2:11" ht="12.75"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2:11" ht="12.75"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2:11" ht="12.75"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2:11" ht="12.75"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2:11" ht="12.75"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2:11" ht="12.75"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2:11" ht="12.75"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2:11" ht="12.75"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2:11" ht="12.75"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2:11" ht="12.75"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2:11" ht="12.75"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2:11" ht="12.75"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2:11" ht="12.75"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2:11" ht="12.75"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2:11" ht="12.75"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2:11" ht="12.75"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2:11" ht="12.75"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2:11" ht="12.75"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2:11" ht="12.75"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2:11" ht="12.75"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2:11" ht="12.75"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2:11" ht="12.75"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2:11" ht="12.75"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2:11" ht="12.75"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2:11" ht="12.75"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2:11" ht="12.75"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2:11" ht="12.75"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2:11" ht="12.75"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2:11" ht="12.75">
      <c r="B155" s="16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2:11" ht="12.75"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2:11" ht="12.75"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2:11" ht="12.75">
      <c r="B158" s="16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2:11" ht="12.75">
      <c r="B159" s="16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2:11" ht="12.75">
      <c r="B160" s="16"/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2:11" ht="12.75">
      <c r="B161" s="16"/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2:11" ht="12.75">
      <c r="B162" s="16"/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2:11" ht="12.75">
      <c r="B163" s="16"/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2:11" ht="12.75">
      <c r="B164" s="16"/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2:11" ht="12.75">
      <c r="B165" s="16"/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2:11" ht="12.75">
      <c r="B166" s="16"/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2:11" ht="12.75">
      <c r="B167" s="16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2:11" ht="12.75">
      <c r="B168" s="16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2:11" ht="12.75">
      <c r="B169" s="16"/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2:11" ht="12.75">
      <c r="B170" s="16"/>
      <c r="C170" s="16"/>
      <c r="D170" s="16"/>
      <c r="E170" s="16"/>
      <c r="F170" s="16"/>
      <c r="G170" s="16"/>
      <c r="H170" s="16"/>
      <c r="I170" s="16"/>
      <c r="J170" s="16"/>
      <c r="K170" s="16"/>
    </row>
    <row r="171" spans="2:11" ht="12.75">
      <c r="B171" s="16"/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2:11" ht="12.75">
      <c r="B172" s="16"/>
      <c r="C172" s="16"/>
      <c r="D172" s="16"/>
      <c r="E172" s="16"/>
      <c r="F172" s="16"/>
      <c r="G172" s="16"/>
      <c r="H172" s="16"/>
      <c r="I172" s="16"/>
      <c r="J172" s="16"/>
      <c r="K172" s="16"/>
    </row>
    <row r="173" spans="2:11" ht="12.75">
      <c r="B173" s="16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2:11" ht="12.75">
      <c r="B174" s="16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2:11" ht="12.75">
      <c r="B175" s="16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2:11" ht="12.75">
      <c r="B176" s="16"/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2:11" ht="12.75">
      <c r="B177" s="16"/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2:11" ht="12.75">
      <c r="B178" s="16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2:11" ht="12.75">
      <c r="B179" s="16"/>
      <c r="C179" s="16"/>
      <c r="D179" s="16"/>
      <c r="E179" s="16"/>
      <c r="F179" s="16"/>
      <c r="G179" s="16"/>
      <c r="H179" s="16"/>
      <c r="I179" s="16"/>
      <c r="J179" s="16"/>
      <c r="K179" s="16"/>
    </row>
    <row r="180" spans="2:11" ht="12.75">
      <c r="B180" s="16"/>
      <c r="C180" s="16"/>
      <c r="D180" s="16"/>
      <c r="E180" s="16"/>
      <c r="F180" s="16"/>
      <c r="G180" s="16"/>
      <c r="H180" s="16"/>
      <c r="I180" s="16"/>
      <c r="J180" s="16"/>
      <c r="K180" s="16"/>
    </row>
    <row r="181" spans="2:11" ht="12.75">
      <c r="B181" s="16"/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2:11" ht="12.75">
      <c r="B182" s="16"/>
      <c r="C182" s="16"/>
      <c r="D182" s="16"/>
      <c r="E182" s="16"/>
      <c r="F182" s="16"/>
      <c r="G182" s="16"/>
      <c r="H182" s="16"/>
      <c r="I182" s="16"/>
      <c r="J182" s="16"/>
      <c r="K182" s="16"/>
    </row>
    <row r="183" spans="2:11" ht="12.75">
      <c r="B183" s="16"/>
      <c r="C183" s="16"/>
      <c r="D183" s="16"/>
      <c r="E183" s="16"/>
      <c r="F183" s="16"/>
      <c r="G183" s="16"/>
      <c r="H183" s="16"/>
      <c r="I183" s="16"/>
      <c r="J183" s="16"/>
      <c r="K183" s="16"/>
    </row>
    <row r="184" spans="2:11" ht="12.75">
      <c r="B184" s="16"/>
      <c r="C184" s="16"/>
      <c r="D184" s="16"/>
      <c r="E184" s="16"/>
      <c r="F184" s="16"/>
      <c r="G184" s="16"/>
      <c r="H184" s="16"/>
      <c r="I184" s="16"/>
      <c r="J184" s="16"/>
      <c r="K184" s="16"/>
    </row>
    <row r="185" spans="2:11" ht="12.75">
      <c r="B185" s="16"/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2:11" ht="12.75">
      <c r="B186" s="16"/>
      <c r="C186" s="16"/>
      <c r="D186" s="16"/>
      <c r="E186" s="16"/>
      <c r="F186" s="16"/>
      <c r="G186" s="16"/>
      <c r="H186" s="16"/>
      <c r="I186" s="16"/>
      <c r="J186" s="16"/>
      <c r="K186" s="16"/>
    </row>
    <row r="187" spans="2:11" ht="12.75">
      <c r="B187" s="16"/>
      <c r="C187" s="16"/>
      <c r="D187" s="16"/>
      <c r="E187" s="16"/>
      <c r="F187" s="16"/>
      <c r="G187" s="16"/>
      <c r="H187" s="16"/>
      <c r="I187" s="16"/>
      <c r="J187" s="16"/>
      <c r="K187" s="16"/>
    </row>
    <row r="188" spans="2:11" ht="12.75">
      <c r="B188" s="16"/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2:11" ht="12.75">
      <c r="B189" s="16"/>
      <c r="C189" s="16"/>
      <c r="D189" s="16"/>
      <c r="E189" s="16"/>
      <c r="F189" s="16"/>
      <c r="G189" s="16"/>
      <c r="H189" s="16"/>
      <c r="I189" s="16"/>
      <c r="J189" s="16"/>
      <c r="K189" s="16"/>
    </row>
    <row r="190" spans="2:11" ht="12.75">
      <c r="B190" s="16"/>
      <c r="C190" s="16"/>
      <c r="D190" s="16"/>
      <c r="E190" s="16"/>
      <c r="F190" s="16"/>
      <c r="G190" s="16"/>
      <c r="H190" s="16"/>
      <c r="I190" s="16"/>
      <c r="J190" s="16"/>
      <c r="K190" s="16"/>
    </row>
    <row r="191" spans="2:11" ht="12.75">
      <c r="B191" s="16"/>
      <c r="C191" s="16"/>
      <c r="D191" s="16"/>
      <c r="E191" s="16"/>
      <c r="F191" s="16"/>
      <c r="G191" s="16"/>
      <c r="H191" s="16"/>
      <c r="I191" s="16"/>
      <c r="J191" s="16"/>
      <c r="K191" s="16"/>
    </row>
    <row r="192" spans="2:11" ht="12.75">
      <c r="B192" s="16"/>
      <c r="C192" s="16"/>
      <c r="D192" s="16"/>
      <c r="E192" s="16"/>
      <c r="F192" s="16"/>
      <c r="G192" s="16"/>
      <c r="H192" s="16"/>
      <c r="I192" s="16"/>
      <c r="J192" s="16"/>
      <c r="K192" s="16"/>
    </row>
    <row r="193" spans="2:11" ht="12.75">
      <c r="B193" s="16"/>
      <c r="C193" s="16"/>
      <c r="D193" s="16"/>
      <c r="E193" s="16"/>
      <c r="F193" s="16"/>
      <c r="G193" s="16"/>
      <c r="H193" s="16"/>
      <c r="I193" s="16"/>
      <c r="J193" s="16"/>
      <c r="K193" s="16"/>
    </row>
    <row r="194" spans="2:11" ht="12.75">
      <c r="B194" s="16"/>
      <c r="C194" s="16"/>
      <c r="D194" s="16"/>
      <c r="E194" s="16"/>
      <c r="F194" s="16"/>
      <c r="G194" s="16"/>
      <c r="H194" s="16"/>
      <c r="I194" s="16"/>
      <c r="J194" s="16"/>
      <c r="K194" s="16"/>
    </row>
    <row r="195" spans="2:11" ht="12.75">
      <c r="B195" s="16"/>
      <c r="C195" s="16"/>
      <c r="D195" s="16"/>
      <c r="E195" s="16"/>
      <c r="F195" s="16"/>
      <c r="G195" s="16"/>
      <c r="H195" s="16"/>
      <c r="I195" s="16"/>
      <c r="J195" s="16"/>
      <c r="K195" s="16"/>
    </row>
    <row r="196" spans="2:11" ht="12.75">
      <c r="B196" s="16"/>
      <c r="C196" s="16"/>
      <c r="D196" s="16"/>
      <c r="E196" s="16"/>
      <c r="F196" s="16"/>
      <c r="G196" s="16"/>
      <c r="H196" s="16"/>
      <c r="I196" s="16"/>
      <c r="J196" s="16"/>
      <c r="K196" s="16"/>
    </row>
    <row r="197" spans="2:11" ht="12.75">
      <c r="B197" s="16"/>
      <c r="C197" s="16"/>
      <c r="D197" s="16"/>
      <c r="E197" s="16"/>
      <c r="F197" s="16"/>
      <c r="G197" s="16"/>
      <c r="H197" s="16"/>
      <c r="I197" s="16"/>
      <c r="J197" s="16"/>
      <c r="K197" s="16"/>
    </row>
    <row r="198" spans="2:11" ht="12.75">
      <c r="B198" s="16"/>
      <c r="C198" s="16"/>
      <c r="D198" s="16"/>
      <c r="E198" s="16"/>
      <c r="F198" s="16"/>
      <c r="G198" s="16"/>
      <c r="H198" s="16"/>
      <c r="I198" s="16"/>
      <c r="J198" s="16"/>
      <c r="K198" s="16"/>
    </row>
    <row r="199" spans="2:11" ht="12.75">
      <c r="B199" s="16"/>
      <c r="C199" s="16"/>
      <c r="D199" s="16"/>
      <c r="E199" s="16"/>
      <c r="F199" s="16"/>
      <c r="G199" s="16"/>
      <c r="H199" s="16"/>
      <c r="I199" s="16"/>
      <c r="J199" s="16"/>
      <c r="K199" s="16"/>
    </row>
    <row r="200" spans="2:11" ht="12.75">
      <c r="B200" s="16"/>
      <c r="C200" s="16"/>
      <c r="D200" s="16"/>
      <c r="E200" s="16"/>
      <c r="F200" s="16"/>
      <c r="G200" s="16"/>
      <c r="H200" s="16"/>
      <c r="I200" s="16"/>
      <c r="J200" s="16"/>
      <c r="K200" s="16"/>
    </row>
    <row r="201" spans="2:11" ht="12.75">
      <c r="B201" s="16"/>
      <c r="C201" s="16"/>
      <c r="D201" s="16"/>
      <c r="E201" s="16"/>
      <c r="F201" s="16"/>
      <c r="G201" s="16"/>
      <c r="H201" s="16"/>
      <c r="I201" s="16"/>
      <c r="J201" s="16"/>
      <c r="K201" s="16"/>
    </row>
    <row r="202" spans="2:11" ht="12.75">
      <c r="B202" s="16"/>
      <c r="C202" s="16"/>
      <c r="D202" s="16"/>
      <c r="E202" s="16"/>
      <c r="F202" s="16"/>
      <c r="G202" s="16"/>
      <c r="H202" s="16"/>
      <c r="I202" s="16"/>
      <c r="J202" s="16"/>
      <c r="K202" s="16"/>
    </row>
    <row r="203" spans="2:11" ht="12.75">
      <c r="B203" s="16"/>
      <c r="C203" s="16"/>
      <c r="D203" s="16"/>
      <c r="E203" s="16"/>
      <c r="F203" s="16"/>
      <c r="G203" s="16"/>
      <c r="H203" s="16"/>
      <c r="I203" s="16"/>
      <c r="J203" s="16"/>
      <c r="K203" s="16"/>
    </row>
    <row r="204" spans="2:11" ht="12.75">
      <c r="B204" s="16"/>
      <c r="C204" s="16"/>
      <c r="D204" s="16"/>
      <c r="E204" s="16"/>
      <c r="F204" s="16"/>
      <c r="G204" s="16"/>
      <c r="H204" s="16"/>
      <c r="I204" s="16"/>
      <c r="J204" s="16"/>
      <c r="K204" s="16"/>
    </row>
    <row r="205" spans="2:11" ht="12.75">
      <c r="B205" s="16"/>
      <c r="C205" s="16"/>
      <c r="D205" s="16"/>
      <c r="E205" s="16"/>
      <c r="F205" s="16"/>
      <c r="G205" s="16"/>
      <c r="H205" s="16"/>
      <c r="I205" s="16"/>
      <c r="J205" s="16"/>
      <c r="K205" s="16"/>
    </row>
    <row r="206" spans="2:11" ht="12.75">
      <c r="B206" s="16"/>
      <c r="C206" s="16"/>
      <c r="D206" s="16"/>
      <c r="E206" s="16"/>
      <c r="F206" s="16"/>
      <c r="G206" s="16"/>
      <c r="H206" s="16"/>
      <c r="I206" s="16"/>
      <c r="J206" s="16"/>
      <c r="K206" s="16"/>
    </row>
    <row r="207" spans="2:11" ht="12.75">
      <c r="B207" s="16"/>
      <c r="C207" s="16"/>
      <c r="D207" s="16"/>
      <c r="E207" s="16"/>
      <c r="F207" s="16"/>
      <c r="G207" s="16"/>
      <c r="H207" s="16"/>
      <c r="I207" s="16"/>
      <c r="J207" s="16"/>
      <c r="K207" s="16"/>
    </row>
    <row r="208" spans="2:11" ht="12.75">
      <c r="B208" s="16"/>
      <c r="C208" s="16"/>
      <c r="D208" s="16"/>
      <c r="E208" s="16"/>
      <c r="F208" s="16"/>
      <c r="G208" s="16"/>
      <c r="H208" s="16"/>
      <c r="I208" s="16"/>
      <c r="J208" s="16"/>
      <c r="K208" s="16"/>
    </row>
    <row r="209" spans="2:11" ht="12.75">
      <c r="B209" s="16"/>
      <c r="C209" s="16"/>
      <c r="D209" s="16"/>
      <c r="E209" s="16"/>
      <c r="F209" s="16"/>
      <c r="G209" s="16"/>
      <c r="H209" s="16"/>
      <c r="I209" s="16"/>
      <c r="J209" s="16"/>
      <c r="K209" s="16"/>
    </row>
    <row r="210" spans="2:11" ht="12.75">
      <c r="B210" s="16"/>
      <c r="C210" s="16"/>
      <c r="D210" s="16"/>
      <c r="E210" s="16"/>
      <c r="F210" s="16"/>
      <c r="G210" s="16"/>
      <c r="H210" s="16"/>
      <c r="I210" s="16"/>
      <c r="J210" s="16"/>
      <c r="K210" s="16"/>
    </row>
    <row r="211" spans="2:11" ht="12.75">
      <c r="B211" s="16"/>
      <c r="C211" s="16"/>
      <c r="D211" s="16"/>
      <c r="E211" s="16"/>
      <c r="F211" s="16"/>
      <c r="G211" s="16"/>
      <c r="H211" s="16"/>
      <c r="I211" s="16"/>
      <c r="J211" s="16"/>
      <c r="K211" s="16"/>
    </row>
    <row r="212" spans="2:11" ht="12.75">
      <c r="B212" s="16"/>
      <c r="C212" s="16"/>
      <c r="D212" s="16"/>
      <c r="E212" s="16"/>
      <c r="F212" s="16"/>
      <c r="G212" s="16"/>
      <c r="H212" s="16"/>
      <c r="I212" s="16"/>
      <c r="J212" s="16"/>
      <c r="K212" s="16"/>
    </row>
    <row r="213" spans="2:11" ht="12.75">
      <c r="B213" s="16"/>
      <c r="C213" s="16"/>
      <c r="D213" s="16"/>
      <c r="E213" s="16"/>
      <c r="F213" s="16"/>
      <c r="G213" s="16"/>
      <c r="H213" s="16"/>
      <c r="I213" s="16"/>
      <c r="J213" s="16"/>
      <c r="K213" s="16"/>
    </row>
    <row r="214" spans="2:11" ht="12.75">
      <c r="B214" s="16"/>
      <c r="C214" s="16"/>
      <c r="D214" s="16"/>
      <c r="E214" s="16"/>
      <c r="F214" s="16"/>
      <c r="G214" s="16"/>
      <c r="H214" s="16"/>
      <c r="I214" s="16"/>
      <c r="J214" s="16"/>
      <c r="K214" s="16"/>
    </row>
    <row r="215" spans="2:11" ht="12.75">
      <c r="B215" s="16"/>
      <c r="C215" s="16"/>
      <c r="D215" s="16"/>
      <c r="E215" s="16"/>
      <c r="F215" s="16"/>
      <c r="G215" s="16"/>
      <c r="H215" s="16"/>
      <c r="I215" s="16"/>
      <c r="J215" s="16"/>
      <c r="K215" s="16"/>
    </row>
    <row r="216" spans="2:11" ht="12.75">
      <c r="B216" s="16"/>
      <c r="C216" s="16"/>
      <c r="D216" s="16"/>
      <c r="E216" s="16"/>
      <c r="F216" s="16"/>
      <c r="G216" s="16"/>
      <c r="H216" s="16"/>
      <c r="I216" s="16"/>
      <c r="J216" s="16"/>
      <c r="K216" s="16"/>
    </row>
    <row r="217" spans="2:11" ht="12.75">
      <c r="B217" s="16"/>
      <c r="C217" s="16"/>
      <c r="D217" s="16"/>
      <c r="E217" s="16"/>
      <c r="F217" s="16"/>
      <c r="G217" s="16"/>
      <c r="H217" s="16"/>
      <c r="I217" s="16"/>
      <c r="J217" s="16"/>
      <c r="K217" s="16"/>
    </row>
    <row r="218" spans="2:11" ht="12.75">
      <c r="B218" s="16"/>
      <c r="C218" s="16"/>
      <c r="D218" s="16"/>
      <c r="E218" s="16"/>
      <c r="F218" s="16"/>
      <c r="G218" s="16"/>
      <c r="H218" s="16"/>
      <c r="I218" s="16"/>
      <c r="J218" s="16"/>
      <c r="K218" s="16"/>
    </row>
    <row r="219" spans="2:11" ht="12.75">
      <c r="B219" s="16"/>
      <c r="C219" s="16"/>
      <c r="D219" s="16"/>
      <c r="E219" s="16"/>
      <c r="F219" s="16"/>
      <c r="G219" s="16"/>
      <c r="H219" s="16"/>
      <c r="I219" s="16"/>
      <c r="J219" s="16"/>
      <c r="K219" s="16"/>
    </row>
    <row r="220" spans="2:11" ht="12.75">
      <c r="B220" s="16"/>
      <c r="C220" s="16"/>
      <c r="D220" s="16"/>
      <c r="E220" s="16"/>
      <c r="F220" s="16"/>
      <c r="G220" s="16"/>
      <c r="H220" s="16"/>
      <c r="I220" s="16"/>
      <c r="J220" s="16"/>
      <c r="K220" s="16"/>
    </row>
    <row r="221" spans="2:11" ht="12.75">
      <c r="B221" s="16"/>
      <c r="C221" s="16"/>
      <c r="D221" s="16"/>
      <c r="E221" s="16"/>
      <c r="F221" s="16"/>
      <c r="G221" s="16"/>
      <c r="H221" s="16"/>
      <c r="I221" s="16"/>
      <c r="J221" s="16"/>
      <c r="K221" s="16"/>
    </row>
    <row r="222" spans="2:11" ht="12.75">
      <c r="B222" s="16"/>
      <c r="C222" s="16"/>
      <c r="D222" s="16"/>
      <c r="E222" s="16"/>
      <c r="F222" s="16"/>
      <c r="G222" s="16"/>
      <c r="H222" s="16"/>
      <c r="I222" s="16"/>
      <c r="J222" s="16"/>
      <c r="K222" s="16"/>
    </row>
    <row r="223" spans="2:11" ht="12.75">
      <c r="B223" s="16"/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2:11" ht="12.75">
      <c r="B224" s="16"/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2:11" ht="12.75">
      <c r="B225" s="16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2:11" ht="12.75">
      <c r="B226" s="16"/>
      <c r="C226" s="16"/>
      <c r="D226" s="16"/>
      <c r="E226" s="16"/>
      <c r="F226" s="16"/>
      <c r="G226" s="16"/>
      <c r="H226" s="16"/>
      <c r="I226" s="16"/>
      <c r="J226" s="16"/>
      <c r="K226" s="16"/>
    </row>
    <row r="227" spans="2:11" ht="12.75">
      <c r="B227" s="16"/>
      <c r="C227" s="16"/>
      <c r="D227" s="16"/>
      <c r="E227" s="16"/>
      <c r="F227" s="16"/>
      <c r="G227" s="16"/>
      <c r="H227" s="16"/>
      <c r="I227" s="16"/>
      <c r="J227" s="16"/>
      <c r="K227" s="16"/>
    </row>
    <row r="228" spans="2:11" ht="12.75">
      <c r="B228" s="16"/>
      <c r="C228" s="16"/>
      <c r="D228" s="16"/>
      <c r="E228" s="16"/>
      <c r="F228" s="16"/>
      <c r="G228" s="16"/>
      <c r="H228" s="16"/>
      <c r="I228" s="16"/>
      <c r="J228" s="16"/>
      <c r="K228" s="16"/>
    </row>
    <row r="229" spans="2:11" ht="12.75">
      <c r="B229" s="16"/>
      <c r="C229" s="16"/>
      <c r="D229" s="16"/>
      <c r="E229" s="16"/>
      <c r="F229" s="16"/>
      <c r="G229" s="16"/>
      <c r="H229" s="16"/>
      <c r="I229" s="16"/>
      <c r="J229" s="16"/>
      <c r="K229" s="16"/>
    </row>
    <row r="230" spans="2:11" ht="12.75">
      <c r="B230" s="16"/>
      <c r="C230" s="16"/>
      <c r="D230" s="16"/>
      <c r="E230" s="16"/>
      <c r="F230" s="16"/>
      <c r="G230" s="16"/>
      <c r="H230" s="16"/>
      <c r="I230" s="16"/>
      <c r="J230" s="16"/>
      <c r="K230" s="16"/>
    </row>
    <row r="231" spans="2:11" ht="12.75">
      <c r="B231" s="16"/>
      <c r="C231" s="16"/>
      <c r="D231" s="16"/>
      <c r="E231" s="16"/>
      <c r="F231" s="16"/>
      <c r="G231" s="16"/>
      <c r="H231" s="16"/>
      <c r="I231" s="16"/>
      <c r="J231" s="16"/>
      <c r="K231" s="16"/>
    </row>
    <row r="232" spans="2:11" ht="12.75">
      <c r="B232" s="16"/>
      <c r="C232" s="16"/>
      <c r="D232" s="16"/>
      <c r="E232" s="16"/>
      <c r="F232" s="16"/>
      <c r="G232" s="16"/>
      <c r="H232" s="16"/>
      <c r="I232" s="16"/>
      <c r="J232" s="16"/>
      <c r="K232" s="16"/>
    </row>
    <row r="233" spans="2:11" ht="12.75">
      <c r="B233" s="16"/>
      <c r="C233" s="16"/>
      <c r="D233" s="16"/>
      <c r="E233" s="16"/>
      <c r="F233" s="16"/>
      <c r="G233" s="16"/>
      <c r="H233" s="16"/>
      <c r="I233" s="16"/>
      <c r="J233" s="16"/>
      <c r="K233" s="16"/>
    </row>
    <row r="234" spans="2:11" ht="12.75">
      <c r="B234" s="16"/>
      <c r="C234" s="16"/>
      <c r="D234" s="16"/>
      <c r="E234" s="16"/>
      <c r="F234" s="16"/>
      <c r="G234" s="16"/>
      <c r="H234" s="16"/>
      <c r="I234" s="16"/>
      <c r="J234" s="16"/>
      <c r="K234" s="16"/>
    </row>
    <row r="235" spans="2:11" ht="12.75">
      <c r="B235" s="16"/>
      <c r="C235" s="16"/>
      <c r="D235" s="16"/>
      <c r="E235" s="16"/>
      <c r="F235" s="16"/>
      <c r="G235" s="16"/>
      <c r="H235" s="16"/>
      <c r="I235" s="16"/>
      <c r="J235" s="16"/>
      <c r="K235" s="16"/>
    </row>
    <row r="236" spans="2:11" ht="12.75">
      <c r="B236" s="16"/>
      <c r="C236" s="16"/>
      <c r="D236" s="16"/>
      <c r="E236" s="16"/>
      <c r="F236" s="16"/>
      <c r="G236" s="16"/>
      <c r="H236" s="16"/>
      <c r="I236" s="16"/>
      <c r="J236" s="16"/>
      <c r="K236" s="16"/>
    </row>
    <row r="237" spans="2:11" ht="12.75">
      <c r="B237" s="16"/>
      <c r="C237" s="16"/>
      <c r="D237" s="16"/>
      <c r="E237" s="16"/>
      <c r="F237" s="16"/>
      <c r="G237" s="16"/>
      <c r="H237" s="16"/>
      <c r="I237" s="16"/>
      <c r="J237" s="16"/>
      <c r="K237" s="16"/>
    </row>
    <row r="238" spans="2:11" ht="12.75">
      <c r="B238" s="16"/>
      <c r="C238" s="16"/>
      <c r="D238" s="16"/>
      <c r="E238" s="16"/>
      <c r="F238" s="16"/>
      <c r="G238" s="16"/>
      <c r="H238" s="16"/>
      <c r="I238" s="16"/>
      <c r="J238" s="16"/>
      <c r="K238" s="16"/>
    </row>
    <row r="239" spans="2:11" ht="12.75">
      <c r="B239" s="16"/>
      <c r="C239" s="16"/>
      <c r="D239" s="16"/>
      <c r="E239" s="16"/>
      <c r="F239" s="16"/>
      <c r="G239" s="16"/>
      <c r="H239" s="16"/>
      <c r="I239" s="16"/>
      <c r="J239" s="16"/>
      <c r="K239" s="16"/>
    </row>
    <row r="240" spans="2:11" ht="12.75">
      <c r="B240" s="16"/>
      <c r="C240" s="16"/>
      <c r="D240" s="16"/>
      <c r="E240" s="16"/>
      <c r="F240" s="16"/>
      <c r="G240" s="16"/>
      <c r="H240" s="16"/>
      <c r="I240" s="16"/>
      <c r="J240" s="16"/>
      <c r="K240" s="16"/>
    </row>
    <row r="241" spans="2:11" ht="12.75">
      <c r="B241" s="16"/>
      <c r="C241" s="16"/>
      <c r="D241" s="16"/>
      <c r="E241" s="16"/>
      <c r="F241" s="16"/>
      <c r="G241" s="16"/>
      <c r="H241" s="16"/>
      <c r="I241" s="16"/>
      <c r="J241" s="16"/>
      <c r="K241" s="16"/>
    </row>
    <row r="242" spans="2:11" ht="12.75">
      <c r="B242" s="16"/>
      <c r="C242" s="16"/>
      <c r="D242" s="16"/>
      <c r="E242" s="16"/>
      <c r="F242" s="16"/>
      <c r="G242" s="16"/>
      <c r="H242" s="16"/>
      <c r="I242" s="16"/>
      <c r="J242" s="16"/>
      <c r="K242" s="16"/>
    </row>
    <row r="243" spans="2:11" ht="12.75">
      <c r="B243" s="16"/>
      <c r="C243" s="16"/>
      <c r="D243" s="16"/>
      <c r="E243" s="16"/>
      <c r="F243" s="16"/>
      <c r="G243" s="16"/>
      <c r="H243" s="16"/>
      <c r="I243" s="16"/>
      <c r="J243" s="16"/>
      <c r="K243" s="16"/>
    </row>
    <row r="244" spans="2:11" ht="12.75">
      <c r="B244" s="16"/>
      <c r="C244" s="16"/>
      <c r="D244" s="16"/>
      <c r="E244" s="16"/>
      <c r="F244" s="16"/>
      <c r="G244" s="16"/>
      <c r="H244" s="16"/>
      <c r="I244" s="16"/>
      <c r="J244" s="16"/>
      <c r="K244" s="16"/>
    </row>
    <row r="245" spans="2:11" ht="12.75">
      <c r="B245" s="16"/>
      <c r="C245" s="16"/>
      <c r="D245" s="16"/>
      <c r="E245" s="16"/>
      <c r="F245" s="16"/>
      <c r="G245" s="16"/>
      <c r="H245" s="16"/>
      <c r="I245" s="16"/>
      <c r="J245" s="16"/>
      <c r="K245" s="16"/>
    </row>
    <row r="246" spans="2:11" ht="12.75">
      <c r="B246" s="16"/>
      <c r="C246" s="16"/>
      <c r="D246" s="16"/>
      <c r="E246" s="16"/>
      <c r="F246" s="16"/>
      <c r="G246" s="16"/>
      <c r="H246" s="16"/>
      <c r="I246" s="16"/>
      <c r="J246" s="16"/>
      <c r="K246" s="16"/>
    </row>
    <row r="247" spans="2:11" ht="12.75">
      <c r="B247" s="16"/>
      <c r="C247" s="16"/>
      <c r="D247" s="16"/>
      <c r="E247" s="16"/>
      <c r="F247" s="16"/>
      <c r="G247" s="16"/>
      <c r="H247" s="16"/>
      <c r="I247" s="16"/>
      <c r="J247" s="16"/>
      <c r="K247" s="16"/>
    </row>
    <row r="248" spans="2:11" ht="12.75">
      <c r="B248" s="16"/>
      <c r="C248" s="16"/>
      <c r="D248" s="16"/>
      <c r="E248" s="16"/>
      <c r="F248" s="16"/>
      <c r="G248" s="16"/>
      <c r="H248" s="16"/>
      <c r="I248" s="16"/>
      <c r="J248" s="16"/>
      <c r="K248" s="16"/>
    </row>
    <row r="249" spans="2:11" ht="12.75">
      <c r="B249" s="16"/>
      <c r="C249" s="16"/>
      <c r="D249" s="16"/>
      <c r="E249" s="16"/>
      <c r="F249" s="16"/>
      <c r="G249" s="16"/>
      <c r="H249" s="16"/>
      <c r="I249" s="16"/>
      <c r="J249" s="16"/>
      <c r="K249" s="16"/>
    </row>
    <row r="250" spans="2:11" ht="12.75">
      <c r="B250" s="16"/>
      <c r="C250" s="16"/>
      <c r="D250" s="16"/>
      <c r="E250" s="16"/>
      <c r="F250" s="16"/>
      <c r="G250" s="16"/>
      <c r="H250" s="16"/>
      <c r="I250" s="16"/>
      <c r="J250" s="16"/>
      <c r="K250" s="16"/>
    </row>
    <row r="251" spans="2:11" ht="12.75">
      <c r="B251" s="16"/>
      <c r="C251" s="16"/>
      <c r="D251" s="16"/>
      <c r="E251" s="16"/>
      <c r="F251" s="16"/>
      <c r="G251" s="16"/>
      <c r="H251" s="16"/>
      <c r="I251" s="16"/>
      <c r="J251" s="16"/>
      <c r="K251" s="16"/>
    </row>
    <row r="252" spans="2:11" ht="12.75">
      <c r="B252" s="16"/>
      <c r="C252" s="16"/>
      <c r="D252" s="16"/>
      <c r="E252" s="16"/>
      <c r="F252" s="16"/>
      <c r="G252" s="16"/>
      <c r="H252" s="16"/>
      <c r="I252" s="16"/>
      <c r="J252" s="16"/>
      <c r="K252" s="16"/>
    </row>
    <row r="253" spans="2:11" ht="12.75">
      <c r="B253" s="16"/>
      <c r="C253" s="16"/>
      <c r="D253" s="16"/>
      <c r="E253" s="16"/>
      <c r="F253" s="16"/>
      <c r="G253" s="16"/>
      <c r="H253" s="16"/>
      <c r="I253" s="16"/>
      <c r="J253" s="16"/>
      <c r="K253" s="16"/>
    </row>
    <row r="254" spans="2:11" ht="12.75">
      <c r="B254" s="16"/>
      <c r="C254" s="16"/>
      <c r="D254" s="16"/>
      <c r="E254" s="16"/>
      <c r="F254" s="16"/>
      <c r="G254" s="16"/>
      <c r="H254" s="16"/>
      <c r="I254" s="16"/>
      <c r="J254" s="16"/>
      <c r="K254" s="16"/>
    </row>
    <row r="255" spans="2:11" ht="12.75">
      <c r="B255" s="16"/>
      <c r="C255" s="16"/>
      <c r="D255" s="16"/>
      <c r="E255" s="16"/>
      <c r="F255" s="16"/>
      <c r="G255" s="16"/>
      <c r="H255" s="16"/>
      <c r="I255" s="16"/>
      <c r="J255" s="16"/>
      <c r="K255" s="16"/>
    </row>
    <row r="256" spans="2:11" ht="12.75">
      <c r="B256" s="16"/>
      <c r="C256" s="16"/>
      <c r="D256" s="16"/>
      <c r="E256" s="16"/>
      <c r="F256" s="16"/>
      <c r="G256" s="16"/>
      <c r="H256" s="16"/>
      <c r="I256" s="16"/>
      <c r="J256" s="16"/>
      <c r="K256" s="16"/>
    </row>
    <row r="257" spans="2:11" ht="12.75">
      <c r="B257" s="16"/>
      <c r="C257" s="16"/>
      <c r="D257" s="16"/>
      <c r="E257" s="16"/>
      <c r="F257" s="16"/>
      <c r="G257" s="16"/>
      <c r="H257" s="16"/>
      <c r="I257" s="16"/>
      <c r="J257" s="16"/>
      <c r="K257" s="16"/>
    </row>
    <row r="258" spans="2:11" ht="12.75">
      <c r="B258" s="16"/>
      <c r="C258" s="16"/>
      <c r="D258" s="16"/>
      <c r="E258" s="16"/>
      <c r="F258" s="16"/>
      <c r="G258" s="16"/>
      <c r="H258" s="16"/>
      <c r="I258" s="16"/>
      <c r="J258" s="16"/>
      <c r="K258" s="16"/>
    </row>
    <row r="259" spans="2:11" ht="12.75">
      <c r="B259" s="16"/>
      <c r="C259" s="16"/>
      <c r="D259" s="16"/>
      <c r="E259" s="16"/>
      <c r="F259" s="16"/>
      <c r="G259" s="16"/>
      <c r="H259" s="16"/>
      <c r="I259" s="16"/>
      <c r="J259" s="16"/>
      <c r="K259" s="16"/>
    </row>
    <row r="260" spans="2:11" ht="12.75">
      <c r="B260" s="16"/>
      <c r="C260" s="16"/>
      <c r="D260" s="16"/>
      <c r="E260" s="16"/>
      <c r="F260" s="16"/>
      <c r="G260" s="16"/>
      <c r="H260" s="16"/>
      <c r="I260" s="16"/>
      <c r="J260" s="16"/>
      <c r="K260" s="16"/>
    </row>
    <row r="261" spans="2:11" ht="12.75">
      <c r="B261" s="16"/>
      <c r="C261" s="16"/>
      <c r="D261" s="16"/>
      <c r="E261" s="16"/>
      <c r="F261" s="16"/>
      <c r="G261" s="16"/>
      <c r="H261" s="16"/>
      <c r="I261" s="16"/>
      <c r="J261" s="16"/>
      <c r="K261" s="16"/>
    </row>
    <row r="262" spans="2:11" ht="12.75">
      <c r="B262" s="16"/>
      <c r="C262" s="16"/>
      <c r="D262" s="16"/>
      <c r="E262" s="16"/>
      <c r="F262" s="16"/>
      <c r="G262" s="16"/>
      <c r="H262" s="16"/>
      <c r="I262" s="16"/>
      <c r="J262" s="16"/>
      <c r="K262" s="16"/>
    </row>
    <row r="263" spans="2:11" ht="12.75">
      <c r="B263" s="16"/>
      <c r="C263" s="16"/>
      <c r="D263" s="16"/>
      <c r="E263" s="16"/>
      <c r="F263" s="16"/>
      <c r="G263" s="16"/>
      <c r="H263" s="16"/>
      <c r="I263" s="16"/>
      <c r="J263" s="16"/>
      <c r="K263" s="16"/>
    </row>
    <row r="264" spans="2:11" ht="12.75">
      <c r="B264" s="16"/>
      <c r="C264" s="16"/>
      <c r="D264" s="16"/>
      <c r="E264" s="16"/>
      <c r="F264" s="16"/>
      <c r="G264" s="16"/>
      <c r="H264" s="16"/>
      <c r="I264" s="16"/>
      <c r="J264" s="16"/>
      <c r="K264" s="16"/>
    </row>
    <row r="265" spans="2:11" ht="12.75">
      <c r="B265" s="16"/>
      <c r="C265" s="16"/>
      <c r="D265" s="16"/>
      <c r="E265" s="16"/>
      <c r="F265" s="16"/>
      <c r="G265" s="16"/>
      <c r="H265" s="16"/>
      <c r="I265" s="16"/>
      <c r="J265" s="16"/>
      <c r="K265" s="16"/>
    </row>
    <row r="266" spans="2:11" ht="12.75">
      <c r="B266" s="16"/>
      <c r="C266" s="16"/>
      <c r="D266" s="16"/>
      <c r="E266" s="16"/>
      <c r="F266" s="16"/>
      <c r="G266" s="16"/>
      <c r="H266" s="16"/>
      <c r="I266" s="16"/>
      <c r="J266" s="16"/>
      <c r="K266" s="16"/>
    </row>
    <row r="267" spans="2:11" ht="12.75">
      <c r="B267" s="16"/>
      <c r="C267" s="16"/>
      <c r="D267" s="16"/>
      <c r="E267" s="16"/>
      <c r="F267" s="16"/>
      <c r="G267" s="16"/>
      <c r="H267" s="16"/>
      <c r="I267" s="16"/>
      <c r="J267" s="16"/>
      <c r="K267" s="16"/>
    </row>
    <row r="268" spans="2:11" ht="12.75">
      <c r="B268" s="16"/>
      <c r="C268" s="16"/>
      <c r="D268" s="16"/>
      <c r="E268" s="16"/>
      <c r="F268" s="16"/>
      <c r="G268" s="16"/>
      <c r="H268" s="16"/>
      <c r="I268" s="16"/>
      <c r="J268" s="16"/>
      <c r="K268" s="16"/>
    </row>
    <row r="269" spans="2:11" ht="12.75">
      <c r="B269" s="16"/>
      <c r="C269" s="16"/>
      <c r="D269" s="16"/>
      <c r="E269" s="16"/>
      <c r="F269" s="16"/>
      <c r="G269" s="16"/>
      <c r="H269" s="16"/>
      <c r="I269" s="16"/>
      <c r="J269" s="16"/>
      <c r="K269" s="16"/>
    </row>
    <row r="270" spans="2:11" ht="12.75">
      <c r="B270" s="16"/>
      <c r="C270" s="16"/>
      <c r="D270" s="16"/>
      <c r="E270" s="16"/>
      <c r="F270" s="16"/>
      <c r="G270" s="16"/>
      <c r="H270" s="16"/>
      <c r="I270" s="16"/>
      <c r="J270" s="16"/>
      <c r="K270" s="16"/>
    </row>
    <row r="271" spans="2:11" ht="12.75">
      <c r="B271" s="16"/>
      <c r="C271" s="16"/>
      <c r="D271" s="16"/>
      <c r="E271" s="16"/>
      <c r="F271" s="16"/>
      <c r="G271" s="16"/>
      <c r="H271" s="16"/>
      <c r="I271" s="16"/>
      <c r="J271" s="16"/>
      <c r="K271" s="16"/>
    </row>
    <row r="272" spans="2:11" ht="12.75">
      <c r="B272" s="16"/>
      <c r="C272" s="16"/>
      <c r="D272" s="16"/>
      <c r="E272" s="16"/>
      <c r="F272" s="16"/>
      <c r="G272" s="16"/>
      <c r="H272" s="16"/>
      <c r="I272" s="16"/>
      <c r="J272" s="16"/>
      <c r="K272" s="16"/>
    </row>
    <row r="273" spans="2:11" ht="12.75">
      <c r="B273" s="16"/>
      <c r="C273" s="16"/>
      <c r="D273" s="16"/>
      <c r="E273" s="16"/>
      <c r="F273" s="16"/>
      <c r="G273" s="16"/>
      <c r="H273" s="16"/>
      <c r="I273" s="16"/>
      <c r="J273" s="16"/>
      <c r="K273" s="16"/>
    </row>
    <row r="274" spans="2:11" ht="12.75">
      <c r="B274" s="16"/>
      <c r="C274" s="16"/>
      <c r="D274" s="16"/>
      <c r="E274" s="16"/>
      <c r="F274" s="16"/>
      <c r="G274" s="16"/>
      <c r="H274" s="16"/>
      <c r="I274" s="16"/>
      <c r="J274" s="16"/>
      <c r="K274" s="16"/>
    </row>
    <row r="275" spans="2:11" ht="12.75">
      <c r="B275" s="16"/>
      <c r="C275" s="16"/>
      <c r="D275" s="16"/>
      <c r="E275" s="16"/>
      <c r="F275" s="16"/>
      <c r="G275" s="16"/>
      <c r="H275" s="16"/>
      <c r="I275" s="16"/>
      <c r="J275" s="16"/>
      <c r="K275" s="16"/>
    </row>
    <row r="276" spans="2:11" ht="12.75">
      <c r="B276" s="16"/>
      <c r="C276" s="16"/>
      <c r="D276" s="16"/>
      <c r="E276" s="16"/>
      <c r="F276" s="16"/>
      <c r="G276" s="16"/>
      <c r="H276" s="16"/>
      <c r="I276" s="16"/>
      <c r="J276" s="16"/>
      <c r="K276" s="16"/>
    </row>
    <row r="277" spans="2:11" ht="12.75">
      <c r="B277" s="16"/>
      <c r="C277" s="16"/>
      <c r="D277" s="16"/>
      <c r="E277" s="16"/>
      <c r="F277" s="16"/>
      <c r="G277" s="16"/>
      <c r="H277" s="16"/>
      <c r="I277" s="16"/>
      <c r="J277" s="16"/>
      <c r="K277" s="16"/>
    </row>
    <row r="278" spans="2:11" ht="12.75">
      <c r="B278" s="16"/>
      <c r="C278" s="16"/>
      <c r="D278" s="16"/>
      <c r="E278" s="16"/>
      <c r="F278" s="16"/>
      <c r="G278" s="16"/>
      <c r="H278" s="16"/>
      <c r="I278" s="16"/>
      <c r="J278" s="16"/>
      <c r="K278" s="16"/>
    </row>
    <row r="279" spans="2:11" ht="12.75">
      <c r="B279" s="16"/>
      <c r="C279" s="16"/>
      <c r="D279" s="16"/>
      <c r="E279" s="16"/>
      <c r="F279" s="16"/>
      <c r="G279" s="16"/>
      <c r="H279" s="16"/>
      <c r="I279" s="16"/>
      <c r="J279" s="16"/>
      <c r="K279" s="16"/>
    </row>
    <row r="280" spans="2:11" ht="12.75">
      <c r="B280" s="16"/>
      <c r="C280" s="16"/>
      <c r="D280" s="16"/>
      <c r="E280" s="16"/>
      <c r="F280" s="16"/>
      <c r="G280" s="16"/>
      <c r="H280" s="16"/>
      <c r="I280" s="16"/>
      <c r="J280" s="16"/>
      <c r="K280" s="16"/>
    </row>
    <row r="281" spans="2:11" ht="12.75">
      <c r="B281" s="16"/>
      <c r="C281" s="16"/>
      <c r="D281" s="16"/>
      <c r="E281" s="16"/>
      <c r="F281" s="16"/>
      <c r="G281" s="16"/>
      <c r="H281" s="16"/>
      <c r="I281" s="16"/>
      <c r="J281" s="16"/>
      <c r="K281" s="16"/>
    </row>
    <row r="282" spans="2:11" ht="12.75">
      <c r="B282" s="16"/>
      <c r="C282" s="16"/>
      <c r="D282" s="16"/>
      <c r="E282" s="16"/>
      <c r="F282" s="16"/>
      <c r="G282" s="16"/>
      <c r="H282" s="16"/>
      <c r="I282" s="16"/>
      <c r="J282" s="16"/>
      <c r="K282" s="16"/>
    </row>
    <row r="283" spans="2:11" ht="12.75">
      <c r="B283" s="16"/>
      <c r="C283" s="16"/>
      <c r="D283" s="16"/>
      <c r="E283" s="16"/>
      <c r="F283" s="16"/>
      <c r="G283" s="16"/>
      <c r="H283" s="16"/>
      <c r="I283" s="16"/>
      <c r="J283" s="16"/>
      <c r="K283" s="16"/>
    </row>
    <row r="284" spans="2:11" ht="12.75">
      <c r="B284" s="16"/>
      <c r="C284" s="16"/>
      <c r="D284" s="16"/>
      <c r="E284" s="16"/>
      <c r="F284" s="16"/>
      <c r="G284" s="16"/>
      <c r="H284" s="16"/>
      <c r="I284" s="16"/>
      <c r="J284" s="16"/>
      <c r="K284" s="16"/>
    </row>
    <row r="285" spans="2:11" ht="12.75">
      <c r="B285" s="16"/>
      <c r="C285" s="16"/>
      <c r="D285" s="16"/>
      <c r="E285" s="16"/>
      <c r="F285" s="16"/>
      <c r="G285" s="16"/>
      <c r="H285" s="16"/>
      <c r="I285" s="16"/>
      <c r="J285" s="16"/>
      <c r="K285" s="16"/>
    </row>
    <row r="286" spans="2:11" ht="12.75">
      <c r="B286" s="16"/>
      <c r="C286" s="16"/>
      <c r="D286" s="16"/>
      <c r="E286" s="16"/>
      <c r="F286" s="16"/>
      <c r="G286" s="16"/>
      <c r="H286" s="16"/>
      <c r="I286" s="16"/>
      <c r="J286" s="16"/>
      <c r="K286" s="16"/>
    </row>
    <row r="287" spans="2:11" ht="12.75">
      <c r="B287" s="16"/>
      <c r="C287" s="16"/>
      <c r="D287" s="16"/>
      <c r="E287" s="16"/>
      <c r="F287" s="16"/>
      <c r="G287" s="16"/>
      <c r="H287" s="16"/>
      <c r="I287" s="16"/>
      <c r="J287" s="16"/>
      <c r="K287" s="16"/>
    </row>
    <row r="288" spans="2:11" ht="12.75">
      <c r="B288" s="16"/>
      <c r="C288" s="16"/>
      <c r="D288" s="16"/>
      <c r="E288" s="16"/>
      <c r="F288" s="16"/>
      <c r="G288" s="16"/>
      <c r="H288" s="16"/>
      <c r="I288" s="16"/>
      <c r="J288" s="16"/>
      <c r="K288" s="16"/>
    </row>
    <row r="289" spans="2:11" ht="12.75">
      <c r="B289" s="16"/>
      <c r="C289" s="16"/>
      <c r="D289" s="16"/>
      <c r="E289" s="16"/>
      <c r="F289" s="16"/>
      <c r="G289" s="16"/>
      <c r="H289" s="16"/>
      <c r="I289" s="16"/>
      <c r="J289" s="16"/>
      <c r="K289" s="16"/>
    </row>
    <row r="290" spans="2:11" ht="12.75">
      <c r="B290" s="16"/>
      <c r="C290" s="16"/>
      <c r="D290" s="16"/>
      <c r="E290" s="16"/>
      <c r="F290" s="16"/>
      <c r="G290" s="16"/>
      <c r="H290" s="16"/>
      <c r="I290" s="16"/>
      <c r="J290" s="16"/>
      <c r="K290" s="16"/>
    </row>
    <row r="291" spans="2:11" ht="12.75">
      <c r="B291" s="16"/>
      <c r="C291" s="16"/>
      <c r="D291" s="16"/>
      <c r="E291" s="16"/>
      <c r="F291" s="16"/>
      <c r="G291" s="16"/>
      <c r="H291" s="16"/>
      <c r="I291" s="16"/>
      <c r="J291" s="16"/>
      <c r="K291" s="16"/>
    </row>
    <row r="292" spans="2:11" ht="12.75">
      <c r="B292" s="16"/>
      <c r="C292" s="16"/>
      <c r="D292" s="16"/>
      <c r="E292" s="16"/>
      <c r="F292" s="16"/>
      <c r="G292" s="16"/>
      <c r="H292" s="16"/>
      <c r="I292" s="16"/>
      <c r="J292" s="16"/>
      <c r="K292" s="16"/>
    </row>
    <row r="293" spans="2:11" ht="12.75">
      <c r="B293" s="16"/>
      <c r="C293" s="16"/>
      <c r="D293" s="16"/>
      <c r="E293" s="16"/>
      <c r="F293" s="16"/>
      <c r="G293" s="16"/>
      <c r="H293" s="16"/>
      <c r="I293" s="16"/>
      <c r="J293" s="16"/>
      <c r="K293" s="16"/>
    </row>
    <row r="294" spans="2:11" ht="12.75">
      <c r="B294" s="16"/>
      <c r="C294" s="16"/>
      <c r="D294" s="16"/>
      <c r="E294" s="16"/>
      <c r="F294" s="16"/>
      <c r="G294" s="16"/>
      <c r="H294" s="16"/>
      <c r="I294" s="16"/>
      <c r="J294" s="16"/>
      <c r="K294" s="16"/>
    </row>
    <row r="295" spans="2:11" ht="12.75">
      <c r="B295" s="16"/>
      <c r="C295" s="16"/>
      <c r="D295" s="16"/>
      <c r="E295" s="16"/>
      <c r="F295" s="16"/>
      <c r="G295" s="16"/>
      <c r="H295" s="16"/>
      <c r="I295" s="16"/>
      <c r="J295" s="16"/>
      <c r="K295" s="16"/>
    </row>
    <row r="296" spans="2:11" ht="12.75">
      <c r="B296" s="16"/>
      <c r="C296" s="16"/>
      <c r="D296" s="16"/>
      <c r="E296" s="16"/>
      <c r="F296" s="16"/>
      <c r="G296" s="16"/>
      <c r="H296" s="16"/>
      <c r="I296" s="16"/>
      <c r="J296" s="16"/>
      <c r="K296" s="16"/>
    </row>
    <row r="297" spans="2:11" ht="12.75">
      <c r="B297" s="16"/>
      <c r="C297" s="16"/>
      <c r="D297" s="16"/>
      <c r="E297" s="16"/>
      <c r="F297" s="16"/>
      <c r="G297" s="16"/>
      <c r="H297" s="16"/>
      <c r="I297" s="16"/>
      <c r="J297" s="16"/>
      <c r="K297" s="16"/>
    </row>
    <row r="298" spans="2:11" ht="12.75">
      <c r="B298" s="16"/>
      <c r="C298" s="16"/>
      <c r="D298" s="16"/>
      <c r="E298" s="16"/>
      <c r="F298" s="16"/>
      <c r="G298" s="16"/>
      <c r="H298" s="16"/>
      <c r="I298" s="16"/>
      <c r="J298" s="16"/>
      <c r="K298" s="16"/>
    </row>
    <row r="299" spans="2:11" ht="12.75">
      <c r="B299" s="16"/>
      <c r="C299" s="16"/>
      <c r="D299" s="16"/>
      <c r="E299" s="16"/>
      <c r="F299" s="16"/>
      <c r="G299" s="16"/>
      <c r="H299" s="16"/>
      <c r="I299" s="16"/>
      <c r="J299" s="16"/>
      <c r="K299" s="16"/>
    </row>
    <row r="300" spans="2:11" ht="12.75">
      <c r="B300" s="16"/>
      <c r="C300" s="16"/>
      <c r="D300" s="16"/>
      <c r="E300" s="16"/>
      <c r="F300" s="16"/>
      <c r="G300" s="16"/>
      <c r="H300" s="16"/>
      <c r="I300" s="16"/>
      <c r="J300" s="16"/>
      <c r="K300" s="16"/>
    </row>
    <row r="301" spans="2:11" ht="12.75">
      <c r="B301" s="16"/>
      <c r="C301" s="16"/>
      <c r="D301" s="16"/>
      <c r="E301" s="16"/>
      <c r="F301" s="16"/>
      <c r="G301" s="16"/>
      <c r="H301" s="16"/>
      <c r="I301" s="16"/>
      <c r="J301" s="16"/>
      <c r="K301" s="16"/>
    </row>
    <row r="302" spans="2:11" ht="12.75">
      <c r="B302" s="16"/>
      <c r="C302" s="16"/>
      <c r="D302" s="16"/>
      <c r="E302" s="16"/>
      <c r="F302" s="16"/>
      <c r="G302" s="16"/>
      <c r="H302" s="16"/>
      <c r="I302" s="16"/>
      <c r="J302" s="16"/>
      <c r="K302" s="16"/>
    </row>
    <row r="303" spans="2:11" ht="12.75">
      <c r="B303" s="16"/>
      <c r="C303" s="16"/>
      <c r="D303" s="16"/>
      <c r="E303" s="16"/>
      <c r="F303" s="16"/>
      <c r="G303" s="16"/>
      <c r="H303" s="16"/>
      <c r="I303" s="16"/>
      <c r="J303" s="16"/>
      <c r="K303" s="16"/>
    </row>
    <row r="304" spans="2:11" ht="12.75">
      <c r="B304" s="16"/>
      <c r="C304" s="16"/>
      <c r="D304" s="16"/>
      <c r="E304" s="16"/>
      <c r="F304" s="16"/>
      <c r="G304" s="16"/>
      <c r="H304" s="16"/>
      <c r="I304" s="16"/>
      <c r="J304" s="16"/>
      <c r="K304" s="16"/>
    </row>
    <row r="305" spans="2:11" ht="12.75">
      <c r="B305" s="16"/>
      <c r="C305" s="16"/>
      <c r="D305" s="16"/>
      <c r="E305" s="16"/>
      <c r="F305" s="16"/>
      <c r="G305" s="16"/>
      <c r="H305" s="16"/>
      <c r="I305" s="16"/>
      <c r="J305" s="16"/>
      <c r="K305" s="16"/>
    </row>
    <row r="306" spans="2:11" ht="12.75">
      <c r="B306" s="16"/>
      <c r="C306" s="16"/>
      <c r="D306" s="16"/>
      <c r="E306" s="16"/>
      <c r="F306" s="16"/>
      <c r="G306" s="16"/>
      <c r="H306" s="16"/>
      <c r="I306" s="16"/>
      <c r="J306" s="16"/>
      <c r="K306" s="16"/>
    </row>
    <row r="307" spans="2:11" ht="12.75">
      <c r="B307" s="16"/>
      <c r="C307" s="16"/>
      <c r="D307" s="16"/>
      <c r="E307" s="16"/>
      <c r="F307" s="16"/>
      <c r="G307" s="16"/>
      <c r="H307" s="16"/>
      <c r="I307" s="16"/>
      <c r="J307" s="16"/>
      <c r="K307" s="16"/>
    </row>
    <row r="308" spans="2:11" ht="12.75">
      <c r="B308" s="16"/>
      <c r="C308" s="16"/>
      <c r="D308" s="16"/>
      <c r="E308" s="16"/>
      <c r="F308" s="16"/>
      <c r="G308" s="16"/>
      <c r="H308" s="16"/>
      <c r="I308" s="16"/>
      <c r="J308" s="16"/>
      <c r="K308" s="16"/>
    </row>
    <row r="309" spans="2:11" ht="12.75">
      <c r="B309" s="16"/>
      <c r="C309" s="16"/>
      <c r="D309" s="16"/>
      <c r="E309" s="16"/>
      <c r="F309" s="16"/>
      <c r="G309" s="16"/>
      <c r="H309" s="16"/>
      <c r="I309" s="16"/>
      <c r="J309" s="16"/>
      <c r="K309" s="16"/>
    </row>
    <row r="310" spans="2:11" ht="12.75">
      <c r="B310" s="16"/>
      <c r="C310" s="16"/>
      <c r="D310" s="16"/>
      <c r="E310" s="16"/>
      <c r="F310" s="16"/>
      <c r="G310" s="16"/>
      <c r="H310" s="16"/>
      <c r="I310" s="16"/>
      <c r="J310" s="16"/>
      <c r="K310" s="16"/>
    </row>
    <row r="311" spans="2:11" ht="12.75">
      <c r="B311" s="16"/>
      <c r="C311" s="16"/>
      <c r="D311" s="16"/>
      <c r="E311" s="16"/>
      <c r="F311" s="16"/>
      <c r="G311" s="16"/>
      <c r="H311" s="16"/>
      <c r="I311" s="16"/>
      <c r="J311" s="16"/>
      <c r="K311" s="16"/>
    </row>
    <row r="312" spans="2:11" ht="12.75">
      <c r="B312" s="16"/>
      <c r="C312" s="16"/>
      <c r="D312" s="16"/>
      <c r="E312" s="16"/>
      <c r="F312" s="16"/>
      <c r="G312" s="16"/>
      <c r="H312" s="16"/>
      <c r="I312" s="16"/>
      <c r="J312" s="16"/>
      <c r="K312" s="16"/>
    </row>
    <row r="313" spans="2:11" ht="12.75">
      <c r="B313" s="16"/>
      <c r="C313" s="16"/>
      <c r="D313" s="16"/>
      <c r="E313" s="16"/>
      <c r="F313" s="16"/>
      <c r="G313" s="16"/>
      <c r="H313" s="16"/>
      <c r="I313" s="16"/>
      <c r="J313" s="16"/>
      <c r="K313" s="16"/>
    </row>
    <row r="314" spans="2:11" ht="12.75">
      <c r="B314" s="16"/>
      <c r="C314" s="16"/>
      <c r="D314" s="16"/>
      <c r="E314" s="16"/>
      <c r="F314" s="16"/>
      <c r="G314" s="16"/>
      <c r="H314" s="16"/>
      <c r="I314" s="16"/>
      <c r="J314" s="16"/>
      <c r="K314" s="16"/>
    </row>
    <row r="315" spans="2:11" ht="12.75">
      <c r="B315" s="16"/>
      <c r="C315" s="16"/>
      <c r="D315" s="16"/>
      <c r="E315" s="16"/>
      <c r="F315" s="16"/>
      <c r="G315" s="16"/>
      <c r="H315" s="16"/>
      <c r="I315" s="16"/>
      <c r="J315" s="16"/>
      <c r="K315" s="16"/>
    </row>
    <row r="316" spans="2:11" ht="12.75">
      <c r="B316" s="16"/>
      <c r="C316" s="16"/>
      <c r="D316" s="16"/>
      <c r="E316" s="16"/>
      <c r="F316" s="16"/>
      <c r="G316" s="16"/>
      <c r="H316" s="16"/>
      <c r="I316" s="16"/>
      <c r="J316" s="16"/>
      <c r="K316" s="16"/>
    </row>
    <row r="317" spans="2:11" ht="12.75">
      <c r="B317" s="16"/>
      <c r="C317" s="16"/>
      <c r="D317" s="16"/>
      <c r="E317" s="16"/>
      <c r="F317" s="16"/>
      <c r="G317" s="16"/>
      <c r="H317" s="16"/>
      <c r="I317" s="16"/>
      <c r="J317" s="16"/>
      <c r="K317" s="16"/>
    </row>
    <row r="318" spans="2:11" ht="12.75">
      <c r="B318" s="16"/>
      <c r="C318" s="16"/>
      <c r="D318" s="16"/>
      <c r="E318" s="16"/>
      <c r="F318" s="16"/>
      <c r="G318" s="16"/>
      <c r="H318" s="16"/>
      <c r="I318" s="16"/>
      <c r="J318" s="16"/>
      <c r="K318" s="16"/>
    </row>
    <row r="319" spans="2:11" ht="12.75">
      <c r="B319" s="16"/>
      <c r="C319" s="16"/>
      <c r="D319" s="16"/>
      <c r="E319" s="16"/>
      <c r="F319" s="16"/>
      <c r="G319" s="16"/>
      <c r="H319" s="16"/>
      <c r="I319" s="16"/>
      <c r="J319" s="16"/>
      <c r="K319" s="16"/>
    </row>
    <row r="320" spans="2:11" ht="12.75">
      <c r="B320" s="16"/>
      <c r="C320" s="16"/>
      <c r="D320" s="16"/>
      <c r="E320" s="16"/>
      <c r="F320" s="16"/>
      <c r="G320" s="16"/>
      <c r="H320" s="16"/>
      <c r="I320" s="16"/>
      <c r="J320" s="16"/>
      <c r="K320" s="16"/>
    </row>
    <row r="321" spans="2:11" ht="12.75">
      <c r="B321" s="16"/>
      <c r="C321" s="16"/>
      <c r="D321" s="16"/>
      <c r="E321" s="16"/>
      <c r="F321" s="16"/>
      <c r="G321" s="16"/>
      <c r="H321" s="16"/>
      <c r="I321" s="16"/>
      <c r="J321" s="16"/>
      <c r="K321" s="16"/>
    </row>
    <row r="322" spans="2:11" ht="12.75">
      <c r="B322" s="16"/>
      <c r="C322" s="16"/>
      <c r="D322" s="16"/>
      <c r="E322" s="16"/>
      <c r="F322" s="16"/>
      <c r="G322" s="16"/>
      <c r="H322" s="16"/>
      <c r="I322" s="16"/>
      <c r="J322" s="16"/>
      <c r="K322" s="16"/>
    </row>
    <row r="323" spans="2:11" ht="12.75">
      <c r="B323" s="16"/>
      <c r="C323" s="16"/>
      <c r="D323" s="16"/>
      <c r="E323" s="16"/>
      <c r="F323" s="16"/>
      <c r="G323" s="16"/>
      <c r="H323" s="16"/>
      <c r="I323" s="16"/>
      <c r="J323" s="16"/>
      <c r="K323" s="16"/>
    </row>
    <row r="324" spans="2:11" ht="12.75">
      <c r="B324" s="16"/>
      <c r="C324" s="16"/>
      <c r="D324" s="16"/>
      <c r="E324" s="16"/>
      <c r="F324" s="16"/>
      <c r="G324" s="16"/>
      <c r="H324" s="16"/>
      <c r="I324" s="16"/>
      <c r="J324" s="16"/>
      <c r="K324" s="16"/>
    </row>
    <row r="325" spans="2:11" ht="12.75">
      <c r="B325" s="16"/>
      <c r="C325" s="16"/>
      <c r="D325" s="16"/>
      <c r="E325" s="16"/>
      <c r="F325" s="16"/>
      <c r="G325" s="16"/>
      <c r="H325" s="16"/>
      <c r="I325" s="16"/>
      <c r="J325" s="16"/>
      <c r="K325" s="16"/>
    </row>
    <row r="326" spans="2:11" ht="12.75">
      <c r="B326" s="16"/>
      <c r="C326" s="16"/>
      <c r="D326" s="16"/>
      <c r="E326" s="16"/>
      <c r="F326" s="16"/>
      <c r="G326" s="16"/>
      <c r="H326" s="16"/>
      <c r="I326" s="16"/>
      <c r="J326" s="16"/>
      <c r="K326" s="16"/>
    </row>
    <row r="327" spans="2:11" ht="12.75">
      <c r="B327" s="16"/>
      <c r="C327" s="16"/>
      <c r="D327" s="16"/>
      <c r="E327" s="16"/>
      <c r="F327" s="16"/>
      <c r="G327" s="16"/>
      <c r="H327" s="16"/>
      <c r="I327" s="16"/>
      <c r="J327" s="16"/>
      <c r="K327" s="16"/>
    </row>
    <row r="328" spans="2:11" ht="12.75">
      <c r="B328" s="16"/>
      <c r="C328" s="16"/>
      <c r="D328" s="16"/>
      <c r="E328" s="16"/>
      <c r="F328" s="16"/>
      <c r="G328" s="16"/>
      <c r="H328" s="16"/>
      <c r="I328" s="16"/>
      <c r="J328" s="16"/>
      <c r="K328" s="16"/>
    </row>
    <row r="329" spans="2:11" ht="12.75">
      <c r="B329" s="16"/>
      <c r="C329" s="16"/>
      <c r="D329" s="16"/>
      <c r="E329" s="16"/>
      <c r="F329" s="16"/>
      <c r="G329" s="16"/>
      <c r="H329" s="16"/>
      <c r="I329" s="16"/>
      <c r="J329" s="16"/>
      <c r="K329" s="16"/>
    </row>
    <row r="330" spans="2:11" ht="12.75">
      <c r="B330" s="16"/>
      <c r="C330" s="16"/>
      <c r="D330" s="16"/>
      <c r="E330" s="16"/>
      <c r="F330" s="16"/>
      <c r="G330" s="16"/>
      <c r="H330" s="16"/>
      <c r="I330" s="16"/>
      <c r="J330" s="16"/>
      <c r="K330" s="16"/>
    </row>
    <row r="331" spans="2:11" ht="12.75">
      <c r="B331" s="16"/>
      <c r="C331" s="16"/>
      <c r="D331" s="16"/>
      <c r="E331" s="16"/>
      <c r="F331" s="16"/>
      <c r="G331" s="16"/>
      <c r="H331" s="16"/>
      <c r="I331" s="16"/>
      <c r="J331" s="16"/>
      <c r="K331" s="16"/>
    </row>
    <row r="332" spans="2:11" ht="12.75">
      <c r="B332" s="16"/>
      <c r="C332" s="16"/>
      <c r="D332" s="16"/>
      <c r="E332" s="16"/>
      <c r="F332" s="16"/>
      <c r="G332" s="16"/>
      <c r="H332" s="16"/>
      <c r="I332" s="16"/>
      <c r="J332" s="16"/>
      <c r="K332" s="16"/>
    </row>
    <row r="333" spans="2:11" ht="12.75">
      <c r="B333" s="16"/>
      <c r="C333" s="16"/>
      <c r="D333" s="16"/>
      <c r="E333" s="16"/>
      <c r="F333" s="16"/>
      <c r="G333" s="16"/>
      <c r="H333" s="16"/>
      <c r="I333" s="16"/>
      <c r="J333" s="16"/>
      <c r="K333" s="16"/>
    </row>
    <row r="334" spans="2:11" ht="12.75">
      <c r="B334" s="16"/>
      <c r="C334" s="16"/>
      <c r="D334" s="16"/>
      <c r="E334" s="16"/>
      <c r="F334" s="16"/>
      <c r="G334" s="16"/>
      <c r="H334" s="16"/>
      <c r="I334" s="16"/>
      <c r="J334" s="16"/>
      <c r="K334" s="16"/>
    </row>
    <row r="335" spans="2:11" ht="12.75">
      <c r="B335" s="16"/>
      <c r="C335" s="16"/>
      <c r="D335" s="16"/>
      <c r="E335" s="16"/>
      <c r="F335" s="16"/>
      <c r="G335" s="16"/>
      <c r="H335" s="16"/>
      <c r="I335" s="16"/>
      <c r="J335" s="16"/>
      <c r="K335" s="16"/>
    </row>
    <row r="336" spans="2:11" ht="12.75">
      <c r="B336" s="16"/>
      <c r="C336" s="16"/>
      <c r="D336" s="16"/>
      <c r="E336" s="16"/>
      <c r="F336" s="16"/>
      <c r="G336" s="16"/>
      <c r="H336" s="16"/>
      <c r="I336" s="16"/>
      <c r="J336" s="16"/>
      <c r="K336" s="16"/>
    </row>
    <row r="337" spans="2:11" ht="12.75">
      <c r="B337" s="16"/>
      <c r="C337" s="16"/>
      <c r="D337" s="16"/>
      <c r="E337" s="16"/>
      <c r="F337" s="16"/>
      <c r="G337" s="16"/>
      <c r="H337" s="16"/>
      <c r="I337" s="16"/>
      <c r="J337" s="16"/>
      <c r="K337" s="16"/>
    </row>
    <row r="338" spans="2:11" ht="12.75">
      <c r="B338" s="16"/>
      <c r="C338" s="16"/>
      <c r="D338" s="16"/>
      <c r="E338" s="16"/>
      <c r="F338" s="16"/>
      <c r="G338" s="16"/>
      <c r="H338" s="16"/>
      <c r="I338" s="16"/>
      <c r="J338" s="16"/>
      <c r="K338" s="16"/>
    </row>
    <row r="339" spans="2:11" ht="12.75">
      <c r="B339" s="16"/>
      <c r="C339" s="16"/>
      <c r="D339" s="16"/>
      <c r="E339" s="16"/>
      <c r="F339" s="16"/>
      <c r="G339" s="16"/>
      <c r="H339" s="16"/>
      <c r="I339" s="16"/>
      <c r="J339" s="16"/>
      <c r="K339" s="16"/>
    </row>
    <row r="340" spans="2:11" ht="12.75">
      <c r="B340" s="16"/>
      <c r="C340" s="16"/>
      <c r="D340" s="16"/>
      <c r="E340" s="16"/>
      <c r="F340" s="16"/>
      <c r="G340" s="16"/>
      <c r="H340" s="16"/>
      <c r="I340" s="16"/>
      <c r="J340" s="16"/>
      <c r="K340" s="16"/>
    </row>
    <row r="341" spans="2:11" ht="12.75">
      <c r="B341" s="16"/>
      <c r="C341" s="16"/>
      <c r="D341" s="16"/>
      <c r="E341" s="16"/>
      <c r="F341" s="16"/>
      <c r="G341" s="16"/>
      <c r="H341" s="16"/>
      <c r="I341" s="16"/>
      <c r="J341" s="16"/>
      <c r="K341" s="16"/>
    </row>
    <row r="342" spans="2:11" ht="12.75">
      <c r="B342" s="16"/>
      <c r="C342" s="16"/>
      <c r="D342" s="16"/>
      <c r="E342" s="16"/>
      <c r="F342" s="16"/>
      <c r="G342" s="16"/>
      <c r="H342" s="16"/>
      <c r="I342" s="16"/>
      <c r="J342" s="16"/>
      <c r="K342" s="16"/>
    </row>
    <row r="343" spans="2:11" ht="12.75">
      <c r="B343" s="16"/>
      <c r="C343" s="16"/>
      <c r="D343" s="16"/>
      <c r="E343" s="16"/>
      <c r="F343" s="16"/>
      <c r="G343" s="16"/>
      <c r="H343" s="16"/>
      <c r="I343" s="16"/>
      <c r="J343" s="16"/>
      <c r="K343" s="16"/>
    </row>
    <row r="344" spans="2:11" ht="12.75">
      <c r="B344" s="16"/>
      <c r="C344" s="16"/>
      <c r="D344" s="16"/>
      <c r="E344" s="16"/>
      <c r="F344" s="16"/>
      <c r="G344" s="16"/>
      <c r="H344" s="16"/>
      <c r="I344" s="16"/>
      <c r="J344" s="16"/>
      <c r="K344" s="16"/>
    </row>
    <row r="345" spans="2:11" ht="12.75">
      <c r="B345" s="16"/>
      <c r="C345" s="16"/>
      <c r="D345" s="16"/>
      <c r="E345" s="16"/>
      <c r="F345" s="16"/>
      <c r="G345" s="16"/>
      <c r="H345" s="16"/>
      <c r="I345" s="16"/>
      <c r="J345" s="16"/>
      <c r="K345" s="16"/>
    </row>
    <row r="346" spans="2:11" ht="12.75">
      <c r="B346" s="16"/>
      <c r="C346" s="16"/>
      <c r="D346" s="16"/>
      <c r="E346" s="16"/>
      <c r="F346" s="16"/>
      <c r="G346" s="16"/>
      <c r="H346" s="16"/>
      <c r="I346" s="16"/>
      <c r="J346" s="16"/>
      <c r="K346" s="16"/>
    </row>
    <row r="347" spans="2:11" ht="12.75">
      <c r="B347" s="16"/>
      <c r="C347" s="16"/>
      <c r="D347" s="16"/>
      <c r="E347" s="16"/>
      <c r="F347" s="16"/>
      <c r="G347" s="16"/>
      <c r="H347" s="16"/>
      <c r="I347" s="16"/>
      <c r="J347" s="16"/>
      <c r="K347" s="16"/>
    </row>
    <row r="348" spans="2:11" ht="12.75">
      <c r="B348" s="16"/>
      <c r="C348" s="16"/>
      <c r="D348" s="16"/>
      <c r="E348" s="16"/>
      <c r="F348" s="16"/>
      <c r="G348" s="16"/>
      <c r="H348" s="16"/>
      <c r="I348" s="16"/>
      <c r="J348" s="16"/>
      <c r="K348" s="16"/>
    </row>
    <row r="349" spans="2:11" ht="12.75">
      <c r="B349" s="16"/>
      <c r="C349" s="16"/>
      <c r="D349" s="16"/>
      <c r="E349" s="16"/>
      <c r="F349" s="16"/>
      <c r="G349" s="16"/>
      <c r="H349" s="16"/>
      <c r="I349" s="16"/>
      <c r="J349" s="16"/>
      <c r="K349" s="16"/>
    </row>
    <row r="350" spans="2:11" ht="12.75">
      <c r="B350" s="16"/>
      <c r="C350" s="16"/>
      <c r="D350" s="16"/>
      <c r="E350" s="16"/>
      <c r="F350" s="16"/>
      <c r="G350" s="16"/>
      <c r="H350" s="16"/>
      <c r="I350" s="16"/>
      <c r="J350" s="16"/>
      <c r="K350" s="16"/>
    </row>
    <row r="351" spans="2:11" ht="12.75">
      <c r="B351" s="16"/>
      <c r="C351" s="16"/>
      <c r="D351" s="16"/>
      <c r="E351" s="16"/>
      <c r="F351" s="16"/>
      <c r="G351" s="16"/>
      <c r="H351" s="16"/>
      <c r="I351" s="16"/>
      <c r="J351" s="16"/>
      <c r="K351" s="16"/>
    </row>
    <row r="352" spans="2:11" ht="12.75">
      <c r="B352" s="16"/>
      <c r="C352" s="16"/>
      <c r="D352" s="16"/>
      <c r="E352" s="16"/>
      <c r="F352" s="16"/>
      <c r="G352" s="16"/>
      <c r="H352" s="16"/>
      <c r="I352" s="16"/>
      <c r="J352" s="16"/>
      <c r="K352" s="16"/>
    </row>
    <row r="353" spans="2:11" ht="12.75">
      <c r="B353" s="16"/>
      <c r="C353" s="16"/>
      <c r="D353" s="16"/>
      <c r="E353" s="16"/>
      <c r="F353" s="16"/>
      <c r="G353" s="16"/>
      <c r="H353" s="16"/>
      <c r="I353" s="16"/>
      <c r="J353" s="16"/>
      <c r="K353" s="16"/>
    </row>
    <row r="354" spans="2:11" ht="12.75">
      <c r="B354" s="16"/>
      <c r="C354" s="16"/>
      <c r="D354" s="16"/>
      <c r="E354" s="16"/>
      <c r="F354" s="16"/>
      <c r="G354" s="16"/>
      <c r="H354" s="16"/>
      <c r="I354" s="16"/>
      <c r="J354" s="16"/>
      <c r="K354" s="16"/>
    </row>
    <row r="355" spans="2:11" ht="12.75">
      <c r="B355" s="16"/>
      <c r="C355" s="16"/>
      <c r="D355" s="16"/>
      <c r="E355" s="16"/>
      <c r="F355" s="16"/>
      <c r="G355" s="16"/>
      <c r="H355" s="16"/>
      <c r="I355" s="16"/>
      <c r="J355" s="16"/>
      <c r="K355" s="16"/>
    </row>
    <row r="356" spans="2:11" ht="12.75">
      <c r="B356" s="16"/>
      <c r="C356" s="16"/>
      <c r="D356" s="16"/>
      <c r="E356" s="16"/>
      <c r="F356" s="16"/>
      <c r="G356" s="16"/>
      <c r="H356" s="16"/>
      <c r="I356" s="16"/>
      <c r="J356" s="16"/>
      <c r="K356" s="16"/>
    </row>
    <row r="357" spans="2:11" ht="12.75">
      <c r="B357" s="16"/>
      <c r="C357" s="16"/>
      <c r="D357" s="16"/>
      <c r="E357" s="16"/>
      <c r="F357" s="16"/>
      <c r="G357" s="16"/>
      <c r="H357" s="16"/>
      <c r="I357" s="16"/>
      <c r="J357" s="16"/>
      <c r="K357" s="16"/>
    </row>
    <row r="358" spans="2:11" ht="12.75">
      <c r="B358" s="16"/>
      <c r="C358" s="16"/>
      <c r="D358" s="16"/>
      <c r="E358" s="16"/>
      <c r="F358" s="16"/>
      <c r="G358" s="16"/>
      <c r="H358" s="16"/>
      <c r="I358" s="16"/>
      <c r="J358" s="16"/>
      <c r="K358" s="16"/>
    </row>
    <row r="359" spans="2:11" ht="12.75">
      <c r="B359" s="16"/>
      <c r="C359" s="16"/>
      <c r="D359" s="16"/>
      <c r="E359" s="16"/>
      <c r="F359" s="16"/>
      <c r="G359" s="16"/>
      <c r="H359" s="16"/>
      <c r="I359" s="16"/>
      <c r="J359" s="16"/>
      <c r="K359" s="16"/>
    </row>
    <row r="360" spans="2:11" ht="12.75">
      <c r="B360" s="16"/>
      <c r="C360" s="16"/>
      <c r="D360" s="16"/>
      <c r="E360" s="16"/>
      <c r="F360" s="16"/>
      <c r="G360" s="16"/>
      <c r="H360" s="16"/>
      <c r="I360" s="16"/>
      <c r="J360" s="16"/>
      <c r="K360" s="16"/>
    </row>
    <row r="361" spans="2:11" ht="12.75">
      <c r="B361" s="16"/>
      <c r="C361" s="16"/>
      <c r="D361" s="16"/>
      <c r="E361" s="16"/>
      <c r="F361" s="16"/>
      <c r="G361" s="16"/>
      <c r="H361" s="16"/>
      <c r="I361" s="16"/>
      <c r="J361" s="16"/>
      <c r="K361" s="16"/>
    </row>
    <row r="362" spans="2:11" ht="12.75">
      <c r="B362" s="16"/>
      <c r="C362" s="16"/>
      <c r="D362" s="16"/>
      <c r="E362" s="16"/>
      <c r="F362" s="16"/>
      <c r="G362" s="16"/>
      <c r="H362" s="16"/>
      <c r="I362" s="16"/>
      <c r="J362" s="16"/>
      <c r="K362" s="16"/>
    </row>
    <row r="363" spans="2:11" ht="12.75">
      <c r="B363" s="16"/>
      <c r="C363" s="16"/>
      <c r="D363" s="16"/>
      <c r="E363" s="16"/>
      <c r="F363" s="16"/>
      <c r="G363" s="16"/>
      <c r="H363" s="16"/>
      <c r="I363" s="16"/>
      <c r="J363" s="16"/>
      <c r="K363" s="16"/>
    </row>
    <row r="364" spans="2:11" ht="12.75">
      <c r="B364" s="16"/>
      <c r="C364" s="16"/>
      <c r="D364" s="16"/>
      <c r="E364" s="16"/>
      <c r="F364" s="16"/>
      <c r="G364" s="16"/>
      <c r="H364" s="16"/>
      <c r="I364" s="16"/>
      <c r="J364" s="16"/>
      <c r="K364" s="16"/>
    </row>
    <row r="365" spans="2:11" ht="12.75">
      <c r="B365" s="16"/>
      <c r="C365" s="16"/>
      <c r="D365" s="16"/>
      <c r="E365" s="16"/>
      <c r="F365" s="16"/>
      <c r="G365" s="16"/>
      <c r="H365" s="16"/>
      <c r="I365" s="16"/>
      <c r="J365" s="16"/>
      <c r="K365" s="16"/>
    </row>
    <row r="366" spans="2:11" ht="12.75">
      <c r="B366" s="16"/>
      <c r="C366" s="16"/>
      <c r="D366" s="16"/>
      <c r="E366" s="16"/>
      <c r="F366" s="16"/>
      <c r="G366" s="16"/>
      <c r="H366" s="16"/>
      <c r="I366" s="16"/>
      <c r="J366" s="16"/>
      <c r="K366" s="16"/>
    </row>
    <row r="367" spans="2:11" ht="12.75">
      <c r="B367" s="16"/>
      <c r="C367" s="16"/>
      <c r="D367" s="16"/>
      <c r="E367" s="16"/>
      <c r="F367" s="16"/>
      <c r="G367" s="16"/>
      <c r="H367" s="16"/>
      <c r="I367" s="16"/>
      <c r="J367" s="16"/>
      <c r="K367" s="16"/>
    </row>
    <row r="368" spans="2:11" ht="12.75">
      <c r="B368" s="16"/>
      <c r="C368" s="16"/>
      <c r="D368" s="16"/>
      <c r="E368" s="16"/>
      <c r="F368" s="16"/>
      <c r="G368" s="16"/>
      <c r="H368" s="16"/>
      <c r="I368" s="16"/>
      <c r="J368" s="16"/>
      <c r="K368" s="16"/>
    </row>
    <row r="369" spans="2:11" ht="12.75">
      <c r="B369" s="16"/>
      <c r="C369" s="16"/>
      <c r="D369" s="16"/>
      <c r="E369" s="16"/>
      <c r="F369" s="16"/>
      <c r="G369" s="16"/>
      <c r="H369" s="16"/>
      <c r="I369" s="16"/>
      <c r="J369" s="16"/>
      <c r="K369" s="16"/>
    </row>
    <row r="370" spans="2:11" ht="12.75">
      <c r="B370" s="16"/>
      <c r="C370" s="16"/>
      <c r="D370" s="16"/>
      <c r="E370" s="16"/>
      <c r="F370" s="16"/>
      <c r="G370" s="16"/>
      <c r="H370" s="16"/>
      <c r="I370" s="16"/>
      <c r="J370" s="16"/>
      <c r="K370" s="16"/>
    </row>
    <row r="371" spans="2:11" ht="12.75">
      <c r="B371" s="16"/>
      <c r="C371" s="16"/>
      <c r="D371" s="16"/>
      <c r="E371" s="16"/>
      <c r="F371" s="16"/>
      <c r="G371" s="16"/>
      <c r="H371" s="16"/>
      <c r="I371" s="16"/>
      <c r="J371" s="16"/>
      <c r="K371" s="16"/>
    </row>
    <row r="372" spans="2:11" ht="12.75">
      <c r="B372" s="16"/>
      <c r="C372" s="16"/>
      <c r="D372" s="16"/>
      <c r="E372" s="16"/>
      <c r="F372" s="16"/>
      <c r="G372" s="16"/>
      <c r="H372" s="16"/>
      <c r="I372" s="16"/>
      <c r="J372" s="16"/>
      <c r="K372" s="16"/>
    </row>
    <row r="373" spans="2:11" ht="12.75">
      <c r="B373" s="16"/>
      <c r="C373" s="16"/>
      <c r="D373" s="16"/>
      <c r="E373" s="16"/>
      <c r="F373" s="16"/>
      <c r="G373" s="16"/>
      <c r="H373" s="16"/>
      <c r="I373" s="16"/>
      <c r="J373" s="16"/>
      <c r="K373" s="16"/>
    </row>
    <row r="374" spans="2:11" ht="12.75">
      <c r="B374" s="16"/>
      <c r="C374" s="16"/>
      <c r="D374" s="16"/>
      <c r="E374" s="16"/>
      <c r="F374" s="16"/>
      <c r="G374" s="16"/>
      <c r="H374" s="16"/>
      <c r="I374" s="16"/>
      <c r="J374" s="16"/>
      <c r="K374" s="16"/>
    </row>
    <row r="375" spans="2:11" ht="12.75">
      <c r="B375" s="16"/>
      <c r="C375" s="16"/>
      <c r="D375" s="16"/>
      <c r="E375" s="16"/>
      <c r="F375" s="16"/>
      <c r="G375" s="16"/>
      <c r="H375" s="16"/>
      <c r="I375" s="16"/>
      <c r="J375" s="16"/>
      <c r="K375" s="16"/>
    </row>
    <row r="376" spans="2:11" ht="12.75">
      <c r="B376" s="16"/>
      <c r="C376" s="16"/>
      <c r="D376" s="16"/>
      <c r="E376" s="16"/>
      <c r="F376" s="16"/>
      <c r="G376" s="16"/>
      <c r="H376" s="16"/>
      <c r="I376" s="16"/>
      <c r="J376" s="16"/>
      <c r="K376" s="16"/>
    </row>
    <row r="377" spans="2:11" ht="12.75">
      <c r="B377" s="16"/>
      <c r="C377" s="16"/>
      <c r="D377" s="16"/>
      <c r="E377" s="16"/>
      <c r="F377" s="16"/>
      <c r="G377" s="16"/>
      <c r="H377" s="16"/>
      <c r="I377" s="16"/>
      <c r="J377" s="16"/>
      <c r="K377" s="16"/>
    </row>
    <row r="378" spans="2:11" ht="12.75">
      <c r="B378" s="16"/>
      <c r="C378" s="16"/>
      <c r="D378" s="16"/>
      <c r="E378" s="16"/>
      <c r="F378" s="16"/>
      <c r="G378" s="16"/>
      <c r="H378" s="16"/>
      <c r="I378" s="16"/>
      <c r="J378" s="16"/>
      <c r="K378" s="16"/>
    </row>
    <row r="379" spans="2:11" ht="12.75">
      <c r="B379" s="16"/>
      <c r="C379" s="16"/>
      <c r="D379" s="16"/>
      <c r="E379" s="16"/>
      <c r="F379" s="16"/>
      <c r="G379" s="16"/>
      <c r="H379" s="16"/>
      <c r="I379" s="16"/>
      <c r="J379" s="16"/>
      <c r="K379" s="16"/>
    </row>
    <row r="380" spans="2:11" ht="12.75">
      <c r="B380" s="16"/>
      <c r="C380" s="16"/>
      <c r="D380" s="16"/>
      <c r="E380" s="16"/>
      <c r="F380" s="16"/>
      <c r="G380" s="16"/>
      <c r="H380" s="16"/>
      <c r="I380" s="16"/>
      <c r="J380" s="16"/>
      <c r="K380" s="16"/>
    </row>
    <row r="381" spans="2:11" ht="12.75">
      <c r="B381" s="16"/>
      <c r="C381" s="16"/>
      <c r="D381" s="16"/>
      <c r="E381" s="16"/>
      <c r="F381" s="16"/>
      <c r="G381" s="16"/>
      <c r="H381" s="16"/>
      <c r="I381" s="16"/>
      <c r="J381" s="16"/>
      <c r="K381" s="16"/>
    </row>
    <row r="382" spans="2:11" ht="12.75">
      <c r="B382" s="16"/>
      <c r="C382" s="16"/>
      <c r="D382" s="16"/>
      <c r="E382" s="16"/>
      <c r="F382" s="16"/>
      <c r="G382" s="16"/>
      <c r="H382" s="16"/>
      <c r="I382" s="16"/>
      <c r="J382" s="16"/>
      <c r="K382" s="16"/>
    </row>
    <row r="383" spans="2:11" ht="12.75">
      <c r="B383" s="16"/>
      <c r="C383" s="16"/>
      <c r="D383" s="16"/>
      <c r="E383" s="16"/>
      <c r="F383" s="16"/>
      <c r="G383" s="16"/>
      <c r="H383" s="16"/>
      <c r="I383" s="16"/>
      <c r="J383" s="16"/>
      <c r="K383" s="16"/>
    </row>
    <row r="384" spans="2:11" ht="12.75">
      <c r="B384" s="16"/>
      <c r="C384" s="16"/>
      <c r="D384" s="16"/>
      <c r="E384" s="16"/>
      <c r="F384" s="16"/>
      <c r="G384" s="16"/>
      <c r="H384" s="16"/>
      <c r="I384" s="16"/>
      <c r="J384" s="16"/>
      <c r="K384" s="16"/>
    </row>
    <row r="385" spans="2:11" ht="12.75">
      <c r="B385" s="16"/>
      <c r="C385" s="16"/>
      <c r="D385" s="16"/>
      <c r="E385" s="16"/>
      <c r="F385" s="16"/>
      <c r="G385" s="16"/>
      <c r="H385" s="16"/>
      <c r="I385" s="16"/>
      <c r="J385" s="16"/>
      <c r="K385" s="16"/>
    </row>
    <row r="386" spans="2:11" ht="12.75">
      <c r="B386" s="16"/>
      <c r="C386" s="16"/>
      <c r="D386" s="16"/>
      <c r="E386" s="16"/>
      <c r="F386" s="16"/>
      <c r="G386" s="16"/>
      <c r="H386" s="16"/>
      <c r="I386" s="16"/>
      <c r="J386" s="16"/>
      <c r="K386" s="16"/>
    </row>
    <row r="387" spans="2:11" ht="12.75">
      <c r="B387" s="16"/>
      <c r="C387" s="16"/>
      <c r="D387" s="16"/>
      <c r="E387" s="16"/>
      <c r="F387" s="16"/>
      <c r="G387" s="16"/>
      <c r="H387" s="16"/>
      <c r="I387" s="16"/>
      <c r="J387" s="16"/>
      <c r="K387" s="16"/>
    </row>
    <row r="388" spans="2:11" ht="12.75">
      <c r="B388" s="16"/>
      <c r="C388" s="16"/>
      <c r="D388" s="16"/>
      <c r="E388" s="16"/>
      <c r="F388" s="16"/>
      <c r="G388" s="16"/>
      <c r="H388" s="16"/>
      <c r="I388" s="16"/>
      <c r="J388" s="16"/>
      <c r="K388" s="16"/>
    </row>
    <row r="389" spans="2:11" ht="12.75">
      <c r="B389" s="16"/>
      <c r="C389" s="16"/>
      <c r="D389" s="16"/>
      <c r="E389" s="16"/>
      <c r="F389" s="16"/>
      <c r="G389" s="16"/>
      <c r="H389" s="16"/>
      <c r="I389" s="16"/>
      <c r="J389" s="16"/>
      <c r="K389" s="16"/>
    </row>
    <row r="390" spans="2:11" ht="12.75">
      <c r="B390" s="16"/>
      <c r="C390" s="16"/>
      <c r="D390" s="16"/>
      <c r="E390" s="16"/>
      <c r="F390" s="16"/>
      <c r="G390" s="16"/>
      <c r="H390" s="16"/>
      <c r="I390" s="16"/>
      <c r="J390" s="16"/>
      <c r="K390" s="16"/>
    </row>
    <row r="391" spans="2:11" ht="12.75">
      <c r="B391" s="16"/>
      <c r="C391" s="16"/>
      <c r="D391" s="16"/>
      <c r="E391" s="16"/>
      <c r="F391" s="16"/>
      <c r="G391" s="16"/>
      <c r="H391" s="16"/>
      <c r="I391" s="16"/>
      <c r="J391" s="16"/>
      <c r="K391" s="16"/>
    </row>
    <row r="392" spans="2:11" ht="12.75">
      <c r="B392" s="16"/>
      <c r="C392" s="16"/>
      <c r="D392" s="16"/>
      <c r="E392" s="16"/>
      <c r="F392" s="16"/>
      <c r="G392" s="16"/>
      <c r="H392" s="16"/>
      <c r="I392" s="16"/>
      <c r="J392" s="16"/>
      <c r="K392" s="16"/>
    </row>
    <row r="393" spans="2:11" ht="12.75">
      <c r="B393" s="16"/>
      <c r="C393" s="16"/>
      <c r="D393" s="16"/>
      <c r="E393" s="16"/>
      <c r="F393" s="16"/>
      <c r="G393" s="16"/>
      <c r="H393" s="16"/>
      <c r="I393" s="16"/>
      <c r="J393" s="16"/>
      <c r="K393" s="16"/>
    </row>
    <row r="394" spans="2:11" ht="12.75">
      <c r="B394" s="16"/>
      <c r="C394" s="16"/>
      <c r="D394" s="16"/>
      <c r="E394" s="16"/>
      <c r="F394" s="16"/>
      <c r="G394" s="16"/>
      <c r="H394" s="16"/>
      <c r="I394" s="16"/>
      <c r="J394" s="16"/>
      <c r="K394" s="16"/>
    </row>
    <row r="395" spans="2:11" ht="12.75">
      <c r="B395" s="16"/>
      <c r="C395" s="16"/>
      <c r="D395" s="16"/>
      <c r="E395" s="16"/>
      <c r="F395" s="16"/>
      <c r="G395" s="16"/>
      <c r="H395" s="16"/>
      <c r="I395" s="16"/>
      <c r="J395" s="16"/>
      <c r="K395" s="16"/>
    </row>
    <row r="396" spans="2:11" ht="12.75">
      <c r="B396" s="16"/>
      <c r="C396" s="16"/>
      <c r="D396" s="16"/>
      <c r="E396" s="16"/>
      <c r="F396" s="16"/>
      <c r="G396" s="16"/>
      <c r="H396" s="16"/>
      <c r="I396" s="16"/>
      <c r="J396" s="16"/>
      <c r="K396" s="16"/>
    </row>
    <row r="397" spans="2:11" ht="12.75">
      <c r="B397" s="16"/>
      <c r="C397" s="16"/>
      <c r="D397" s="16"/>
      <c r="E397" s="16"/>
      <c r="F397" s="16"/>
      <c r="G397" s="16"/>
      <c r="H397" s="16"/>
      <c r="I397" s="16"/>
      <c r="J397" s="16"/>
      <c r="K397" s="16"/>
    </row>
    <row r="398" spans="2:11" ht="12.75">
      <c r="B398" s="16"/>
      <c r="C398" s="16"/>
      <c r="D398" s="16"/>
      <c r="E398" s="16"/>
      <c r="F398" s="16"/>
      <c r="G398" s="16"/>
      <c r="H398" s="16"/>
      <c r="I398" s="16"/>
      <c r="J398" s="16"/>
      <c r="K398" s="16"/>
    </row>
    <row r="399" spans="2:11" ht="12.75">
      <c r="B399" s="16"/>
      <c r="C399" s="16"/>
      <c r="D399" s="16"/>
      <c r="E399" s="16"/>
      <c r="F399" s="16"/>
      <c r="G399" s="16"/>
      <c r="H399" s="16"/>
      <c r="I399" s="16"/>
      <c r="J399" s="16"/>
      <c r="K399" s="16"/>
    </row>
    <row r="400" spans="2:11" ht="12.75">
      <c r="B400" s="16"/>
      <c r="C400" s="16"/>
      <c r="D400" s="16"/>
      <c r="E400" s="16"/>
      <c r="F400" s="16"/>
      <c r="G400" s="16"/>
      <c r="H400" s="16"/>
      <c r="I400" s="16"/>
      <c r="J400" s="16"/>
      <c r="K400" s="16"/>
    </row>
    <row r="401" spans="2:11" ht="12.75">
      <c r="B401" s="16"/>
      <c r="C401" s="16"/>
      <c r="D401" s="16"/>
      <c r="E401" s="16"/>
      <c r="F401" s="16"/>
      <c r="G401" s="16"/>
      <c r="H401" s="16"/>
      <c r="I401" s="16"/>
      <c r="J401" s="16"/>
      <c r="K401" s="16"/>
    </row>
    <row r="402" spans="2:11" ht="12.75">
      <c r="B402" s="16"/>
      <c r="C402" s="16"/>
      <c r="D402" s="16"/>
      <c r="E402" s="16"/>
      <c r="F402" s="16"/>
      <c r="G402" s="16"/>
      <c r="H402" s="16"/>
      <c r="I402" s="16"/>
      <c r="J402" s="16"/>
      <c r="K402" s="16"/>
    </row>
    <row r="403" spans="2:11" ht="12.75">
      <c r="B403" s="16"/>
      <c r="C403" s="16"/>
      <c r="D403" s="16"/>
      <c r="E403" s="16"/>
      <c r="F403" s="16"/>
      <c r="G403" s="16"/>
      <c r="H403" s="16"/>
      <c r="I403" s="16"/>
      <c r="J403" s="16"/>
      <c r="K403" s="16"/>
    </row>
    <row r="404" spans="2:11" ht="12.75">
      <c r="B404" s="16"/>
      <c r="C404" s="16"/>
      <c r="D404" s="16"/>
      <c r="E404" s="16"/>
      <c r="F404" s="16"/>
      <c r="G404" s="16"/>
      <c r="H404" s="16"/>
      <c r="I404" s="16"/>
      <c r="J404" s="16"/>
      <c r="K404" s="16"/>
    </row>
    <row r="405" spans="2:11" ht="12.75">
      <c r="B405" s="16"/>
      <c r="C405" s="16"/>
      <c r="D405" s="16"/>
      <c r="E405" s="16"/>
      <c r="F405" s="16"/>
      <c r="G405" s="16"/>
      <c r="H405" s="16"/>
      <c r="I405" s="16"/>
      <c r="J405" s="16"/>
      <c r="K405" s="16"/>
    </row>
    <row r="406" spans="2:11" ht="12.75">
      <c r="B406" s="16"/>
      <c r="C406" s="16"/>
      <c r="D406" s="16"/>
      <c r="E406" s="16"/>
      <c r="F406" s="16"/>
      <c r="G406" s="16"/>
      <c r="H406" s="16"/>
      <c r="I406" s="16"/>
      <c r="J406" s="16"/>
      <c r="K406" s="16"/>
    </row>
    <row r="407" spans="2:11" ht="12.75">
      <c r="B407" s="16"/>
      <c r="C407" s="16"/>
      <c r="D407" s="16"/>
      <c r="E407" s="16"/>
      <c r="F407" s="16"/>
      <c r="G407" s="16"/>
      <c r="H407" s="16"/>
      <c r="I407" s="16"/>
      <c r="J407" s="16"/>
      <c r="K407" s="16"/>
    </row>
    <row r="408" spans="2:11" ht="12.75">
      <c r="B408" s="16"/>
      <c r="C408" s="16"/>
      <c r="D408" s="16"/>
      <c r="E408" s="16"/>
      <c r="F408" s="16"/>
      <c r="G408" s="16"/>
      <c r="H408" s="16"/>
      <c r="I408" s="16"/>
      <c r="J408" s="16"/>
      <c r="K408" s="16"/>
    </row>
    <row r="409" spans="2:11" ht="12.75">
      <c r="B409" s="16"/>
      <c r="C409" s="16"/>
      <c r="D409" s="16"/>
      <c r="E409" s="16"/>
      <c r="F409" s="16"/>
      <c r="G409" s="16"/>
      <c r="H409" s="16"/>
      <c r="I409" s="16"/>
      <c r="J409" s="16"/>
      <c r="K409" s="16"/>
    </row>
    <row r="410" spans="2:11" ht="12.75">
      <c r="B410" s="16"/>
      <c r="C410" s="16"/>
      <c r="D410" s="16"/>
      <c r="E410" s="16"/>
      <c r="F410" s="16"/>
      <c r="G410" s="16"/>
      <c r="H410" s="16"/>
      <c r="I410" s="16"/>
      <c r="J410" s="16"/>
      <c r="K410" s="16"/>
    </row>
    <row r="411" spans="2:11" ht="12.75">
      <c r="B411" s="16"/>
      <c r="C411" s="16"/>
      <c r="D411" s="16"/>
      <c r="E411" s="16"/>
      <c r="F411" s="16"/>
      <c r="G411" s="16"/>
      <c r="H411" s="16"/>
      <c r="I411" s="16"/>
      <c r="J411" s="16"/>
      <c r="K411" s="16"/>
    </row>
    <row r="412" spans="2:11" ht="12.75">
      <c r="B412" s="16"/>
      <c r="C412" s="16"/>
      <c r="D412" s="16"/>
      <c r="E412" s="16"/>
      <c r="F412" s="16"/>
      <c r="G412" s="16"/>
      <c r="H412" s="16"/>
      <c r="I412" s="16"/>
      <c r="J412" s="16"/>
      <c r="K412" s="16"/>
    </row>
    <row r="413" spans="2:11" ht="12.75">
      <c r="B413" s="16"/>
      <c r="C413" s="16"/>
      <c r="D413" s="16"/>
      <c r="E413" s="16"/>
      <c r="F413" s="16"/>
      <c r="G413" s="16"/>
      <c r="H413" s="16"/>
      <c r="I413" s="16"/>
      <c r="J413" s="16"/>
      <c r="K413" s="16"/>
    </row>
    <row r="414" spans="2:11" ht="12.75">
      <c r="B414" s="16"/>
      <c r="C414" s="16"/>
      <c r="D414" s="16"/>
      <c r="E414" s="16"/>
      <c r="F414" s="16"/>
      <c r="G414" s="16"/>
      <c r="H414" s="16"/>
      <c r="I414" s="16"/>
      <c r="J414" s="16"/>
      <c r="K414" s="16"/>
    </row>
    <row r="415" spans="2:11" ht="12.75">
      <c r="B415" s="16"/>
      <c r="C415" s="16"/>
      <c r="D415" s="16"/>
      <c r="E415" s="16"/>
      <c r="F415" s="16"/>
      <c r="G415" s="16"/>
      <c r="H415" s="16"/>
      <c r="I415" s="16"/>
      <c r="J415" s="16"/>
      <c r="K415" s="16"/>
    </row>
    <row r="416" spans="2:11" ht="12.75">
      <c r="B416" s="16"/>
      <c r="C416" s="16"/>
      <c r="D416" s="16"/>
      <c r="E416" s="16"/>
      <c r="F416" s="16"/>
      <c r="G416" s="16"/>
      <c r="H416" s="16"/>
      <c r="I416" s="16"/>
      <c r="J416" s="16"/>
      <c r="K416" s="16"/>
    </row>
    <row r="417" spans="2:11" ht="12.75">
      <c r="B417" s="16"/>
      <c r="C417" s="16"/>
      <c r="D417" s="16"/>
      <c r="E417" s="16"/>
      <c r="F417" s="16"/>
      <c r="G417" s="16"/>
      <c r="H417" s="16"/>
      <c r="I417" s="16"/>
      <c r="J417" s="16"/>
      <c r="K417" s="16"/>
    </row>
    <row r="418" spans="2:11" ht="12.75">
      <c r="B418" s="16"/>
      <c r="C418" s="16"/>
      <c r="D418" s="16"/>
      <c r="E418" s="16"/>
      <c r="F418" s="16"/>
      <c r="G418" s="16"/>
      <c r="H418" s="16"/>
      <c r="I418" s="16"/>
      <c r="J418" s="16"/>
      <c r="K418" s="16"/>
    </row>
    <row r="419" spans="2:11" ht="12.75">
      <c r="B419" s="16"/>
      <c r="C419" s="16"/>
      <c r="D419" s="16"/>
      <c r="E419" s="16"/>
      <c r="F419" s="16"/>
      <c r="G419" s="16"/>
      <c r="H419" s="16"/>
      <c r="I419" s="16"/>
      <c r="J419" s="16"/>
      <c r="K419" s="16"/>
    </row>
    <row r="420" spans="2:11" ht="12.75">
      <c r="B420" s="16"/>
      <c r="C420" s="16"/>
      <c r="D420" s="16"/>
      <c r="E420" s="16"/>
      <c r="F420" s="16"/>
      <c r="G420" s="16"/>
      <c r="H420" s="16"/>
      <c r="I420" s="16"/>
      <c r="J420" s="16"/>
      <c r="K420" s="16"/>
    </row>
    <row r="421" spans="2:11" ht="12.75">
      <c r="B421" s="16"/>
      <c r="C421" s="16"/>
      <c r="D421" s="16"/>
      <c r="E421" s="16"/>
      <c r="F421" s="16"/>
      <c r="G421" s="16"/>
      <c r="H421" s="16"/>
      <c r="I421" s="16"/>
      <c r="J421" s="16"/>
      <c r="K421" s="16"/>
    </row>
    <row r="422" spans="2:11" ht="12.75">
      <c r="B422" s="16"/>
      <c r="C422" s="16"/>
      <c r="D422" s="16"/>
      <c r="E422" s="16"/>
      <c r="F422" s="16"/>
      <c r="G422" s="16"/>
      <c r="H422" s="16"/>
      <c r="I422" s="16"/>
      <c r="J422" s="16"/>
      <c r="K422" s="16"/>
    </row>
    <row r="423" spans="2:11" ht="12.75">
      <c r="B423" s="16"/>
      <c r="C423" s="16"/>
      <c r="D423" s="16"/>
      <c r="E423" s="16"/>
      <c r="F423" s="16"/>
      <c r="G423" s="16"/>
      <c r="H423" s="16"/>
      <c r="I423" s="16"/>
      <c r="J423" s="16"/>
      <c r="K423" s="16"/>
    </row>
    <row r="424" spans="2:11" ht="12.75">
      <c r="B424" s="16"/>
      <c r="C424" s="16"/>
      <c r="D424" s="16"/>
      <c r="E424" s="16"/>
      <c r="F424" s="16"/>
      <c r="G424" s="16"/>
      <c r="H424" s="16"/>
      <c r="I424" s="16"/>
      <c r="J424" s="16"/>
      <c r="K424" s="16"/>
    </row>
    <row r="425" spans="2:11" ht="12.75">
      <c r="B425" s="16"/>
      <c r="C425" s="16"/>
      <c r="D425" s="16"/>
      <c r="E425" s="16"/>
      <c r="F425" s="16"/>
      <c r="G425" s="16"/>
      <c r="H425" s="16"/>
      <c r="I425" s="16"/>
      <c r="J425" s="16"/>
      <c r="K425" s="16"/>
    </row>
    <row r="426" spans="2:11" ht="12.75">
      <c r="B426" s="16"/>
      <c r="C426" s="16"/>
      <c r="D426" s="16"/>
      <c r="E426" s="16"/>
      <c r="F426" s="16"/>
      <c r="G426" s="16"/>
      <c r="H426" s="16"/>
      <c r="I426" s="16"/>
      <c r="J426" s="16"/>
      <c r="K426" s="16"/>
    </row>
    <row r="427" spans="2:11" ht="12.75">
      <c r="B427" s="16"/>
      <c r="C427" s="16"/>
      <c r="D427" s="16"/>
      <c r="E427" s="16"/>
      <c r="F427" s="16"/>
      <c r="G427" s="16"/>
      <c r="H427" s="16"/>
      <c r="I427" s="16"/>
      <c r="J427" s="16"/>
      <c r="K427" s="16"/>
    </row>
    <row r="428" spans="2:11" ht="12.75">
      <c r="B428" s="16"/>
      <c r="C428" s="16"/>
      <c r="D428" s="16"/>
      <c r="E428" s="16"/>
      <c r="F428" s="16"/>
      <c r="G428" s="16"/>
      <c r="H428" s="16"/>
      <c r="I428" s="16"/>
      <c r="J428" s="16"/>
      <c r="K428" s="16"/>
    </row>
    <row r="429" spans="2:11" ht="12.75">
      <c r="B429" s="16"/>
      <c r="C429" s="16"/>
      <c r="D429" s="16"/>
      <c r="E429" s="16"/>
      <c r="F429" s="16"/>
      <c r="G429" s="16"/>
      <c r="H429" s="16"/>
      <c r="I429" s="16"/>
      <c r="J429" s="16"/>
      <c r="K429" s="16"/>
    </row>
    <row r="430" spans="2:11" ht="12.75">
      <c r="B430" s="16"/>
      <c r="C430" s="16"/>
      <c r="D430" s="16"/>
      <c r="E430" s="16"/>
      <c r="F430" s="16"/>
      <c r="G430" s="16"/>
      <c r="H430" s="16"/>
      <c r="I430" s="16"/>
      <c r="J430" s="16"/>
      <c r="K430" s="16"/>
    </row>
    <row r="431" spans="2:11" ht="12.75">
      <c r="B431" s="16"/>
      <c r="C431" s="16"/>
      <c r="D431" s="16"/>
      <c r="E431" s="16"/>
      <c r="F431" s="16"/>
      <c r="G431" s="16"/>
      <c r="H431" s="16"/>
      <c r="I431" s="16"/>
      <c r="J431" s="16"/>
      <c r="K431" s="16"/>
    </row>
    <row r="432" spans="2:11" ht="12.75">
      <c r="B432" s="16"/>
      <c r="C432" s="16"/>
      <c r="D432" s="16"/>
      <c r="E432" s="16"/>
      <c r="F432" s="16"/>
      <c r="G432" s="16"/>
      <c r="H432" s="16"/>
      <c r="I432" s="16"/>
      <c r="J432" s="16"/>
      <c r="K432" s="16"/>
    </row>
    <row r="433" spans="2:11" ht="12.75">
      <c r="B433" s="16"/>
      <c r="C433" s="16"/>
      <c r="D433" s="16"/>
      <c r="E433" s="16"/>
      <c r="F433" s="16"/>
      <c r="G433" s="16"/>
      <c r="H433" s="16"/>
      <c r="I433" s="16"/>
      <c r="J433" s="16"/>
      <c r="K433" s="16"/>
    </row>
    <row r="434" spans="2:11" ht="12.75">
      <c r="B434" s="16"/>
      <c r="C434" s="16"/>
      <c r="D434" s="16"/>
      <c r="E434" s="16"/>
      <c r="F434" s="16"/>
      <c r="G434" s="16"/>
      <c r="H434" s="16"/>
      <c r="I434" s="16"/>
      <c r="J434" s="16"/>
      <c r="K434" s="16"/>
    </row>
    <row r="435" spans="2:11" ht="12.75">
      <c r="B435" s="16"/>
      <c r="C435" s="16"/>
      <c r="D435" s="16"/>
      <c r="E435" s="16"/>
      <c r="F435" s="16"/>
      <c r="G435" s="16"/>
      <c r="H435" s="16"/>
      <c r="I435" s="16"/>
      <c r="J435" s="16"/>
      <c r="K435" s="16"/>
    </row>
    <row r="436" spans="2:11" ht="12.75">
      <c r="B436" s="16"/>
      <c r="C436" s="16"/>
      <c r="D436" s="16"/>
      <c r="E436" s="16"/>
      <c r="F436" s="16"/>
      <c r="G436" s="16"/>
      <c r="H436" s="16"/>
      <c r="I436" s="16"/>
      <c r="J436" s="16"/>
      <c r="K436" s="16"/>
    </row>
    <row r="437" spans="2:11" ht="12.75">
      <c r="B437" s="16"/>
      <c r="C437" s="16"/>
      <c r="D437" s="16"/>
      <c r="E437" s="16"/>
      <c r="F437" s="16"/>
      <c r="G437" s="16"/>
      <c r="H437" s="16"/>
      <c r="I437" s="16"/>
      <c r="J437" s="16"/>
      <c r="K437" s="16"/>
    </row>
    <row r="438" spans="2:11" ht="12.75">
      <c r="B438" s="16"/>
      <c r="C438" s="16"/>
      <c r="D438" s="16"/>
      <c r="E438" s="16"/>
      <c r="F438" s="16"/>
      <c r="G438" s="16"/>
      <c r="H438" s="16"/>
      <c r="I438" s="16"/>
      <c r="J438" s="16"/>
      <c r="K438" s="16"/>
    </row>
    <row r="439" spans="2:11" ht="12.75">
      <c r="B439" s="16"/>
      <c r="C439" s="16"/>
      <c r="D439" s="16"/>
      <c r="E439" s="16"/>
      <c r="F439" s="16"/>
      <c r="G439" s="16"/>
      <c r="H439" s="16"/>
      <c r="I439" s="16"/>
      <c r="J439" s="16"/>
      <c r="K439" s="16"/>
    </row>
    <row r="440" spans="2:11" ht="12.75">
      <c r="B440" s="16"/>
      <c r="C440" s="16"/>
      <c r="D440" s="16"/>
      <c r="E440" s="16"/>
      <c r="F440" s="16"/>
      <c r="G440" s="16"/>
      <c r="H440" s="16"/>
      <c r="I440" s="16"/>
      <c r="J440" s="16"/>
      <c r="K440" s="16"/>
    </row>
    <row r="441" spans="2:11" ht="12.75">
      <c r="B441" s="16"/>
      <c r="C441" s="16"/>
      <c r="D441" s="16"/>
      <c r="E441" s="16"/>
      <c r="F441" s="16"/>
      <c r="G441" s="16"/>
      <c r="H441" s="16"/>
      <c r="I441" s="16"/>
      <c r="J441" s="16"/>
      <c r="K441" s="16"/>
    </row>
    <row r="442" spans="2:11" ht="12.75">
      <c r="B442" s="16"/>
      <c r="C442" s="16"/>
      <c r="D442" s="16"/>
      <c r="E442" s="16"/>
      <c r="F442" s="16"/>
      <c r="G442" s="16"/>
      <c r="H442" s="16"/>
      <c r="I442" s="16"/>
      <c r="J442" s="16"/>
      <c r="K442" s="16"/>
    </row>
    <row r="443" spans="2:11" ht="12.75">
      <c r="B443" s="16"/>
      <c r="C443" s="16"/>
      <c r="D443" s="16"/>
      <c r="E443" s="16"/>
      <c r="F443" s="16"/>
      <c r="G443" s="16"/>
      <c r="H443" s="16"/>
      <c r="I443" s="16"/>
      <c r="J443" s="16"/>
      <c r="K443" s="16"/>
    </row>
    <row r="444" spans="2:11" ht="12.75">
      <c r="B444" s="16"/>
      <c r="C444" s="16"/>
      <c r="D444" s="16"/>
      <c r="E444" s="16"/>
      <c r="F444" s="16"/>
      <c r="G444" s="16"/>
      <c r="H444" s="16"/>
      <c r="I444" s="16"/>
      <c r="J444" s="16"/>
      <c r="K444" s="16"/>
    </row>
    <row r="445" spans="2:11" ht="12.75">
      <c r="B445" s="16"/>
      <c r="C445" s="16"/>
      <c r="D445" s="16"/>
      <c r="E445" s="16"/>
      <c r="F445" s="16"/>
      <c r="G445" s="16"/>
      <c r="H445" s="16"/>
      <c r="I445" s="16"/>
      <c r="J445" s="16"/>
      <c r="K445" s="16"/>
    </row>
    <row r="446" spans="2:11" ht="12.75">
      <c r="B446" s="16"/>
      <c r="C446" s="16"/>
      <c r="D446" s="16"/>
      <c r="E446" s="16"/>
      <c r="F446" s="16"/>
      <c r="G446" s="16"/>
      <c r="H446" s="16"/>
      <c r="I446" s="16"/>
      <c r="J446" s="16"/>
      <c r="K446" s="16"/>
    </row>
    <row r="447" spans="2:11" ht="12.75">
      <c r="B447" s="16"/>
      <c r="C447" s="16"/>
      <c r="D447" s="16"/>
      <c r="E447" s="16"/>
      <c r="F447" s="16"/>
      <c r="G447" s="16"/>
      <c r="H447" s="16"/>
      <c r="I447" s="16"/>
      <c r="J447" s="16"/>
      <c r="K447" s="16"/>
    </row>
    <row r="448" spans="2:11" ht="12.75">
      <c r="B448" s="16"/>
      <c r="C448" s="16"/>
      <c r="D448" s="16"/>
      <c r="E448" s="16"/>
      <c r="F448" s="16"/>
      <c r="G448" s="16"/>
      <c r="H448" s="16"/>
      <c r="I448" s="16"/>
      <c r="J448" s="16"/>
      <c r="K448" s="16"/>
    </row>
    <row r="449" spans="2:11" ht="12.75">
      <c r="B449" s="16"/>
      <c r="C449" s="16"/>
      <c r="D449" s="16"/>
      <c r="E449" s="16"/>
      <c r="F449" s="16"/>
      <c r="G449" s="16"/>
      <c r="H449" s="16"/>
      <c r="I449" s="16"/>
      <c r="J449" s="16"/>
      <c r="K449" s="16"/>
    </row>
    <row r="450" spans="2:11" ht="12.75">
      <c r="B450" s="16"/>
      <c r="C450" s="16"/>
      <c r="D450" s="16"/>
      <c r="E450" s="16"/>
      <c r="F450" s="16"/>
      <c r="G450" s="16"/>
      <c r="H450" s="16"/>
      <c r="I450" s="16"/>
      <c r="J450" s="16"/>
      <c r="K450" s="16"/>
    </row>
    <row r="451" spans="2:11" ht="12.75">
      <c r="B451" s="16"/>
      <c r="C451" s="16"/>
      <c r="D451" s="16"/>
      <c r="E451" s="16"/>
      <c r="F451" s="16"/>
      <c r="G451" s="16"/>
      <c r="H451" s="16"/>
      <c r="I451" s="16"/>
      <c r="J451" s="16"/>
      <c r="K451" s="16"/>
    </row>
    <row r="452" spans="2:11" ht="12.75">
      <c r="B452" s="16"/>
      <c r="C452" s="16"/>
      <c r="D452" s="16"/>
      <c r="E452" s="16"/>
      <c r="F452" s="16"/>
      <c r="G452" s="16"/>
      <c r="H452" s="16"/>
      <c r="I452" s="16"/>
      <c r="J452" s="16"/>
      <c r="K452" s="16"/>
    </row>
    <row r="453" spans="2:11" ht="12.75">
      <c r="B453" s="16"/>
      <c r="C453" s="16"/>
      <c r="D453" s="16"/>
      <c r="E453" s="16"/>
      <c r="F453" s="16"/>
      <c r="G453" s="16"/>
      <c r="H453" s="16"/>
      <c r="I453" s="16"/>
      <c r="J453" s="16"/>
      <c r="K453" s="16"/>
    </row>
    <row r="454" spans="2:11" ht="12.75">
      <c r="B454" s="16"/>
      <c r="C454" s="16"/>
      <c r="D454" s="16"/>
      <c r="E454" s="16"/>
      <c r="F454" s="16"/>
      <c r="G454" s="16"/>
      <c r="H454" s="16"/>
      <c r="I454" s="16"/>
      <c r="J454" s="16"/>
      <c r="K454" s="16"/>
    </row>
    <row r="455" spans="2:11" ht="12.75">
      <c r="B455" s="16"/>
      <c r="C455" s="16"/>
      <c r="D455" s="16"/>
      <c r="E455" s="16"/>
      <c r="F455" s="16"/>
      <c r="G455" s="16"/>
      <c r="H455" s="16"/>
      <c r="I455" s="16"/>
      <c r="J455" s="16"/>
      <c r="K455" s="16"/>
    </row>
    <row r="456" spans="2:11" ht="12.75">
      <c r="B456" s="16"/>
      <c r="C456" s="16"/>
      <c r="D456" s="16"/>
      <c r="E456" s="16"/>
      <c r="F456" s="16"/>
      <c r="G456" s="16"/>
      <c r="H456" s="16"/>
      <c r="I456" s="16"/>
      <c r="J456" s="16"/>
      <c r="K456" s="16"/>
    </row>
    <row r="457" spans="2:11" ht="12.75">
      <c r="B457" s="16"/>
      <c r="C457" s="16"/>
      <c r="D457" s="16"/>
      <c r="E457" s="16"/>
      <c r="F457" s="16"/>
      <c r="G457" s="16"/>
      <c r="H457" s="16"/>
      <c r="I457" s="16"/>
      <c r="J457" s="16"/>
      <c r="K457" s="16"/>
    </row>
    <row r="458" spans="2:11" ht="12.75">
      <c r="B458" s="16"/>
      <c r="C458" s="16"/>
      <c r="D458" s="16"/>
      <c r="E458" s="16"/>
      <c r="F458" s="16"/>
      <c r="G458" s="16"/>
      <c r="H458" s="16"/>
      <c r="I458" s="16"/>
      <c r="J458" s="16"/>
      <c r="K458" s="16"/>
    </row>
    <row r="459" spans="2:11" ht="12.75">
      <c r="B459" s="16"/>
      <c r="C459" s="16"/>
      <c r="D459" s="16"/>
      <c r="E459" s="16"/>
      <c r="F459" s="16"/>
      <c r="G459" s="16"/>
      <c r="H459" s="16"/>
      <c r="I459" s="16"/>
      <c r="J459" s="16"/>
      <c r="K459" s="16"/>
    </row>
    <row r="460" spans="2:11" ht="12.75">
      <c r="B460" s="16"/>
      <c r="C460" s="16"/>
      <c r="D460" s="16"/>
      <c r="E460" s="16"/>
      <c r="F460" s="16"/>
      <c r="G460" s="16"/>
      <c r="H460" s="16"/>
      <c r="I460" s="16"/>
      <c r="J460" s="16"/>
      <c r="K460" s="16"/>
    </row>
    <row r="461" spans="2:11" ht="12.75">
      <c r="B461" s="16"/>
      <c r="C461" s="16"/>
      <c r="D461" s="16"/>
      <c r="E461" s="16"/>
      <c r="F461" s="16"/>
      <c r="G461" s="16"/>
      <c r="H461" s="16"/>
      <c r="I461" s="16"/>
      <c r="J461" s="16"/>
      <c r="K461" s="16"/>
    </row>
    <row r="462" spans="2:11" ht="12.75">
      <c r="B462" s="16"/>
      <c r="C462" s="16"/>
      <c r="D462" s="16"/>
      <c r="E462" s="16"/>
      <c r="F462" s="16"/>
      <c r="G462" s="16"/>
      <c r="H462" s="16"/>
      <c r="I462" s="16"/>
      <c r="J462" s="16"/>
      <c r="K462" s="16"/>
    </row>
    <row r="463" spans="2:11" ht="12.75">
      <c r="B463" s="16"/>
      <c r="C463" s="16"/>
      <c r="D463" s="16"/>
      <c r="E463" s="16"/>
      <c r="F463" s="16"/>
      <c r="G463" s="16"/>
      <c r="H463" s="16"/>
      <c r="I463" s="16"/>
      <c r="J463" s="16"/>
      <c r="K463" s="16"/>
    </row>
    <row r="464" spans="2:11" ht="12.75">
      <c r="B464" s="16"/>
      <c r="C464" s="16"/>
      <c r="D464" s="16"/>
      <c r="E464" s="16"/>
      <c r="F464" s="16"/>
      <c r="G464" s="16"/>
      <c r="H464" s="16"/>
      <c r="I464" s="16"/>
      <c r="J464" s="16"/>
      <c r="K464" s="16"/>
    </row>
    <row r="465" spans="2:11" ht="12.75">
      <c r="B465" s="16"/>
      <c r="C465" s="16"/>
      <c r="D465" s="16"/>
      <c r="E465" s="16"/>
      <c r="F465" s="16"/>
      <c r="G465" s="16"/>
      <c r="H465" s="16"/>
      <c r="I465" s="16"/>
      <c r="J465" s="16"/>
      <c r="K465" s="16"/>
    </row>
    <row r="466" spans="2:11" ht="12.75">
      <c r="B466" s="16"/>
      <c r="C466" s="16"/>
      <c r="D466" s="16"/>
      <c r="E466" s="16"/>
      <c r="F466" s="16"/>
      <c r="G466" s="16"/>
      <c r="H466" s="16"/>
      <c r="I466" s="16"/>
      <c r="J466" s="16"/>
      <c r="K466" s="16"/>
    </row>
    <row r="467" spans="2:11" ht="12.75">
      <c r="B467" s="16"/>
      <c r="C467" s="16"/>
      <c r="D467" s="16"/>
      <c r="E467" s="16"/>
      <c r="F467" s="16"/>
      <c r="G467" s="16"/>
      <c r="H467" s="16"/>
      <c r="I467" s="16"/>
      <c r="J467" s="16"/>
      <c r="K467" s="16"/>
    </row>
    <row r="468" spans="2:11" ht="12.75">
      <c r="B468" s="16"/>
      <c r="C468" s="16"/>
      <c r="D468" s="16"/>
      <c r="E468" s="16"/>
      <c r="F468" s="16"/>
      <c r="G468" s="16"/>
      <c r="H468" s="16"/>
      <c r="I468" s="16"/>
      <c r="J468" s="16"/>
      <c r="K468" s="16"/>
    </row>
    <row r="469" spans="2:11" ht="12.75">
      <c r="B469" s="16"/>
      <c r="C469" s="16"/>
      <c r="D469" s="16"/>
      <c r="E469" s="16"/>
      <c r="F469" s="16"/>
      <c r="G469" s="16"/>
      <c r="H469" s="16"/>
      <c r="I469" s="16"/>
      <c r="J469" s="16"/>
      <c r="K469" s="16"/>
    </row>
    <row r="470" spans="2:11" ht="12.75">
      <c r="B470" s="16"/>
      <c r="C470" s="16"/>
      <c r="D470" s="16"/>
      <c r="E470" s="16"/>
      <c r="F470" s="16"/>
      <c r="G470" s="16"/>
      <c r="H470" s="16"/>
      <c r="I470" s="16"/>
      <c r="J470" s="16"/>
      <c r="K470" s="16"/>
    </row>
    <row r="471" spans="2:11" ht="12.75">
      <c r="B471" s="16"/>
      <c r="C471" s="16"/>
      <c r="D471" s="16"/>
      <c r="E471" s="16"/>
      <c r="F471" s="16"/>
      <c r="G471" s="16"/>
      <c r="H471" s="16"/>
      <c r="I471" s="16"/>
      <c r="J471" s="16"/>
      <c r="K471" s="16"/>
    </row>
    <row r="472" spans="2:11" ht="12.75">
      <c r="B472" s="16"/>
      <c r="C472" s="16"/>
      <c r="D472" s="16"/>
      <c r="E472" s="16"/>
      <c r="F472" s="16"/>
      <c r="G472" s="16"/>
      <c r="H472" s="16"/>
      <c r="I472" s="16"/>
      <c r="J472" s="16"/>
      <c r="K472" s="16"/>
    </row>
    <row r="473" spans="2:11" ht="12.75">
      <c r="B473" s="16"/>
      <c r="C473" s="16"/>
      <c r="D473" s="16"/>
      <c r="E473" s="16"/>
      <c r="F473" s="16"/>
      <c r="G473" s="16"/>
      <c r="H473" s="16"/>
      <c r="I473" s="16"/>
      <c r="J473" s="16"/>
      <c r="K473" s="16"/>
    </row>
    <row r="474" spans="2:11" ht="12.75">
      <c r="B474" s="16"/>
      <c r="C474" s="16"/>
      <c r="D474" s="16"/>
      <c r="E474" s="16"/>
      <c r="F474" s="16"/>
      <c r="G474" s="16"/>
      <c r="H474" s="16"/>
      <c r="I474" s="16"/>
      <c r="J474" s="16"/>
      <c r="K474" s="16"/>
    </row>
    <row r="475" spans="2:11" ht="12.75">
      <c r="B475" s="16"/>
      <c r="C475" s="16"/>
      <c r="D475" s="16"/>
      <c r="E475" s="16"/>
      <c r="F475" s="16"/>
      <c r="G475" s="16"/>
      <c r="H475" s="16"/>
      <c r="I475" s="16"/>
      <c r="J475" s="16"/>
      <c r="K475" s="16"/>
    </row>
    <row r="476" spans="2:11" ht="12.75">
      <c r="B476" s="16"/>
      <c r="C476" s="16"/>
      <c r="D476" s="16"/>
      <c r="E476" s="16"/>
      <c r="F476" s="16"/>
      <c r="G476" s="16"/>
      <c r="H476" s="16"/>
      <c r="I476" s="16"/>
      <c r="J476" s="16"/>
      <c r="K476" s="16"/>
    </row>
    <row r="477" spans="2:11" ht="12.75">
      <c r="B477" s="16"/>
      <c r="C477" s="16"/>
      <c r="D477" s="16"/>
      <c r="E477" s="16"/>
      <c r="F477" s="16"/>
      <c r="G477" s="16"/>
      <c r="H477" s="16"/>
      <c r="I477" s="16"/>
      <c r="J477" s="16"/>
      <c r="K477" s="16"/>
    </row>
    <row r="478" spans="2:11" ht="12.75">
      <c r="B478" s="16"/>
      <c r="C478" s="16"/>
      <c r="D478" s="16"/>
      <c r="E478" s="16"/>
      <c r="F478" s="16"/>
      <c r="G478" s="16"/>
      <c r="H478" s="16"/>
      <c r="I478" s="16"/>
      <c r="J478" s="16"/>
      <c r="K478" s="16"/>
    </row>
    <row r="479" spans="2:11" ht="12.75">
      <c r="B479" s="16"/>
      <c r="C479" s="16"/>
      <c r="D479" s="16"/>
      <c r="E479" s="16"/>
      <c r="F479" s="16"/>
      <c r="G479" s="16"/>
      <c r="H479" s="16"/>
      <c r="I479" s="16"/>
      <c r="J479" s="16"/>
      <c r="K479" s="16"/>
    </row>
    <row r="480" spans="2:11" ht="12.75">
      <c r="B480" s="16"/>
      <c r="C480" s="16"/>
      <c r="D480" s="16"/>
      <c r="E480" s="16"/>
      <c r="F480" s="16"/>
      <c r="G480" s="16"/>
      <c r="H480" s="16"/>
      <c r="I480" s="16"/>
      <c r="J480" s="16"/>
      <c r="K480" s="16"/>
    </row>
    <row r="481" spans="2:11" ht="12.75">
      <c r="B481" s="16"/>
      <c r="C481" s="16"/>
      <c r="D481" s="16"/>
      <c r="E481" s="16"/>
      <c r="F481" s="16"/>
      <c r="G481" s="16"/>
      <c r="H481" s="16"/>
      <c r="I481" s="16"/>
      <c r="J481" s="16"/>
      <c r="K481" s="16"/>
    </row>
    <row r="482" spans="2:11" ht="12.75">
      <c r="B482" s="16"/>
      <c r="C482" s="16"/>
      <c r="D482" s="16"/>
      <c r="E482" s="16"/>
      <c r="F482" s="16"/>
      <c r="G482" s="16"/>
      <c r="H482" s="16"/>
      <c r="I482" s="16"/>
      <c r="J482" s="16"/>
      <c r="K482" s="16"/>
    </row>
    <row r="483" spans="2:11" ht="12.75">
      <c r="B483" s="16"/>
      <c r="C483" s="16"/>
      <c r="D483" s="16"/>
      <c r="E483" s="16"/>
      <c r="F483" s="16"/>
      <c r="G483" s="16"/>
      <c r="H483" s="16"/>
      <c r="I483" s="16"/>
      <c r="J483" s="16"/>
      <c r="K483" s="16"/>
    </row>
    <row r="484" spans="2:11" ht="12.75">
      <c r="B484" s="16"/>
      <c r="C484" s="16"/>
      <c r="D484" s="16"/>
      <c r="E484" s="16"/>
      <c r="F484" s="16"/>
      <c r="G484" s="16"/>
      <c r="H484" s="16"/>
      <c r="I484" s="16"/>
      <c r="J484" s="16"/>
      <c r="K484" s="16"/>
    </row>
    <row r="485" spans="2:11" ht="12.75">
      <c r="B485" s="16"/>
      <c r="C485" s="16"/>
      <c r="D485" s="16"/>
      <c r="E485" s="16"/>
      <c r="F485" s="16"/>
      <c r="G485" s="16"/>
      <c r="H485" s="16"/>
      <c r="I485" s="16"/>
      <c r="J485" s="16"/>
      <c r="K485" s="16"/>
    </row>
    <row r="486" spans="2:11" ht="12.75">
      <c r="B486" s="16"/>
      <c r="C486" s="16"/>
      <c r="D486" s="16"/>
      <c r="E486" s="16"/>
      <c r="F486" s="16"/>
      <c r="G486" s="16"/>
      <c r="H486" s="16"/>
      <c r="I486" s="16"/>
      <c r="J486" s="16"/>
      <c r="K486" s="16"/>
    </row>
    <row r="487" spans="2:11" ht="12.75">
      <c r="B487" s="16"/>
      <c r="C487" s="16"/>
      <c r="D487" s="16"/>
      <c r="E487" s="16"/>
      <c r="F487" s="16"/>
      <c r="G487" s="16"/>
      <c r="H487" s="16"/>
      <c r="I487" s="16"/>
      <c r="J487" s="16"/>
      <c r="K487" s="16"/>
    </row>
    <row r="488" spans="2:11" ht="12.75">
      <c r="B488" s="16"/>
      <c r="C488" s="16"/>
      <c r="D488" s="16"/>
      <c r="E488" s="16"/>
      <c r="F488" s="16"/>
      <c r="G488" s="16"/>
      <c r="H488" s="16"/>
      <c r="I488" s="16"/>
      <c r="J488" s="16"/>
      <c r="K488" s="16"/>
    </row>
    <row r="489" spans="2:11" ht="12.75">
      <c r="B489" s="16"/>
      <c r="C489" s="16"/>
      <c r="D489" s="16"/>
      <c r="E489" s="16"/>
      <c r="F489" s="16"/>
      <c r="G489" s="16"/>
      <c r="H489" s="16"/>
      <c r="I489" s="16"/>
      <c r="J489" s="16"/>
      <c r="K489" s="16"/>
    </row>
    <row r="490" spans="2:11" ht="12.75">
      <c r="B490" s="16"/>
      <c r="C490" s="16"/>
      <c r="D490" s="16"/>
      <c r="E490" s="16"/>
      <c r="F490" s="16"/>
      <c r="G490" s="16"/>
      <c r="H490" s="16"/>
      <c r="I490" s="16"/>
      <c r="J490" s="16"/>
      <c r="K490" s="16"/>
    </row>
    <row r="491" spans="2:11" ht="12.75">
      <c r="B491" s="16"/>
      <c r="C491" s="16"/>
      <c r="D491" s="16"/>
      <c r="E491" s="16"/>
      <c r="F491" s="16"/>
      <c r="G491" s="16"/>
      <c r="H491" s="16"/>
      <c r="I491" s="16"/>
      <c r="J491" s="16"/>
      <c r="K491" s="16"/>
    </row>
    <row r="492" spans="2:11" ht="12.75">
      <c r="B492" s="16"/>
      <c r="C492" s="16"/>
      <c r="D492" s="16"/>
      <c r="E492" s="16"/>
      <c r="F492" s="16"/>
      <c r="G492" s="16"/>
      <c r="H492" s="16"/>
      <c r="I492" s="16"/>
      <c r="J492" s="16"/>
      <c r="K492" s="16"/>
    </row>
    <row r="493" spans="2:11" ht="12.75">
      <c r="B493" s="16"/>
      <c r="C493" s="16"/>
      <c r="D493" s="16"/>
      <c r="E493" s="16"/>
      <c r="F493" s="16"/>
      <c r="G493" s="16"/>
      <c r="H493" s="16"/>
      <c r="I493" s="16"/>
      <c r="J493" s="16"/>
      <c r="K493" s="16"/>
    </row>
    <row r="494" spans="2:11" ht="12.75">
      <c r="B494" s="16"/>
      <c r="C494" s="16"/>
      <c r="D494" s="16"/>
      <c r="E494" s="16"/>
      <c r="F494" s="16"/>
      <c r="G494" s="16"/>
      <c r="H494" s="16"/>
      <c r="I494" s="16"/>
      <c r="J494" s="16"/>
      <c r="K494" s="16"/>
    </row>
    <row r="495" spans="2:11" ht="12.75">
      <c r="B495" s="16"/>
      <c r="C495" s="16"/>
      <c r="D495" s="16"/>
      <c r="E495" s="16"/>
      <c r="F495" s="16"/>
      <c r="G495" s="16"/>
      <c r="H495" s="16"/>
      <c r="I495" s="16"/>
      <c r="J495" s="16"/>
      <c r="K495" s="16"/>
    </row>
    <row r="496" spans="2:11" ht="12.75">
      <c r="B496" s="16"/>
      <c r="C496" s="16"/>
      <c r="D496" s="16"/>
      <c r="E496" s="16"/>
      <c r="F496" s="16"/>
      <c r="G496" s="16"/>
      <c r="H496" s="16"/>
      <c r="I496" s="16"/>
      <c r="J496" s="16"/>
      <c r="K496" s="16"/>
    </row>
    <row r="497" spans="2:11" ht="12.75">
      <c r="B497" s="16"/>
      <c r="C497" s="16"/>
      <c r="D497" s="16"/>
      <c r="E497" s="16"/>
      <c r="F497" s="16"/>
      <c r="G497" s="16"/>
      <c r="H497" s="16"/>
      <c r="I497" s="16"/>
      <c r="J497" s="16"/>
      <c r="K497" s="16"/>
    </row>
    <row r="498" spans="2:11" ht="12.75">
      <c r="B498" s="16"/>
      <c r="C498" s="16"/>
      <c r="D498" s="16"/>
      <c r="E498" s="16"/>
      <c r="F498" s="16"/>
      <c r="G498" s="16"/>
      <c r="H498" s="16"/>
      <c r="I498" s="16"/>
      <c r="J498" s="16"/>
      <c r="K498" s="16"/>
    </row>
    <row r="499" spans="2:11" ht="12.75">
      <c r="B499" s="16"/>
      <c r="C499" s="16"/>
      <c r="D499" s="16"/>
      <c r="E499" s="16"/>
      <c r="F499" s="16"/>
      <c r="G499" s="16"/>
      <c r="H499" s="16"/>
      <c r="I499" s="16"/>
      <c r="J499" s="16"/>
      <c r="K499" s="16"/>
    </row>
    <row r="500" spans="2:11" ht="12.75">
      <c r="B500" s="16"/>
      <c r="C500" s="16"/>
      <c r="D500" s="16"/>
      <c r="E500" s="16"/>
      <c r="F500" s="16"/>
      <c r="G500" s="16"/>
      <c r="H500" s="16"/>
      <c r="I500" s="16"/>
      <c r="J500" s="16"/>
      <c r="K500" s="16"/>
    </row>
    <row r="501" spans="2:11" ht="12.75">
      <c r="B501" s="16"/>
      <c r="C501" s="16"/>
      <c r="D501" s="16"/>
      <c r="E501" s="16"/>
      <c r="F501" s="16"/>
      <c r="G501" s="16"/>
      <c r="H501" s="16"/>
      <c r="I501" s="16"/>
      <c r="J501" s="16"/>
      <c r="K501" s="16"/>
    </row>
    <row r="502" spans="2:11" ht="12.75">
      <c r="B502" s="16"/>
      <c r="C502" s="16"/>
      <c r="D502" s="16"/>
      <c r="E502" s="16"/>
      <c r="F502" s="16"/>
      <c r="G502" s="16"/>
      <c r="H502" s="16"/>
      <c r="I502" s="16"/>
      <c r="J502" s="16"/>
      <c r="K502" s="16"/>
    </row>
    <row r="503" spans="2:11" ht="12.75">
      <c r="B503" s="16"/>
      <c r="C503" s="16"/>
      <c r="D503" s="16"/>
      <c r="E503" s="16"/>
      <c r="F503" s="16"/>
      <c r="G503" s="16"/>
      <c r="H503" s="16"/>
      <c r="I503" s="16"/>
      <c r="J503" s="16"/>
      <c r="K503" s="16"/>
    </row>
    <row r="504" spans="2:11" ht="12.75">
      <c r="B504" s="16"/>
      <c r="C504" s="16"/>
      <c r="D504" s="16"/>
      <c r="E504" s="16"/>
      <c r="F504" s="16"/>
      <c r="G504" s="16"/>
      <c r="H504" s="16"/>
      <c r="I504" s="16"/>
      <c r="J504" s="16"/>
      <c r="K504" s="16"/>
    </row>
    <row r="505" spans="2:11" ht="12.75">
      <c r="B505" s="16"/>
      <c r="C505" s="16"/>
      <c r="D505" s="16"/>
      <c r="E505" s="16"/>
      <c r="F505" s="16"/>
      <c r="G505" s="16"/>
      <c r="H505" s="16"/>
      <c r="I505" s="16"/>
      <c r="J505" s="16"/>
      <c r="K505" s="16"/>
    </row>
    <row r="506" spans="2:11" ht="12.75">
      <c r="B506" s="16"/>
      <c r="C506" s="16"/>
      <c r="D506" s="16"/>
      <c r="E506" s="16"/>
      <c r="F506" s="16"/>
      <c r="G506" s="16"/>
      <c r="H506" s="16"/>
      <c r="I506" s="16"/>
      <c r="J506" s="16"/>
      <c r="K506" s="16"/>
    </row>
    <row r="507" spans="2:11" ht="12.75">
      <c r="B507" s="16"/>
      <c r="C507" s="16"/>
      <c r="D507" s="16"/>
      <c r="E507" s="16"/>
      <c r="F507" s="16"/>
      <c r="G507" s="16"/>
      <c r="H507" s="16"/>
      <c r="I507" s="16"/>
      <c r="J507" s="16"/>
      <c r="K507" s="16"/>
    </row>
    <row r="508" spans="2:11" ht="12.75">
      <c r="B508" s="16"/>
      <c r="C508" s="16"/>
      <c r="D508" s="16"/>
      <c r="E508" s="16"/>
      <c r="F508" s="16"/>
      <c r="G508" s="16"/>
      <c r="H508" s="16"/>
      <c r="I508" s="16"/>
      <c r="J508" s="16"/>
      <c r="K508" s="16"/>
    </row>
    <row r="509" spans="2:11" ht="12.75">
      <c r="B509" s="16"/>
      <c r="C509" s="16"/>
      <c r="D509" s="16"/>
      <c r="E509" s="16"/>
      <c r="F509" s="16"/>
      <c r="G509" s="16"/>
      <c r="H509" s="16"/>
      <c r="I509" s="16"/>
      <c r="J509" s="16"/>
      <c r="K509" s="16"/>
    </row>
    <row r="510" spans="2:11" ht="12.75">
      <c r="B510" s="16"/>
      <c r="C510" s="16"/>
      <c r="D510" s="16"/>
      <c r="E510" s="16"/>
      <c r="F510" s="16"/>
      <c r="G510" s="16"/>
      <c r="H510" s="16"/>
      <c r="I510" s="16"/>
      <c r="J510" s="16"/>
      <c r="K510" s="16"/>
    </row>
    <row r="511" spans="2:11" ht="12.75">
      <c r="B511" s="16"/>
      <c r="C511" s="16"/>
      <c r="D511" s="16"/>
      <c r="E511" s="16"/>
      <c r="F511" s="16"/>
      <c r="G511" s="16"/>
      <c r="H511" s="16"/>
      <c r="I511" s="16"/>
      <c r="J511" s="16"/>
      <c r="K511" s="16"/>
    </row>
    <row r="512" spans="2:11" ht="12.75">
      <c r="B512" s="16"/>
      <c r="C512" s="16"/>
      <c r="D512" s="16"/>
      <c r="E512" s="16"/>
      <c r="F512" s="16"/>
      <c r="G512" s="16"/>
      <c r="H512" s="16"/>
      <c r="I512" s="16"/>
      <c r="J512" s="16"/>
      <c r="K512" s="16"/>
    </row>
    <row r="513" spans="2:11" ht="12.75">
      <c r="B513" s="16"/>
      <c r="C513" s="16"/>
      <c r="D513" s="16"/>
      <c r="E513" s="16"/>
      <c r="F513" s="16"/>
      <c r="G513" s="16"/>
      <c r="H513" s="16"/>
      <c r="I513" s="16"/>
      <c r="J513" s="16"/>
      <c r="K513" s="16"/>
    </row>
    <row r="514" spans="2:11" ht="12.75">
      <c r="B514" s="16"/>
      <c r="C514" s="16"/>
      <c r="D514" s="16"/>
      <c r="E514" s="16"/>
      <c r="F514" s="16"/>
      <c r="G514" s="16"/>
      <c r="H514" s="16"/>
      <c r="I514" s="16"/>
      <c r="J514" s="16"/>
      <c r="K514" s="16"/>
    </row>
    <row r="515" spans="2:11" ht="12.75">
      <c r="B515" s="16"/>
      <c r="C515" s="16"/>
      <c r="D515" s="16"/>
      <c r="E515" s="16"/>
      <c r="F515" s="16"/>
      <c r="G515" s="16"/>
      <c r="H515" s="16"/>
      <c r="I515" s="16"/>
      <c r="J515" s="16"/>
      <c r="K515" s="16"/>
    </row>
    <row r="516" spans="2:11" ht="12.75">
      <c r="B516" s="16"/>
      <c r="C516" s="16"/>
      <c r="D516" s="16"/>
      <c r="E516" s="16"/>
      <c r="F516" s="16"/>
      <c r="G516" s="16"/>
      <c r="H516" s="16"/>
      <c r="I516" s="16"/>
      <c r="J516" s="16"/>
      <c r="K516" s="16"/>
    </row>
    <row r="517" spans="2:11" ht="12.75">
      <c r="B517" s="16"/>
      <c r="C517" s="16"/>
      <c r="D517" s="16"/>
      <c r="E517" s="16"/>
      <c r="F517" s="16"/>
      <c r="G517" s="16"/>
      <c r="H517" s="16"/>
      <c r="I517" s="16"/>
      <c r="J517" s="16"/>
      <c r="K517" s="16"/>
    </row>
    <row r="518" spans="2:11" ht="12.75">
      <c r="B518" s="16"/>
      <c r="C518" s="16"/>
      <c r="D518" s="16"/>
      <c r="E518" s="16"/>
      <c r="F518" s="16"/>
      <c r="G518" s="16"/>
      <c r="H518" s="16"/>
      <c r="I518" s="16"/>
      <c r="J518" s="16"/>
      <c r="K518" s="16"/>
    </row>
    <row r="519" spans="2:11" ht="12.75">
      <c r="B519" s="16"/>
      <c r="C519" s="16"/>
      <c r="D519" s="16"/>
      <c r="E519" s="16"/>
      <c r="F519" s="16"/>
      <c r="G519" s="16"/>
      <c r="H519" s="16"/>
      <c r="I519" s="16"/>
      <c r="J519" s="16"/>
      <c r="K519" s="16"/>
    </row>
    <row r="520" spans="2:11" ht="12.75">
      <c r="B520" s="16"/>
      <c r="C520" s="16"/>
      <c r="D520" s="16"/>
      <c r="E520" s="16"/>
      <c r="F520" s="16"/>
      <c r="G520" s="16"/>
      <c r="H520" s="16"/>
      <c r="I520" s="16"/>
      <c r="J520" s="16"/>
      <c r="K520" s="16"/>
    </row>
    <row r="521" spans="2:11" ht="12.75">
      <c r="B521" s="16"/>
      <c r="C521" s="16"/>
      <c r="D521" s="16"/>
      <c r="E521" s="16"/>
      <c r="F521" s="16"/>
      <c r="G521" s="16"/>
      <c r="H521" s="16"/>
      <c r="I521" s="16"/>
      <c r="J521" s="16"/>
      <c r="K521" s="16"/>
    </row>
    <row r="522" spans="2:11" ht="12.75">
      <c r="B522" s="16"/>
      <c r="C522" s="16"/>
      <c r="D522" s="16"/>
      <c r="E522" s="16"/>
      <c r="F522" s="16"/>
      <c r="G522" s="16"/>
      <c r="H522" s="16"/>
      <c r="I522" s="16"/>
      <c r="J522" s="16"/>
      <c r="K522" s="16"/>
    </row>
    <row r="523" spans="2:11" ht="12.75">
      <c r="B523" s="16"/>
      <c r="C523" s="16"/>
      <c r="D523" s="16"/>
      <c r="E523" s="16"/>
      <c r="F523" s="16"/>
      <c r="G523" s="16"/>
      <c r="H523" s="16"/>
      <c r="I523" s="16"/>
      <c r="J523" s="16"/>
      <c r="K523" s="16"/>
    </row>
  </sheetData>
  <sheetProtection/>
  <mergeCells count="6">
    <mergeCell ref="L16:N16"/>
    <mergeCell ref="L28:N28"/>
    <mergeCell ref="B6:C6"/>
    <mergeCell ref="D6:E6"/>
    <mergeCell ref="B16:K16"/>
    <mergeCell ref="B28:K28"/>
  </mergeCells>
  <printOptions/>
  <pageMargins left="0.75" right="0.75" top="1" bottom="1" header="0.5" footer="0.5"/>
  <pageSetup fitToHeight="2" horizontalDpi="600" verticalDpi="600" orientation="landscape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3.28125" style="0" bestFit="1" customWidth="1"/>
    <col min="2" max="2" width="14.421875" style="0" bestFit="1" customWidth="1"/>
    <col min="3" max="4" width="13.28125" style="0" bestFit="1" customWidth="1"/>
    <col min="5" max="5" width="12.140625" style="0" bestFit="1" customWidth="1"/>
    <col min="6" max="9" width="13.28125" style="0" bestFit="1" customWidth="1"/>
    <col min="10" max="10" width="12.140625" style="0" bestFit="1" customWidth="1"/>
    <col min="11" max="11" width="13.28125" style="0" bestFit="1" customWidth="1"/>
    <col min="12" max="12" width="14.421875" style="0" bestFit="1" customWidth="1"/>
    <col min="13" max="15" width="13.28125" style="0" bestFit="1" customWidth="1"/>
    <col min="16" max="16" width="11.57421875" style="0" bestFit="1" customWidth="1"/>
  </cols>
  <sheetData>
    <row r="1" ht="21">
      <c r="A1" s="10" t="s">
        <v>39</v>
      </c>
    </row>
    <row r="3" spans="1:2" ht="15">
      <c r="A3" s="2" t="s">
        <v>40</v>
      </c>
      <c r="B3" s="63" t="s">
        <v>35</v>
      </c>
    </row>
    <row r="4" spans="1:2" ht="15">
      <c r="A4" s="2" t="s">
        <v>69</v>
      </c>
      <c r="B4" s="63" t="s">
        <v>38</v>
      </c>
    </row>
    <row r="6" spans="1:5" ht="15">
      <c r="A6" s="2"/>
      <c r="B6" s="84" t="s">
        <v>42</v>
      </c>
      <c r="C6" s="84"/>
      <c r="D6" s="84" t="s">
        <v>45</v>
      </c>
      <c r="E6" s="84"/>
    </row>
    <row r="7" spans="1:5" ht="15">
      <c r="A7" s="2" t="s">
        <v>41</v>
      </c>
      <c r="B7" s="3" t="s">
        <v>43</v>
      </c>
      <c r="C7" s="3" t="s">
        <v>44</v>
      </c>
      <c r="D7" s="3" t="s">
        <v>43</v>
      </c>
      <c r="E7" s="3" t="s">
        <v>44</v>
      </c>
    </row>
    <row r="8" spans="1:5" ht="15">
      <c r="A8" t="s">
        <v>46</v>
      </c>
      <c r="B8" s="4">
        <v>0</v>
      </c>
      <c r="C8" s="9">
        <v>0</v>
      </c>
      <c r="D8" s="4">
        <v>0</v>
      </c>
      <c r="E8" s="38">
        <v>0.0038</v>
      </c>
    </row>
    <row r="9" spans="1:5" ht="15">
      <c r="A9" t="s">
        <v>47</v>
      </c>
      <c r="B9" s="4">
        <v>0</v>
      </c>
      <c r="C9" s="9">
        <v>0</v>
      </c>
      <c r="D9" s="4">
        <v>0</v>
      </c>
      <c r="E9" s="38">
        <v>0.003</v>
      </c>
    </row>
    <row r="10" spans="1:5" ht="15">
      <c r="A10" t="s">
        <v>48</v>
      </c>
      <c r="B10" s="4">
        <v>0</v>
      </c>
      <c r="C10" s="9">
        <v>0</v>
      </c>
      <c r="D10" s="4">
        <v>0</v>
      </c>
      <c r="E10" s="38">
        <v>0.6013</v>
      </c>
    </row>
    <row r="11" spans="1:5" ht="15">
      <c r="A11" t="s">
        <v>49</v>
      </c>
      <c r="B11" s="4">
        <v>0</v>
      </c>
      <c r="C11" s="9">
        <v>0</v>
      </c>
      <c r="D11" s="4">
        <v>0</v>
      </c>
      <c r="E11" s="38">
        <v>1.61</v>
      </c>
    </row>
    <row r="12" spans="1:5" ht="15">
      <c r="A12" t="s">
        <v>50</v>
      </c>
      <c r="B12" s="4">
        <v>0</v>
      </c>
      <c r="C12" s="9">
        <v>0</v>
      </c>
      <c r="D12" s="4">
        <v>0</v>
      </c>
      <c r="E12" s="38">
        <v>0.51</v>
      </c>
    </row>
    <row r="13" spans="1:5" ht="15">
      <c r="A13" t="s">
        <v>112</v>
      </c>
      <c r="B13" s="4">
        <v>0</v>
      </c>
      <c r="C13" s="9">
        <v>0</v>
      </c>
      <c r="D13" s="4">
        <v>0</v>
      </c>
      <c r="E13" s="9">
        <f>E9</f>
        <v>0.003</v>
      </c>
    </row>
    <row r="15" ht="21">
      <c r="A15" s="10" t="s">
        <v>70</v>
      </c>
    </row>
    <row r="16" spans="2:16" ht="18.75">
      <c r="B16" s="83">
        <v>2005</v>
      </c>
      <c r="C16" s="83"/>
      <c r="D16" s="83"/>
      <c r="E16" s="83"/>
      <c r="F16" s="83"/>
      <c r="G16" s="83"/>
      <c r="H16" s="83"/>
      <c r="I16" s="83"/>
      <c r="J16" s="83"/>
      <c r="K16" s="83"/>
      <c r="L16" s="85">
        <v>2006</v>
      </c>
      <c r="M16" s="85"/>
      <c r="N16" s="85"/>
      <c r="O16" s="85"/>
      <c r="P16" s="85"/>
    </row>
    <row r="17" spans="1:16" ht="15">
      <c r="A17" s="2" t="str">
        <f aca="true" t="shared" si="0" ref="A17:A23">A7</f>
        <v>Rate Class</v>
      </c>
      <c r="B17" s="1" t="s">
        <v>9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51</v>
      </c>
      <c r="H17" s="1" t="s">
        <v>52</v>
      </c>
      <c r="I17" s="1" t="s">
        <v>53</v>
      </c>
      <c r="J17" s="1" t="s">
        <v>54</v>
      </c>
      <c r="K17" s="1" t="s">
        <v>55</v>
      </c>
      <c r="L17" s="1" t="s">
        <v>56</v>
      </c>
      <c r="M17" s="1" t="s">
        <v>57</v>
      </c>
      <c r="N17" s="1" t="s">
        <v>58</v>
      </c>
      <c r="O17" s="1" t="s">
        <v>59</v>
      </c>
      <c r="P17" s="1" t="s">
        <v>17</v>
      </c>
    </row>
    <row r="18" spans="1:16" ht="15">
      <c r="A18" t="str">
        <f t="shared" si="0"/>
        <v>Residential</v>
      </c>
      <c r="B18" s="11">
        <v>0</v>
      </c>
      <c r="C18" s="11">
        <v>241068</v>
      </c>
      <c r="D18" s="11">
        <v>11431927</v>
      </c>
      <c r="E18" s="11">
        <v>15718221</v>
      </c>
      <c r="F18" s="11">
        <v>21782091</v>
      </c>
      <c r="G18" s="11">
        <v>27536834</v>
      </c>
      <c r="H18" s="11">
        <v>24121711</v>
      </c>
      <c r="I18" s="11">
        <v>18767149</v>
      </c>
      <c r="J18" s="11">
        <v>16775593</v>
      </c>
      <c r="K18" s="11">
        <v>18113157</v>
      </c>
      <c r="L18" s="11">
        <v>20778029</v>
      </c>
      <c r="M18" s="11">
        <v>21142363</v>
      </c>
      <c r="N18" s="11">
        <v>18945779</v>
      </c>
      <c r="O18" s="11">
        <v>17670446</v>
      </c>
      <c r="P18" s="11">
        <v>17520596</v>
      </c>
    </row>
    <row r="19" spans="1:16" ht="15">
      <c r="A19" t="str">
        <f t="shared" si="0"/>
        <v>General Service &lt; 50 kW</v>
      </c>
      <c r="B19" s="11">
        <v>0</v>
      </c>
      <c r="C19" s="11">
        <v>68889</v>
      </c>
      <c r="D19" s="11">
        <v>7138763</v>
      </c>
      <c r="E19" s="11">
        <v>8272837</v>
      </c>
      <c r="F19" s="11">
        <v>8311006</v>
      </c>
      <c r="G19" s="11">
        <v>8670348</v>
      </c>
      <c r="H19" s="11">
        <v>8046128</v>
      </c>
      <c r="I19" s="11">
        <v>7697466</v>
      </c>
      <c r="J19" s="11">
        <v>6732784</v>
      </c>
      <c r="K19" s="11">
        <v>7528136</v>
      </c>
      <c r="L19" s="11">
        <v>7838188</v>
      </c>
      <c r="M19" s="11">
        <v>7353936</v>
      </c>
      <c r="N19" s="11">
        <v>7249528</v>
      </c>
      <c r="O19" s="11">
        <v>6988673</v>
      </c>
      <c r="P19" s="11">
        <v>7494869</v>
      </c>
    </row>
    <row r="20" spans="1:16" ht="15">
      <c r="A20" t="str">
        <f t="shared" si="0"/>
        <v>General Service &gt; 50 kW</v>
      </c>
      <c r="B20" s="11">
        <v>0</v>
      </c>
      <c r="C20" s="11">
        <v>0</v>
      </c>
      <c r="D20" s="11">
        <v>62346.6</v>
      </c>
      <c r="E20" s="11">
        <v>68547.6</v>
      </c>
      <c r="F20" s="11">
        <v>79158.1</v>
      </c>
      <c r="G20" s="11">
        <v>78425.4</v>
      </c>
      <c r="H20" s="11">
        <v>76054.7</v>
      </c>
      <c r="I20" s="11">
        <v>75488.2</v>
      </c>
      <c r="J20" s="11">
        <v>73726.9</v>
      </c>
      <c r="K20" s="11">
        <v>68743.8</v>
      </c>
      <c r="L20" s="11">
        <v>68964.7</v>
      </c>
      <c r="M20" s="11">
        <v>69942.9</v>
      </c>
      <c r="N20" s="11">
        <v>69699.7</v>
      </c>
      <c r="O20" s="11">
        <v>69421.7</v>
      </c>
      <c r="P20" s="11">
        <v>69432.8</v>
      </c>
    </row>
    <row r="21" spans="1:16" ht="15">
      <c r="A21" t="str">
        <f t="shared" si="0"/>
        <v>Sentinel Lights</v>
      </c>
      <c r="B21" s="11">
        <v>0</v>
      </c>
      <c r="C21" s="11">
        <v>70</v>
      </c>
      <c r="D21" s="11">
        <v>70</v>
      </c>
      <c r="E21" s="11">
        <v>70</v>
      </c>
      <c r="F21" s="11">
        <v>70</v>
      </c>
      <c r="G21" s="11">
        <v>70</v>
      </c>
      <c r="H21" s="11">
        <v>70</v>
      </c>
      <c r="I21" s="11">
        <v>70</v>
      </c>
      <c r="J21" s="11">
        <v>70</v>
      </c>
      <c r="K21" s="11">
        <v>70</v>
      </c>
      <c r="L21" s="11">
        <v>70</v>
      </c>
      <c r="M21" s="11">
        <v>70</v>
      </c>
      <c r="N21" s="11">
        <v>70</v>
      </c>
      <c r="O21" s="11">
        <v>70</v>
      </c>
      <c r="P21" s="11">
        <v>70</v>
      </c>
    </row>
    <row r="22" spans="1:16" ht="15">
      <c r="A22" t="str">
        <f t="shared" si="0"/>
        <v>Street Lights</v>
      </c>
      <c r="B22" s="11">
        <v>0</v>
      </c>
      <c r="C22" s="11">
        <v>800</v>
      </c>
      <c r="D22" s="11">
        <v>800</v>
      </c>
      <c r="E22" s="11">
        <v>800</v>
      </c>
      <c r="F22" s="11">
        <v>800</v>
      </c>
      <c r="G22" s="11">
        <v>800</v>
      </c>
      <c r="H22" s="11">
        <v>800</v>
      </c>
      <c r="I22" s="11">
        <v>800</v>
      </c>
      <c r="J22" s="11">
        <v>800</v>
      </c>
      <c r="K22" s="11">
        <v>800</v>
      </c>
      <c r="L22" s="11">
        <v>800</v>
      </c>
      <c r="M22" s="11">
        <v>800</v>
      </c>
      <c r="N22" s="11">
        <v>800</v>
      </c>
      <c r="O22" s="11">
        <v>800</v>
      </c>
      <c r="P22" s="11">
        <v>800</v>
      </c>
    </row>
    <row r="23" spans="1:16" ht="15">
      <c r="A23" t="str">
        <f t="shared" si="0"/>
        <v>Unmetered Loads included in GS&lt;50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</row>
    <row r="26" ht="21">
      <c r="A26" s="10" t="s">
        <v>60</v>
      </c>
    </row>
    <row r="28" spans="2:16" ht="18.75">
      <c r="B28" s="83">
        <v>2005</v>
      </c>
      <c r="C28" s="83"/>
      <c r="D28" s="83"/>
      <c r="E28" s="83"/>
      <c r="F28" s="83"/>
      <c r="G28" s="83"/>
      <c r="H28" s="83"/>
      <c r="I28" s="83"/>
      <c r="J28" s="83"/>
      <c r="K28" s="83"/>
      <c r="L28" s="85">
        <v>2006</v>
      </c>
      <c r="M28" s="85"/>
      <c r="N28" s="85"/>
      <c r="O28" s="85"/>
      <c r="P28" s="85"/>
    </row>
    <row r="29" spans="1:16" ht="15">
      <c r="A29" s="2" t="str">
        <f aca="true" t="shared" si="1" ref="A29:A35">A17</f>
        <v>Rate Class</v>
      </c>
      <c r="B29" s="1" t="s">
        <v>9</v>
      </c>
      <c r="C29" s="1" t="s">
        <v>16</v>
      </c>
      <c r="D29" s="1" t="s">
        <v>17</v>
      </c>
      <c r="E29" s="1" t="s">
        <v>18</v>
      </c>
      <c r="F29" s="1" t="s">
        <v>19</v>
      </c>
      <c r="G29" s="1" t="s">
        <v>51</v>
      </c>
      <c r="H29" s="1" t="s">
        <v>52</v>
      </c>
      <c r="I29" s="1" t="s">
        <v>53</v>
      </c>
      <c r="J29" s="1" t="s">
        <v>54</v>
      </c>
      <c r="K29" s="1" t="s">
        <v>55</v>
      </c>
      <c r="L29" s="1" t="s">
        <v>56</v>
      </c>
      <c r="M29" s="1" t="s">
        <v>57</v>
      </c>
      <c r="N29" s="1" t="s">
        <v>58</v>
      </c>
      <c r="O29" s="1" t="s">
        <v>59</v>
      </c>
      <c r="P29" s="1" t="s">
        <v>17</v>
      </c>
    </row>
    <row r="30" spans="1:16" ht="15">
      <c r="A30" s="12" t="str">
        <f t="shared" si="1"/>
        <v>Residential</v>
      </c>
      <c r="B30" s="11">
        <f aca="true" t="shared" si="2" ref="B30:B35">0.5*B18*$E8</f>
        <v>0</v>
      </c>
      <c r="C30" s="11">
        <f aca="true" t="shared" si="3" ref="C30:N30">C18*$E8</f>
        <v>916.0584</v>
      </c>
      <c r="D30" s="11">
        <f t="shared" si="3"/>
        <v>43441.3226</v>
      </c>
      <c r="E30" s="11">
        <f t="shared" si="3"/>
        <v>59729.2398</v>
      </c>
      <c r="F30" s="11">
        <f t="shared" si="3"/>
        <v>82771.9458</v>
      </c>
      <c r="G30" s="11">
        <f t="shared" si="3"/>
        <v>104639.9692</v>
      </c>
      <c r="H30" s="11">
        <f t="shared" si="3"/>
        <v>91662.5018</v>
      </c>
      <c r="I30" s="11">
        <f t="shared" si="3"/>
        <v>71315.1662</v>
      </c>
      <c r="J30" s="11">
        <f t="shared" si="3"/>
        <v>63747.2534</v>
      </c>
      <c r="K30" s="11">
        <f t="shared" si="3"/>
        <v>68829.9966</v>
      </c>
      <c r="L30" s="11">
        <f t="shared" si="3"/>
        <v>78956.5102</v>
      </c>
      <c r="M30" s="11">
        <f t="shared" si="3"/>
        <v>80340.9794</v>
      </c>
      <c r="N30" s="11">
        <f t="shared" si="3"/>
        <v>71993.9602</v>
      </c>
      <c r="O30" s="11">
        <f aca="true" t="shared" si="4" ref="O30:O35">O18*$E8</f>
        <v>67147.6948</v>
      </c>
      <c r="P30" s="11">
        <f>P18*$E8</f>
        <v>66578.2648</v>
      </c>
    </row>
    <row r="31" spans="1:16" ht="15">
      <c r="A31" s="12" t="str">
        <f t="shared" si="1"/>
        <v>General Service &lt; 50 kW</v>
      </c>
      <c r="B31" s="11">
        <f t="shared" si="2"/>
        <v>0</v>
      </c>
      <c r="C31" s="11">
        <f aca="true" t="shared" si="5" ref="C31:N31">C19*$E9</f>
        <v>206.667</v>
      </c>
      <c r="D31" s="11">
        <f t="shared" si="5"/>
        <v>21416.289</v>
      </c>
      <c r="E31" s="11">
        <f t="shared" si="5"/>
        <v>24818.511000000002</v>
      </c>
      <c r="F31" s="11">
        <f t="shared" si="5"/>
        <v>24933.018</v>
      </c>
      <c r="G31" s="11">
        <f t="shared" si="5"/>
        <v>26011.044</v>
      </c>
      <c r="H31" s="11">
        <f t="shared" si="5"/>
        <v>24138.384000000002</v>
      </c>
      <c r="I31" s="11">
        <f t="shared" si="5"/>
        <v>23092.398</v>
      </c>
      <c r="J31" s="11">
        <f t="shared" si="5"/>
        <v>20198.352</v>
      </c>
      <c r="K31" s="11">
        <f t="shared" si="5"/>
        <v>22584.408</v>
      </c>
      <c r="L31" s="11">
        <f t="shared" si="5"/>
        <v>23514.564000000002</v>
      </c>
      <c r="M31" s="11">
        <f t="shared" si="5"/>
        <v>22061.808</v>
      </c>
      <c r="N31" s="11">
        <f t="shared" si="5"/>
        <v>21748.584</v>
      </c>
      <c r="O31" s="11">
        <f t="shared" si="4"/>
        <v>20966.019</v>
      </c>
      <c r="P31" s="11">
        <f>P19*$E9</f>
        <v>22484.607</v>
      </c>
    </row>
    <row r="32" spans="1:16" ht="15">
      <c r="A32" s="12" t="str">
        <f t="shared" si="1"/>
        <v>General Service &gt; 50 kW</v>
      </c>
      <c r="B32" s="11">
        <f t="shared" si="2"/>
        <v>0</v>
      </c>
      <c r="C32" s="11">
        <f aca="true" t="shared" si="6" ref="C32:N32">C20*$E10</f>
        <v>0</v>
      </c>
      <c r="D32" s="11">
        <f t="shared" si="6"/>
        <v>37489.010579999995</v>
      </c>
      <c r="E32" s="11">
        <f t="shared" si="6"/>
        <v>41217.67188</v>
      </c>
      <c r="F32" s="11">
        <f t="shared" si="6"/>
        <v>47597.76553</v>
      </c>
      <c r="G32" s="11">
        <f t="shared" si="6"/>
        <v>47157.19301999999</v>
      </c>
      <c r="H32" s="11">
        <f t="shared" si="6"/>
        <v>45731.69110999999</v>
      </c>
      <c r="I32" s="11">
        <f t="shared" si="6"/>
        <v>45391.054659999994</v>
      </c>
      <c r="J32" s="11">
        <f t="shared" si="6"/>
        <v>44331.98496999999</v>
      </c>
      <c r="K32" s="11">
        <f t="shared" si="6"/>
        <v>41335.64694</v>
      </c>
      <c r="L32" s="11">
        <f t="shared" si="6"/>
        <v>41468.474109999996</v>
      </c>
      <c r="M32" s="11">
        <f t="shared" si="6"/>
        <v>42056.66576999999</v>
      </c>
      <c r="N32" s="11">
        <f t="shared" si="6"/>
        <v>41910.42960999999</v>
      </c>
      <c r="O32" s="11">
        <f t="shared" si="4"/>
        <v>41743.268209999995</v>
      </c>
      <c r="P32" s="11">
        <f>P20*$E10</f>
        <v>41749.94264</v>
      </c>
    </row>
    <row r="33" spans="1:16" ht="15">
      <c r="A33" s="12" t="str">
        <f t="shared" si="1"/>
        <v>Sentinel Lights</v>
      </c>
      <c r="B33" s="11">
        <f t="shared" si="2"/>
        <v>0</v>
      </c>
      <c r="C33" s="11">
        <f aca="true" t="shared" si="7" ref="C33:N33">C21*$E11</f>
        <v>112.7</v>
      </c>
      <c r="D33" s="11">
        <f t="shared" si="7"/>
        <v>112.7</v>
      </c>
      <c r="E33" s="11">
        <f t="shared" si="7"/>
        <v>112.7</v>
      </c>
      <c r="F33" s="11">
        <f t="shared" si="7"/>
        <v>112.7</v>
      </c>
      <c r="G33" s="11">
        <f t="shared" si="7"/>
        <v>112.7</v>
      </c>
      <c r="H33" s="11">
        <f t="shared" si="7"/>
        <v>112.7</v>
      </c>
      <c r="I33" s="11">
        <f t="shared" si="7"/>
        <v>112.7</v>
      </c>
      <c r="J33" s="11">
        <f t="shared" si="7"/>
        <v>112.7</v>
      </c>
      <c r="K33" s="11">
        <f t="shared" si="7"/>
        <v>112.7</v>
      </c>
      <c r="L33" s="11">
        <f t="shared" si="7"/>
        <v>112.7</v>
      </c>
      <c r="M33" s="11">
        <f t="shared" si="7"/>
        <v>112.7</v>
      </c>
      <c r="N33" s="11">
        <f t="shared" si="7"/>
        <v>112.7</v>
      </c>
      <c r="O33" s="11">
        <f t="shared" si="4"/>
        <v>112.7</v>
      </c>
      <c r="P33" s="11">
        <f>P21*$E11</f>
        <v>112.7</v>
      </c>
    </row>
    <row r="34" spans="1:16" ht="15">
      <c r="A34" s="12" t="str">
        <f t="shared" si="1"/>
        <v>Street Lights</v>
      </c>
      <c r="B34" s="11">
        <f t="shared" si="2"/>
        <v>0</v>
      </c>
      <c r="C34" s="11">
        <f aca="true" t="shared" si="8" ref="C34:N34">C22*$E12</f>
        <v>408</v>
      </c>
      <c r="D34" s="11">
        <f t="shared" si="8"/>
        <v>408</v>
      </c>
      <c r="E34" s="11">
        <f t="shared" si="8"/>
        <v>408</v>
      </c>
      <c r="F34" s="11">
        <f t="shared" si="8"/>
        <v>408</v>
      </c>
      <c r="G34" s="11">
        <f t="shared" si="8"/>
        <v>408</v>
      </c>
      <c r="H34" s="11">
        <f t="shared" si="8"/>
        <v>408</v>
      </c>
      <c r="I34" s="11">
        <f t="shared" si="8"/>
        <v>408</v>
      </c>
      <c r="J34" s="11">
        <f t="shared" si="8"/>
        <v>408</v>
      </c>
      <c r="K34" s="11">
        <f t="shared" si="8"/>
        <v>408</v>
      </c>
      <c r="L34" s="11">
        <f t="shared" si="8"/>
        <v>408</v>
      </c>
      <c r="M34" s="11">
        <f t="shared" si="8"/>
        <v>408</v>
      </c>
      <c r="N34" s="11">
        <f t="shared" si="8"/>
        <v>408</v>
      </c>
      <c r="O34" s="11">
        <f t="shared" si="4"/>
        <v>408</v>
      </c>
      <c r="P34" s="11">
        <f>0.5*P22*$E12</f>
        <v>204</v>
      </c>
    </row>
    <row r="35" spans="1:16" ht="15">
      <c r="A35" s="13" t="str">
        <f t="shared" si="1"/>
        <v>Unmetered Loads included in GS&lt;50</v>
      </c>
      <c r="B35" s="14">
        <f t="shared" si="2"/>
        <v>0</v>
      </c>
      <c r="C35" s="14">
        <f aca="true" t="shared" si="9" ref="C35:N35">C23*$E13</f>
        <v>0</v>
      </c>
      <c r="D35" s="14">
        <f t="shared" si="9"/>
        <v>0</v>
      </c>
      <c r="E35" s="14">
        <f t="shared" si="9"/>
        <v>0</v>
      </c>
      <c r="F35" s="14">
        <f t="shared" si="9"/>
        <v>0</v>
      </c>
      <c r="G35" s="14">
        <f t="shared" si="9"/>
        <v>0</v>
      </c>
      <c r="H35" s="14">
        <f t="shared" si="9"/>
        <v>0</v>
      </c>
      <c r="I35" s="14">
        <f t="shared" si="9"/>
        <v>0</v>
      </c>
      <c r="J35" s="14">
        <f t="shared" si="9"/>
        <v>0</v>
      </c>
      <c r="K35" s="14">
        <f t="shared" si="9"/>
        <v>0</v>
      </c>
      <c r="L35" s="14">
        <f t="shared" si="9"/>
        <v>0</v>
      </c>
      <c r="M35" s="14">
        <f t="shared" si="9"/>
        <v>0</v>
      </c>
      <c r="N35" s="14">
        <f t="shared" si="9"/>
        <v>0</v>
      </c>
      <c r="O35" s="14">
        <f t="shared" si="4"/>
        <v>0</v>
      </c>
      <c r="P35" s="14">
        <f>0.5*P23*$E13</f>
        <v>0</v>
      </c>
    </row>
    <row r="36" spans="1:16" ht="15">
      <c r="A36" t="s">
        <v>13</v>
      </c>
      <c r="B36" s="11">
        <f>SUM(B30:B35)</f>
        <v>0</v>
      </c>
      <c r="C36" s="11">
        <f aca="true" t="shared" si="10" ref="C36:P36">SUM(C30:C35)</f>
        <v>1643.4254</v>
      </c>
      <c r="D36" s="11">
        <f t="shared" si="10"/>
        <v>102867.32218</v>
      </c>
      <c r="E36" s="11">
        <f t="shared" si="10"/>
        <v>126286.12268000001</v>
      </c>
      <c r="F36" s="11">
        <f t="shared" si="10"/>
        <v>155823.42933</v>
      </c>
      <c r="G36" s="11">
        <f t="shared" si="10"/>
        <v>178328.90622</v>
      </c>
      <c r="H36" s="11">
        <f t="shared" si="10"/>
        <v>162053.27691000002</v>
      </c>
      <c r="I36" s="11">
        <f t="shared" si="10"/>
        <v>140319.31886</v>
      </c>
      <c r="J36" s="11">
        <f t="shared" si="10"/>
        <v>128798.29036999999</v>
      </c>
      <c r="K36" s="11">
        <f t="shared" si="10"/>
        <v>133270.75154</v>
      </c>
      <c r="L36" s="11">
        <f t="shared" si="10"/>
        <v>144460.24831</v>
      </c>
      <c r="M36" s="11">
        <f t="shared" si="10"/>
        <v>144980.15317</v>
      </c>
      <c r="N36" s="11">
        <f t="shared" si="10"/>
        <v>136173.67381</v>
      </c>
      <c r="O36" s="11">
        <f t="shared" si="10"/>
        <v>130377.68200999999</v>
      </c>
      <c r="P36" s="11">
        <f t="shared" si="10"/>
        <v>131129.51444</v>
      </c>
    </row>
    <row r="39" ht="15">
      <c r="C39" s="11"/>
    </row>
  </sheetData>
  <sheetProtection/>
  <mergeCells count="6">
    <mergeCell ref="L16:P16"/>
    <mergeCell ref="L28:P28"/>
    <mergeCell ref="B6:C6"/>
    <mergeCell ref="D6:E6"/>
    <mergeCell ref="B16:K16"/>
    <mergeCell ref="B28:K28"/>
  </mergeCells>
  <printOptions/>
  <pageMargins left="0.7" right="0.7" top="0.75" bottom="0.75" header="0.3" footer="0.3"/>
  <pageSetup horizontalDpi="1200" verticalDpi="1200" orientation="portrait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4">
      <selection activeCell="H7" sqref="H7"/>
    </sheetView>
  </sheetViews>
  <sheetFormatPr defaultColWidth="9.140625" defaultRowHeight="15"/>
  <cols>
    <col min="1" max="1" width="24.28125" style="0" bestFit="1" customWidth="1"/>
    <col min="2" max="2" width="14.00390625" style="0" bestFit="1" customWidth="1"/>
    <col min="3" max="3" width="10.421875" style="0" customWidth="1"/>
    <col min="4" max="4" width="21.421875" style="0" customWidth="1"/>
    <col min="5" max="5" width="19.8515625" style="0" customWidth="1"/>
    <col min="6" max="6" width="10.140625" style="0" bestFit="1" customWidth="1"/>
  </cols>
  <sheetData>
    <row r="1" ht="15.75">
      <c r="A1" s="30" t="s">
        <v>97</v>
      </c>
    </row>
    <row r="3" spans="1:5" ht="60">
      <c r="A3" s="22" t="s">
        <v>41</v>
      </c>
      <c r="B3" s="22" t="s">
        <v>98</v>
      </c>
      <c r="C3" s="22" t="s">
        <v>107</v>
      </c>
      <c r="D3" s="22" t="s">
        <v>108</v>
      </c>
      <c r="E3" s="23"/>
    </row>
    <row r="4" spans="1:4" ht="15">
      <c r="A4" t="str">
        <f>'Third period'!A8</f>
        <v>Residential</v>
      </c>
      <c r="B4" s="25">
        <f>'[1]Sheet1'!D4</f>
        <v>7841413.62382705</v>
      </c>
      <c r="C4" s="5">
        <f aca="true" t="shared" si="0" ref="C4:C10">ROUND(B4/$B$11,4)</f>
        <v>0.6422</v>
      </c>
      <c r="D4" s="28">
        <f aca="true" t="shared" si="1" ref="D4:D10">C4*$D$11</f>
        <v>-1000483.38</v>
      </c>
    </row>
    <row r="5" spans="1:4" ht="15">
      <c r="A5" t="str">
        <f>'Third period'!A9</f>
        <v>General Service &lt; 50 kW</v>
      </c>
      <c r="B5" s="25">
        <f>'[1]Sheet1'!D5</f>
        <v>2264881.1551633594</v>
      </c>
      <c r="C5" s="5">
        <f t="shared" si="0"/>
        <v>0.1855</v>
      </c>
      <c r="D5" s="28">
        <f t="shared" si="1"/>
        <v>-288990.45</v>
      </c>
    </row>
    <row r="6" spans="1:4" ht="15">
      <c r="A6" t="str">
        <f>'Third period'!A10</f>
        <v>General Service &gt; 50 kW</v>
      </c>
      <c r="B6" s="25">
        <f>'[1]Sheet1'!D6</f>
        <v>1828852.7792381947</v>
      </c>
      <c r="C6" s="5">
        <f t="shared" si="0"/>
        <v>0.1498</v>
      </c>
      <c r="D6" s="28">
        <f t="shared" si="1"/>
        <v>-233373.41999999998</v>
      </c>
    </row>
    <row r="7" spans="1:4" ht="15">
      <c r="A7" t="str">
        <f>'Third period'!A11</f>
        <v>Sentinel Lights</v>
      </c>
      <c r="B7" s="25">
        <f>'[1]Sheet1'!D7</f>
        <v>52403.60375125356</v>
      </c>
      <c r="C7" s="5">
        <f t="shared" si="0"/>
        <v>0.0043</v>
      </c>
      <c r="D7" s="28">
        <f t="shared" si="1"/>
        <v>-6698.97</v>
      </c>
    </row>
    <row r="8" spans="1:4" ht="15">
      <c r="A8" t="str">
        <f>'Third period'!A12</f>
        <v>Street Lights</v>
      </c>
      <c r="B8" s="25">
        <f>'[1]Sheet1'!D8</f>
        <v>170048.6775705382</v>
      </c>
      <c r="C8" s="5">
        <f t="shared" si="0"/>
        <v>0.0139</v>
      </c>
      <c r="D8" s="28">
        <f t="shared" si="1"/>
        <v>-21654.809999999998</v>
      </c>
    </row>
    <row r="9" spans="1:4" ht="15">
      <c r="A9" t="s">
        <v>109</v>
      </c>
      <c r="B9" s="25">
        <f>'[1]Sheet1'!$D$10</f>
        <v>33960.97765239544</v>
      </c>
      <c r="C9" s="5">
        <f t="shared" si="0"/>
        <v>0.0028</v>
      </c>
      <c r="D9" s="28">
        <f t="shared" si="1"/>
        <v>-4362.12</v>
      </c>
    </row>
    <row r="10" spans="1:4" ht="15">
      <c r="A10" s="26" t="str">
        <f>'Third period'!A13</f>
        <v>Unmetered Loads included in GS&lt;50</v>
      </c>
      <c r="B10" s="27">
        <f>'[1]Sheet1'!$D$9</f>
        <v>18019.15571624915</v>
      </c>
      <c r="C10" s="6">
        <f t="shared" si="0"/>
        <v>0.0015</v>
      </c>
      <c r="D10" s="29">
        <f t="shared" si="1"/>
        <v>-2336.85</v>
      </c>
    </row>
    <row r="11" spans="1:4" ht="15">
      <c r="A11" s="2" t="s">
        <v>13</v>
      </c>
      <c r="B11" s="31">
        <f>SUM(B4:B10)</f>
        <v>12209579.972919041</v>
      </c>
      <c r="C11" s="32">
        <f>SUM(C4:C10)</f>
        <v>1</v>
      </c>
      <c r="D11" s="33">
        <f>ROUND(Continuity!L199,0)</f>
        <v>-1557900</v>
      </c>
    </row>
    <row r="15" ht="15.75">
      <c r="A15" s="30" t="s">
        <v>99</v>
      </c>
    </row>
    <row r="17" spans="1:6" ht="45">
      <c r="A17" s="22" t="s">
        <v>41</v>
      </c>
      <c r="B17" s="22" t="s">
        <v>100</v>
      </c>
      <c r="C17" s="22" t="s">
        <v>101</v>
      </c>
      <c r="D17" s="22" t="s">
        <v>102</v>
      </c>
      <c r="E17" s="22" t="s">
        <v>106</v>
      </c>
      <c r="F17" s="22" t="s">
        <v>103</v>
      </c>
    </row>
    <row r="18" spans="1:7" ht="15">
      <c r="A18" t="str">
        <f>A4</f>
        <v>Residential</v>
      </c>
      <c r="B18" s="28">
        <f aca="true" t="shared" si="2" ref="B18:B25">D4</f>
        <v>-1000483.38</v>
      </c>
      <c r="C18" s="19">
        <v>1</v>
      </c>
      <c r="D18" s="28">
        <f>B18/C18</f>
        <v>-1000483.38</v>
      </c>
      <c r="E18" s="24">
        <f>'[1]Sheet1'!$G$4</f>
        <v>148067202.79592174</v>
      </c>
      <c r="F18" s="35">
        <f aca="true" t="shared" si="3" ref="F18:F24">ROUND(D18/E18,4)</f>
        <v>-0.0068</v>
      </c>
      <c r="G18" t="s">
        <v>104</v>
      </c>
    </row>
    <row r="19" spans="1:7" ht="15">
      <c r="A19" t="str">
        <f>A5</f>
        <v>General Service &lt; 50 kW</v>
      </c>
      <c r="B19" s="28">
        <f t="shared" si="2"/>
        <v>-288990.45</v>
      </c>
      <c r="C19">
        <f>C18</f>
        <v>1</v>
      </c>
      <c r="D19" s="28">
        <f aca="true" t="shared" si="4" ref="D19:D25">B19/C19</f>
        <v>-288990.45</v>
      </c>
      <c r="E19" s="24">
        <f>'[1]Sheet1'!$G$5</f>
        <v>61517376.08651353</v>
      </c>
      <c r="F19" s="35">
        <f t="shared" si="3"/>
        <v>-0.0047</v>
      </c>
      <c r="G19" t="s">
        <v>104</v>
      </c>
    </row>
    <row r="20" spans="1:7" ht="15">
      <c r="A20" t="str">
        <f>A6</f>
        <v>General Service &gt; 50 kW</v>
      </c>
      <c r="B20" s="28">
        <f t="shared" si="2"/>
        <v>-233373.41999999998</v>
      </c>
      <c r="C20">
        <f aca="true" t="shared" si="5" ref="C20:C25">C19</f>
        <v>1</v>
      </c>
      <c r="D20" s="28">
        <f t="shared" si="4"/>
        <v>-233373.41999999998</v>
      </c>
      <c r="E20" s="24">
        <f>'[1]Sheet1'!$G$6</f>
        <v>346440.49091014883</v>
      </c>
      <c r="F20" s="35">
        <f t="shared" si="3"/>
        <v>-0.6736</v>
      </c>
      <c r="G20" t="s">
        <v>105</v>
      </c>
    </row>
    <row r="21" spans="1:7" ht="15">
      <c r="A21" t="str">
        <f>A7</f>
        <v>Sentinel Lights</v>
      </c>
      <c r="B21" s="28">
        <f t="shared" si="2"/>
        <v>-6698.97</v>
      </c>
      <c r="C21">
        <f t="shared" si="5"/>
        <v>1</v>
      </c>
      <c r="D21" s="28">
        <f t="shared" si="4"/>
        <v>-6698.97</v>
      </c>
      <c r="E21" s="24">
        <f>'[1]Sheet1'!$G$7</f>
        <v>950.920235491362</v>
      </c>
      <c r="F21" s="35">
        <f t="shared" si="3"/>
        <v>-7.0447</v>
      </c>
      <c r="G21" t="s">
        <v>105</v>
      </c>
    </row>
    <row r="22" spans="1:7" ht="15">
      <c r="A22" t="str">
        <f>A8</f>
        <v>Street Lights</v>
      </c>
      <c r="B22" s="28">
        <f t="shared" si="2"/>
        <v>-21654.809999999998</v>
      </c>
      <c r="C22">
        <f t="shared" si="5"/>
        <v>1</v>
      </c>
      <c r="D22" s="28">
        <f t="shared" si="4"/>
        <v>-21654.809999999998</v>
      </c>
      <c r="E22" s="24">
        <f>'[1]Sheet1'!$G$8</f>
        <v>9809.603902139386</v>
      </c>
      <c r="F22" s="35">
        <f t="shared" si="3"/>
        <v>-2.2075</v>
      </c>
      <c r="G22" t="s">
        <v>105</v>
      </c>
    </row>
    <row r="23" spans="1:7" ht="15">
      <c r="A23" t="s">
        <v>109</v>
      </c>
      <c r="B23" s="28">
        <f t="shared" si="2"/>
        <v>-4362.12</v>
      </c>
      <c r="C23">
        <f t="shared" si="5"/>
        <v>1</v>
      </c>
      <c r="D23" s="28">
        <f t="shared" si="4"/>
        <v>-4362.12</v>
      </c>
      <c r="E23" s="24">
        <f>'[1]Sheet1'!$G$10</f>
        <v>31899332</v>
      </c>
      <c r="F23" s="37">
        <f>ROUND(D23/E23,5)</f>
        <v>-0.00014</v>
      </c>
      <c r="G23" t="s">
        <v>104</v>
      </c>
    </row>
    <row r="24" spans="1:7" ht="14.25" customHeight="1">
      <c r="A24" s="26" t="str">
        <f>A10</f>
        <v>Unmetered Loads included in GS&lt;50</v>
      </c>
      <c r="B24" s="29">
        <f t="shared" si="2"/>
        <v>-2336.85</v>
      </c>
      <c r="C24" s="26">
        <f>C22</f>
        <v>1</v>
      </c>
      <c r="D24" s="29">
        <f t="shared" si="4"/>
        <v>-2336.85</v>
      </c>
      <c r="E24" s="34">
        <f>'[1]Sheet1'!$G$9</f>
        <v>467055.80219343136</v>
      </c>
      <c r="F24" s="36">
        <f t="shared" si="3"/>
        <v>-0.005</v>
      </c>
      <c r="G24" t="s">
        <v>104</v>
      </c>
    </row>
    <row r="25" spans="1:4" ht="15">
      <c r="A25" t="str">
        <f>A11</f>
        <v>Total</v>
      </c>
      <c r="B25" s="28">
        <f t="shared" si="2"/>
        <v>-1557900</v>
      </c>
      <c r="C25">
        <f t="shared" si="5"/>
        <v>1</v>
      </c>
      <c r="D25" s="28">
        <f t="shared" si="4"/>
        <v>-1557900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10.421875" style="0" customWidth="1"/>
    <col min="2" max="2" width="12.28125" style="0" customWidth="1"/>
    <col min="3" max="3" width="16.140625" style="0" customWidth="1"/>
    <col min="4" max="4" width="12.28125" style="0" customWidth="1"/>
    <col min="5" max="5" width="15.7109375" style="0" customWidth="1"/>
    <col min="6" max="6" width="13.28125" style="0" customWidth="1"/>
    <col min="7" max="8" width="13.140625" style="0" customWidth="1"/>
    <col min="9" max="9" width="38.8515625" style="0" bestFit="1" customWidth="1"/>
  </cols>
  <sheetData>
    <row r="1" spans="1:9" ht="15">
      <c r="A1" s="88" t="s">
        <v>74</v>
      </c>
      <c r="B1" s="88" t="s">
        <v>81</v>
      </c>
      <c r="C1" s="88"/>
      <c r="D1" s="88"/>
      <c r="E1" s="89" t="s">
        <v>22</v>
      </c>
      <c r="F1" s="89" t="s">
        <v>27</v>
      </c>
      <c r="G1" s="89" t="s">
        <v>28</v>
      </c>
      <c r="H1" s="89" t="s">
        <v>24</v>
      </c>
      <c r="I1" s="88" t="s">
        <v>23</v>
      </c>
    </row>
    <row r="2" spans="1:9" ht="19.5" customHeight="1">
      <c r="A2" s="88"/>
      <c r="B2" s="21" t="s">
        <v>82</v>
      </c>
      <c r="C2" s="21" t="s">
        <v>83</v>
      </c>
      <c r="D2" s="21" t="s">
        <v>84</v>
      </c>
      <c r="E2" s="89"/>
      <c r="F2" s="89"/>
      <c r="G2" s="89"/>
      <c r="H2" s="89"/>
      <c r="I2" s="88"/>
    </row>
    <row r="3" spans="1:9" ht="15">
      <c r="A3" s="1" t="s">
        <v>1</v>
      </c>
      <c r="B3" s="1" t="s">
        <v>85</v>
      </c>
      <c r="C3" s="1" t="s">
        <v>86</v>
      </c>
      <c r="D3" s="1" t="s">
        <v>87</v>
      </c>
      <c r="E3" s="4">
        <v>241767.9</v>
      </c>
      <c r="F3" s="1" t="s">
        <v>25</v>
      </c>
      <c r="G3" s="1" t="s">
        <v>26</v>
      </c>
      <c r="H3" s="7">
        <f>E3/3</f>
        <v>80589.3</v>
      </c>
      <c r="I3" s="20" t="s">
        <v>75</v>
      </c>
    </row>
    <row r="4" spans="1:9" ht="15">
      <c r="A4" s="1">
        <v>2002</v>
      </c>
      <c r="B4" s="1" t="s">
        <v>85</v>
      </c>
      <c r="C4" s="1" t="s">
        <v>88</v>
      </c>
      <c r="D4" s="1" t="s">
        <v>87</v>
      </c>
      <c r="E4" s="4">
        <v>986958.36</v>
      </c>
      <c r="F4" s="1" t="s">
        <v>29</v>
      </c>
      <c r="G4" s="1" t="s">
        <v>30</v>
      </c>
      <c r="H4" s="4">
        <f>E4/12</f>
        <v>82246.53</v>
      </c>
      <c r="I4" s="20" t="s">
        <v>76</v>
      </c>
    </row>
    <row r="5" spans="1:9" ht="15">
      <c r="A5" s="1">
        <v>2003</v>
      </c>
      <c r="B5" s="1" t="s">
        <v>85</v>
      </c>
      <c r="C5" s="1" t="s">
        <v>89</v>
      </c>
      <c r="D5" s="1" t="s">
        <v>87</v>
      </c>
      <c r="E5" s="7">
        <f>E3+E4</f>
        <v>1228726.26</v>
      </c>
      <c r="F5" s="1" t="s">
        <v>31</v>
      </c>
      <c r="G5" s="1" t="s">
        <v>32</v>
      </c>
      <c r="H5" s="7">
        <f>E5/12</f>
        <v>102393.855</v>
      </c>
      <c r="I5" s="20" t="s">
        <v>77</v>
      </c>
    </row>
    <row r="6" spans="1:9" ht="15">
      <c r="A6" s="1">
        <v>2004</v>
      </c>
      <c r="B6" s="1" t="s">
        <v>85</v>
      </c>
      <c r="C6" s="1" t="s">
        <v>88</v>
      </c>
      <c r="D6" s="1" t="s">
        <v>87</v>
      </c>
      <c r="E6" s="7">
        <f>E4</f>
        <v>986958.36</v>
      </c>
      <c r="F6" s="1" t="s">
        <v>33</v>
      </c>
      <c r="G6" s="1" t="s">
        <v>34</v>
      </c>
      <c r="H6" s="7">
        <f>E6/12</f>
        <v>82246.53</v>
      </c>
      <c r="I6" s="20" t="s">
        <v>78</v>
      </c>
    </row>
    <row r="7" spans="1:9" ht="15">
      <c r="A7" s="1">
        <v>2004</v>
      </c>
      <c r="B7" s="1" t="s">
        <v>90</v>
      </c>
      <c r="C7" s="1" t="s">
        <v>91</v>
      </c>
      <c r="D7" s="1" t="s">
        <v>92</v>
      </c>
      <c r="E7" s="7">
        <f>E6</f>
        <v>986958.36</v>
      </c>
      <c r="F7" s="1" t="s">
        <v>36</v>
      </c>
      <c r="G7" s="1" t="s">
        <v>37</v>
      </c>
      <c r="H7" s="7">
        <f>E7/12</f>
        <v>82246.53</v>
      </c>
      <c r="I7" s="8" t="s">
        <v>79</v>
      </c>
    </row>
    <row r="8" spans="1:9" ht="15">
      <c r="A8" s="1">
        <v>2005</v>
      </c>
      <c r="B8" s="1" t="s">
        <v>93</v>
      </c>
      <c r="C8" s="1" t="s">
        <v>94</v>
      </c>
      <c r="D8" s="1" t="s">
        <v>95</v>
      </c>
      <c r="E8" s="4">
        <v>1048196</v>
      </c>
      <c r="F8" s="1" t="s">
        <v>35</v>
      </c>
      <c r="G8" s="1" t="s">
        <v>38</v>
      </c>
      <c r="H8" s="7">
        <f>E8/12</f>
        <v>87349.66666666667</v>
      </c>
      <c r="I8" s="8" t="s">
        <v>80</v>
      </c>
    </row>
    <row r="9" ht="15">
      <c r="I9" s="8"/>
    </row>
    <row r="10" ht="15">
      <c r="I10" s="8"/>
    </row>
    <row r="11" ht="15">
      <c r="I11" s="8"/>
    </row>
    <row r="12" ht="15">
      <c r="I12" s="8"/>
    </row>
    <row r="13" ht="15">
      <c r="I13" s="8"/>
    </row>
    <row r="14" ht="15">
      <c r="I14" s="8"/>
    </row>
    <row r="15" ht="15">
      <c r="I15" s="8"/>
    </row>
    <row r="16" ht="15">
      <c r="I16" s="8"/>
    </row>
    <row r="17" ht="15">
      <c r="I17" s="8"/>
    </row>
  </sheetData>
  <sheetProtection/>
  <mergeCells count="7">
    <mergeCell ref="I1:I2"/>
    <mergeCell ref="B1:D1"/>
    <mergeCell ref="A1:A2"/>
    <mergeCell ref="E1:E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IMBSI</dc:creator>
  <cp:keywords/>
  <dc:description/>
  <cp:lastModifiedBy>Duncan Skinner</cp:lastModifiedBy>
  <cp:lastPrinted>2012-09-21T17:29:51Z</cp:lastPrinted>
  <dcterms:created xsi:type="dcterms:W3CDTF">2011-08-02T14:49:25Z</dcterms:created>
  <dcterms:modified xsi:type="dcterms:W3CDTF">2012-09-21T18:12:06Z</dcterms:modified>
  <cp:category/>
  <cp:version/>
  <cp:contentType/>
  <cp:contentStatus/>
</cp:coreProperties>
</file>