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240" windowWidth="27795" windowHeight="12465" firstSheet="2" activeTab="9"/>
  </bookViews>
  <sheets>
    <sheet name="Cover Sheet" sheetId="1" r:id="rId1"/>
    <sheet name="Existing Rates &amp; Forecast Vols" sheetId="2" r:id="rId2"/>
    <sheet name="Existing F_V Ratios" sheetId="3" r:id="rId3"/>
    <sheet name="R|C Ratio" sheetId="4" r:id="rId4"/>
    <sheet name="Target R|C Ratios" sheetId="5" r:id="rId5"/>
    <sheet name="F_V Analysis" sheetId="6" r:id="rId6"/>
    <sheet name="Floor_Ceiling Review" sheetId="7" r:id="rId7"/>
    <sheet name="Target MSC Change" sheetId="8" r:id="rId8"/>
    <sheet name="2013 R|C Ratio Adj." sheetId="9" r:id="rId9"/>
    <sheet name="2013 Rate Design" sheetId="10" r:id="rId10"/>
    <sheet name="2013 Area Rate Design" sheetId="11" r:id="rId11"/>
    <sheet name="2013 Reconciliation" sheetId="12" r:id="rId12"/>
    <sheet name="2014 R|C Ratio Adj." sheetId="13" r:id="rId13"/>
    <sheet name="2014 Rate Design" sheetId="14" r:id="rId14"/>
    <sheet name="2014 Area Rate Design" sheetId="15" r:id="rId15"/>
    <sheet name="2014 Reconciliation" sheetId="17" r:id="rId16"/>
    <sheet name="2015 R|C Ratio Adj." sheetId="18" r:id="rId17"/>
    <sheet name="2015 Rate Design" sheetId="19" r:id="rId18"/>
    <sheet name="2015 Area Rate Design" sheetId="20" r:id="rId19"/>
    <sheet name="2015 Reconciliation" sheetId="21" r:id="rId20"/>
    <sheet name="2016 R|C Ratio Adj." sheetId="22" r:id="rId21"/>
    <sheet name="2016 Rate Design" sheetId="23" r:id="rId22"/>
    <sheet name="2016 Area Rate Design" sheetId="24" r:id="rId23"/>
    <sheet name="2016 Reconciliation" sheetId="25" r:id="rId24"/>
    <sheet name="Rate Design Summary" sheetId="16" r:id="rId25"/>
  </sheets>
  <calcPr calcId="144525"/>
</workbook>
</file>

<file path=xl/calcChain.xml><?xml version="1.0" encoding="utf-8"?>
<calcChain xmlns="http://schemas.openxmlformats.org/spreadsheetml/2006/main">
  <c r="M15" i="15" l="1"/>
  <c r="M15" i="11"/>
  <c r="F10" i="4" l="1"/>
  <c r="F9" i="4"/>
  <c r="F8" i="4"/>
  <c r="F12" i="4" l="1"/>
  <c r="F11" i="4"/>
  <c r="E27" i="24" l="1"/>
  <c r="E27" i="20"/>
  <c r="E27" i="15"/>
  <c r="E27" i="11"/>
  <c r="C5" i="22" l="1"/>
  <c r="L42" i="25"/>
  <c r="N42" i="25" s="1"/>
  <c r="L43" i="25"/>
  <c r="L44" i="25"/>
  <c r="N44" i="25" s="1"/>
  <c r="L45" i="25"/>
  <c r="N45" i="25" s="1"/>
  <c r="L46" i="25"/>
  <c r="N46" i="25" s="1"/>
  <c r="F30" i="25"/>
  <c r="E30" i="25"/>
  <c r="D30" i="25"/>
  <c r="F29" i="25"/>
  <c r="E29" i="25"/>
  <c r="D29" i="25"/>
  <c r="E28" i="25"/>
  <c r="D28" i="25"/>
  <c r="F27" i="25"/>
  <c r="F33" i="25" s="1"/>
  <c r="E27" i="25"/>
  <c r="D27" i="25"/>
  <c r="E26" i="25"/>
  <c r="D26" i="25"/>
  <c r="E25" i="25"/>
  <c r="D25" i="25"/>
  <c r="F14" i="25"/>
  <c r="E14" i="25"/>
  <c r="E46" i="25" s="1"/>
  <c r="D14" i="25"/>
  <c r="F13" i="25"/>
  <c r="F17" i="25" s="1"/>
  <c r="E13" i="25"/>
  <c r="D13" i="25"/>
  <c r="D45" i="25" s="1"/>
  <c r="E12" i="25"/>
  <c r="D12" i="25"/>
  <c r="F11" i="25"/>
  <c r="E11" i="25"/>
  <c r="E43" i="25" s="1"/>
  <c r="D11" i="25"/>
  <c r="E10" i="25"/>
  <c r="E42" i="25" s="1"/>
  <c r="D10" i="25"/>
  <c r="E9" i="25"/>
  <c r="E41" i="25" s="1"/>
  <c r="D9" i="25"/>
  <c r="D27" i="24"/>
  <c r="E26" i="24"/>
  <c r="D26" i="24"/>
  <c r="E23" i="24"/>
  <c r="D23" i="24"/>
  <c r="E22" i="24"/>
  <c r="D22" i="24"/>
  <c r="E19" i="24"/>
  <c r="D19" i="24"/>
  <c r="E18" i="24"/>
  <c r="D18" i="24"/>
  <c r="E15" i="24"/>
  <c r="D15" i="24"/>
  <c r="E14" i="24"/>
  <c r="D14" i="24"/>
  <c r="E11" i="24"/>
  <c r="D11" i="24"/>
  <c r="E10" i="24"/>
  <c r="D10" i="24"/>
  <c r="E7" i="24"/>
  <c r="D7" i="24"/>
  <c r="E6" i="24"/>
  <c r="D6" i="24"/>
  <c r="C6" i="23"/>
  <c r="C20" i="23" s="1"/>
  <c r="H12" i="24" s="1"/>
  <c r="C7" i="23"/>
  <c r="C8" i="23"/>
  <c r="C9" i="23"/>
  <c r="C23" i="23" s="1"/>
  <c r="H24" i="24" s="1"/>
  <c r="C10" i="23"/>
  <c r="C24" i="23" s="1"/>
  <c r="H28" i="24" s="1"/>
  <c r="D14" i="23"/>
  <c r="D10" i="22"/>
  <c r="C10" i="22"/>
  <c r="D9" i="22"/>
  <c r="C9" i="22"/>
  <c r="D8" i="22"/>
  <c r="C8" i="22"/>
  <c r="D7" i="22"/>
  <c r="C7" i="22"/>
  <c r="D6" i="22"/>
  <c r="C6" i="22"/>
  <c r="D5" i="22"/>
  <c r="E45" i="25" l="1"/>
  <c r="D43" i="25"/>
  <c r="E44" i="25"/>
  <c r="D46" i="25"/>
  <c r="E5" i="22"/>
  <c r="N43" i="25"/>
  <c r="E10" i="22"/>
  <c r="D41" i="25"/>
  <c r="C21" i="23"/>
  <c r="H16" i="24" s="1"/>
  <c r="E33" i="25"/>
  <c r="D42" i="25"/>
  <c r="F43" i="25"/>
  <c r="F46" i="25"/>
  <c r="C22" i="23"/>
  <c r="H20" i="24" s="1"/>
  <c r="E8" i="22"/>
  <c r="E6" i="22"/>
  <c r="D12" i="22"/>
  <c r="E7" i="22"/>
  <c r="G8" i="22"/>
  <c r="E9" i="22"/>
  <c r="E49" i="25"/>
  <c r="D17" i="25"/>
  <c r="E17" i="25"/>
  <c r="D33" i="25"/>
  <c r="D44" i="25"/>
  <c r="F45" i="25"/>
  <c r="F49" i="25" s="1"/>
  <c r="G7" i="22"/>
  <c r="C12" i="22"/>
  <c r="G9" i="22"/>
  <c r="G6" i="22"/>
  <c r="G10" i="22"/>
  <c r="L42" i="21"/>
  <c r="N42" i="21" s="1"/>
  <c r="L43" i="21"/>
  <c r="L44" i="21"/>
  <c r="N44" i="21" s="1"/>
  <c r="L45" i="21"/>
  <c r="N45" i="21" s="1"/>
  <c r="L46" i="21"/>
  <c r="N46" i="21" s="1"/>
  <c r="F30" i="21"/>
  <c r="E30" i="21"/>
  <c r="D30" i="21"/>
  <c r="F29" i="21"/>
  <c r="E29" i="21"/>
  <c r="D29" i="21"/>
  <c r="E28" i="21"/>
  <c r="D28" i="21"/>
  <c r="F27" i="21"/>
  <c r="F33" i="21" s="1"/>
  <c r="E27" i="21"/>
  <c r="D27" i="21"/>
  <c r="E26" i="21"/>
  <c r="D26" i="21"/>
  <c r="E25" i="21"/>
  <c r="D25" i="21"/>
  <c r="F14" i="21"/>
  <c r="E14" i="21"/>
  <c r="E46" i="21" s="1"/>
  <c r="D14" i="21"/>
  <c r="F13" i="21"/>
  <c r="F45" i="21" s="1"/>
  <c r="E13" i="21"/>
  <c r="D13" i="21"/>
  <c r="D45" i="21" s="1"/>
  <c r="E12" i="21"/>
  <c r="E44" i="21" s="1"/>
  <c r="D12" i="21"/>
  <c r="F11" i="21"/>
  <c r="E11" i="21"/>
  <c r="E43" i="21" s="1"/>
  <c r="D11" i="21"/>
  <c r="D43" i="21" s="1"/>
  <c r="E10" i="21"/>
  <c r="D10" i="21"/>
  <c r="E9" i="21"/>
  <c r="E17" i="21" s="1"/>
  <c r="D9" i="21"/>
  <c r="D27" i="20"/>
  <c r="E26" i="20"/>
  <c r="D26" i="20"/>
  <c r="E23" i="20"/>
  <c r="D23" i="20"/>
  <c r="E22" i="20"/>
  <c r="D22" i="20"/>
  <c r="E19" i="20"/>
  <c r="D19" i="20"/>
  <c r="E18" i="20"/>
  <c r="D18" i="20"/>
  <c r="E15" i="20"/>
  <c r="D15" i="20"/>
  <c r="E14" i="20"/>
  <c r="D14" i="20"/>
  <c r="E11" i="20"/>
  <c r="D11" i="20"/>
  <c r="E10" i="20"/>
  <c r="D10" i="20"/>
  <c r="E7" i="20"/>
  <c r="D7" i="20"/>
  <c r="E6" i="20"/>
  <c r="D6" i="20"/>
  <c r="C6" i="19"/>
  <c r="C7" i="19"/>
  <c r="C8" i="19"/>
  <c r="C9" i="19"/>
  <c r="C23" i="19" s="1"/>
  <c r="H24" i="20" s="1"/>
  <c r="C10" i="19"/>
  <c r="D14" i="19"/>
  <c r="D10" i="18"/>
  <c r="C10" i="18"/>
  <c r="D9" i="18"/>
  <c r="C9" i="18"/>
  <c r="D8" i="18"/>
  <c r="C8" i="18"/>
  <c r="D7" i="18"/>
  <c r="C7" i="18"/>
  <c r="D6" i="18"/>
  <c r="C6" i="18"/>
  <c r="D5" i="18"/>
  <c r="C5" i="18"/>
  <c r="L42" i="17"/>
  <c r="N42" i="17" s="1"/>
  <c r="L43" i="17"/>
  <c r="L44" i="17"/>
  <c r="N44" i="17" s="1"/>
  <c r="L45" i="17"/>
  <c r="L46" i="17"/>
  <c r="N46" i="17" s="1"/>
  <c r="N45" i="17"/>
  <c r="F30" i="17"/>
  <c r="E30" i="17"/>
  <c r="D30" i="17"/>
  <c r="F29" i="17"/>
  <c r="E29" i="17"/>
  <c r="D29" i="17"/>
  <c r="E28" i="17"/>
  <c r="D28" i="17"/>
  <c r="F27" i="17"/>
  <c r="E27" i="17"/>
  <c r="D27" i="17"/>
  <c r="E26" i="17"/>
  <c r="D26" i="17"/>
  <c r="E25" i="17"/>
  <c r="D25" i="17"/>
  <c r="F14" i="17"/>
  <c r="F46" i="17" s="1"/>
  <c r="E14" i="17"/>
  <c r="E46" i="17" s="1"/>
  <c r="D14" i="17"/>
  <c r="F13" i="17"/>
  <c r="F17" i="17" s="1"/>
  <c r="E13" i="17"/>
  <c r="E45" i="17" s="1"/>
  <c r="D13" i="17"/>
  <c r="D45" i="17" s="1"/>
  <c r="E12" i="17"/>
  <c r="D12" i="17"/>
  <c r="F11" i="17"/>
  <c r="F43" i="17" s="1"/>
  <c r="E11" i="17"/>
  <c r="E43" i="17" s="1"/>
  <c r="D11" i="17"/>
  <c r="E10" i="17"/>
  <c r="E42" i="17" s="1"/>
  <c r="D10" i="17"/>
  <c r="D42" i="17" s="1"/>
  <c r="E9" i="17"/>
  <c r="E41" i="17" s="1"/>
  <c r="D9" i="17"/>
  <c r="F23" i="16"/>
  <c r="E23" i="16"/>
  <c r="E7" i="16"/>
  <c r="D27" i="15"/>
  <c r="E26" i="15"/>
  <c r="F22" i="16" s="1"/>
  <c r="D26" i="15"/>
  <c r="E22" i="16" s="1"/>
  <c r="E23" i="15"/>
  <c r="F20" i="16" s="1"/>
  <c r="D23" i="15"/>
  <c r="E20" i="16" s="1"/>
  <c r="E22" i="15"/>
  <c r="F19" i="16" s="1"/>
  <c r="D22" i="15"/>
  <c r="E19" i="16" s="1"/>
  <c r="E19" i="15"/>
  <c r="F17" i="16" s="1"/>
  <c r="D19" i="15"/>
  <c r="E17" i="16" s="1"/>
  <c r="E18" i="15"/>
  <c r="F16" i="16" s="1"/>
  <c r="D18" i="15"/>
  <c r="E16" i="16" s="1"/>
  <c r="E15" i="15"/>
  <c r="D15" i="15"/>
  <c r="E14" i="16" s="1"/>
  <c r="E14" i="15"/>
  <c r="D14" i="15"/>
  <c r="E13" i="16" s="1"/>
  <c r="E11" i="15"/>
  <c r="F11" i="16" s="1"/>
  <c r="D11" i="15"/>
  <c r="E11" i="16" s="1"/>
  <c r="E10" i="15"/>
  <c r="F10" i="16" s="1"/>
  <c r="D10" i="15"/>
  <c r="E10" i="16" s="1"/>
  <c r="E7" i="15"/>
  <c r="F8" i="16" s="1"/>
  <c r="D7" i="15"/>
  <c r="E8" i="16" s="1"/>
  <c r="E6" i="15"/>
  <c r="F7" i="16" s="1"/>
  <c r="D6" i="15"/>
  <c r="C6" i="14"/>
  <c r="C20" i="14" s="1"/>
  <c r="H12" i="15" s="1"/>
  <c r="C7" i="14"/>
  <c r="C8" i="14"/>
  <c r="C22" i="14" s="1"/>
  <c r="H20" i="15" s="1"/>
  <c r="C9" i="14"/>
  <c r="C23" i="14" s="1"/>
  <c r="H24" i="15" s="1"/>
  <c r="C10" i="14"/>
  <c r="D14" i="14"/>
  <c r="M43" i="25" s="1"/>
  <c r="M49" i="25" s="1"/>
  <c r="D10" i="13"/>
  <c r="C10" i="13"/>
  <c r="D9" i="13"/>
  <c r="C9" i="13"/>
  <c r="D8" i="13"/>
  <c r="C8" i="13"/>
  <c r="D7" i="13"/>
  <c r="C7" i="13"/>
  <c r="D6" i="13"/>
  <c r="C6" i="13"/>
  <c r="D5" i="13"/>
  <c r="C5" i="13"/>
  <c r="F14" i="16" l="1"/>
  <c r="F13" i="16"/>
  <c r="C21" i="14"/>
  <c r="H16" i="15" s="1"/>
  <c r="G7" i="13"/>
  <c r="C21" i="19"/>
  <c r="H16" i="20" s="1"/>
  <c r="E33" i="17"/>
  <c r="D49" i="25"/>
  <c r="F33" i="17"/>
  <c r="D33" i="21"/>
  <c r="M43" i="21"/>
  <c r="M49" i="21" s="1"/>
  <c r="C24" i="14"/>
  <c r="H28" i="15" s="1"/>
  <c r="E7" i="13"/>
  <c r="D43" i="17"/>
  <c r="E44" i="17"/>
  <c r="E49" i="17" s="1"/>
  <c r="D46" i="17"/>
  <c r="M43" i="17"/>
  <c r="M49" i="17" s="1"/>
  <c r="D42" i="21"/>
  <c r="F43" i="21"/>
  <c r="F49" i="21" s="1"/>
  <c r="F46" i="21"/>
  <c r="E33" i="21"/>
  <c r="E41" i="21"/>
  <c r="N43" i="21"/>
  <c r="E12" i="22"/>
  <c r="G8" i="18"/>
  <c r="E6" i="18"/>
  <c r="E10" i="13"/>
  <c r="E10" i="18"/>
  <c r="C12" i="18"/>
  <c r="E8" i="18"/>
  <c r="E9" i="13"/>
  <c r="D12" i="18"/>
  <c r="E5" i="18"/>
  <c r="D12" i="13"/>
  <c r="G9" i="13"/>
  <c r="E6" i="13"/>
  <c r="G8" i="13"/>
  <c r="G7" i="18"/>
  <c r="E9" i="18"/>
  <c r="F17" i="21"/>
  <c r="D17" i="21"/>
  <c r="E42" i="21"/>
  <c r="E49" i="21" s="1"/>
  <c r="E45" i="21"/>
  <c r="D41" i="21"/>
  <c r="D44" i="21"/>
  <c r="D46" i="21"/>
  <c r="P22" i="20"/>
  <c r="I22" i="20"/>
  <c r="P23" i="20"/>
  <c r="I23" i="20"/>
  <c r="C22" i="19"/>
  <c r="H20" i="20" s="1"/>
  <c r="C20" i="19"/>
  <c r="H12" i="20" s="1"/>
  <c r="C24" i="19"/>
  <c r="H28" i="20" s="1"/>
  <c r="G6" i="18"/>
  <c r="G10" i="18"/>
  <c r="E7" i="18"/>
  <c r="G9" i="18"/>
  <c r="N43" i="17"/>
  <c r="D17" i="17"/>
  <c r="E17" i="17"/>
  <c r="D33" i="17"/>
  <c r="D41" i="17"/>
  <c r="D44" i="17"/>
  <c r="F45" i="17"/>
  <c r="F49" i="17" s="1"/>
  <c r="I22" i="15"/>
  <c r="P22" i="15"/>
  <c r="P23" i="15"/>
  <c r="I23" i="15"/>
  <c r="E5" i="13"/>
  <c r="G6" i="13"/>
  <c r="E8" i="13"/>
  <c r="G10" i="13"/>
  <c r="C12" i="13"/>
  <c r="L46" i="12"/>
  <c r="N46" i="12" s="1"/>
  <c r="L45" i="12"/>
  <c r="N45" i="12" s="1"/>
  <c r="L44" i="12"/>
  <c r="N44" i="12" s="1"/>
  <c r="L43" i="12"/>
  <c r="L42" i="12"/>
  <c r="N42" i="12" s="1"/>
  <c r="F30" i="12"/>
  <c r="F29" i="12"/>
  <c r="F27" i="12"/>
  <c r="E26" i="12"/>
  <c r="E27" i="12"/>
  <c r="E28" i="12"/>
  <c r="E29" i="12"/>
  <c r="E30" i="12"/>
  <c r="E25" i="12"/>
  <c r="D26" i="12"/>
  <c r="D27" i="12"/>
  <c r="D28" i="12"/>
  <c r="D29" i="12"/>
  <c r="D30" i="12"/>
  <c r="D25" i="12"/>
  <c r="F14" i="12"/>
  <c r="F13" i="12"/>
  <c r="F45" i="12" s="1"/>
  <c r="F11" i="12"/>
  <c r="E10" i="12"/>
  <c r="E11" i="12"/>
  <c r="E12" i="12"/>
  <c r="E44" i="12" s="1"/>
  <c r="E13" i="12"/>
  <c r="E14" i="12"/>
  <c r="E9" i="12"/>
  <c r="E41" i="12" s="1"/>
  <c r="D10" i="12"/>
  <c r="D42" i="12" s="1"/>
  <c r="D11" i="12"/>
  <c r="D12" i="12"/>
  <c r="D13" i="12"/>
  <c r="D45" i="12" s="1"/>
  <c r="D14" i="12"/>
  <c r="D46" i="12" s="1"/>
  <c r="D9" i="12"/>
  <c r="D43" i="12" l="1"/>
  <c r="D44" i="12"/>
  <c r="E46" i="12"/>
  <c r="E42" i="12"/>
  <c r="D41" i="12"/>
  <c r="F33" i="12"/>
  <c r="D49" i="17"/>
  <c r="E12" i="18"/>
  <c r="G29" i="21"/>
  <c r="O20" i="16"/>
  <c r="O19" i="16"/>
  <c r="G13" i="21"/>
  <c r="L20" i="16"/>
  <c r="G29" i="17"/>
  <c r="G13" i="17"/>
  <c r="L19" i="16"/>
  <c r="D49" i="21"/>
  <c r="I24" i="20"/>
  <c r="I24" i="15"/>
  <c r="E12" i="13"/>
  <c r="F43" i="12"/>
  <c r="E45" i="12"/>
  <c r="E33" i="12"/>
  <c r="F17" i="12"/>
  <c r="E17" i="12"/>
  <c r="E43" i="12"/>
  <c r="E49" i="12" s="1"/>
  <c r="D17" i="12"/>
  <c r="D33" i="12"/>
  <c r="F46" i="12"/>
  <c r="D26" i="11"/>
  <c r="D27" i="11"/>
  <c r="D23" i="11"/>
  <c r="D22" i="11"/>
  <c r="D19" i="11"/>
  <c r="D18" i="11"/>
  <c r="D11" i="11"/>
  <c r="D10" i="11"/>
  <c r="D7" i="11"/>
  <c r="D6" i="11"/>
  <c r="D15" i="11"/>
  <c r="D14" i="11"/>
  <c r="E23" i="11"/>
  <c r="E19" i="11"/>
  <c r="E15" i="11"/>
  <c r="E11" i="11"/>
  <c r="E7" i="11"/>
  <c r="E26" i="11"/>
  <c r="E22" i="11"/>
  <c r="E18" i="11"/>
  <c r="E14" i="11"/>
  <c r="E10" i="11"/>
  <c r="E6" i="11"/>
  <c r="D14" i="10"/>
  <c r="M43" i="12" s="1"/>
  <c r="M49" i="12" s="1"/>
  <c r="C6" i="10"/>
  <c r="C20" i="10" s="1"/>
  <c r="H12" i="11" s="1"/>
  <c r="C7" i="10"/>
  <c r="C21" i="10" s="1"/>
  <c r="H16" i="11" s="1"/>
  <c r="C8" i="10"/>
  <c r="C22" i="10" s="1"/>
  <c r="H20" i="11" s="1"/>
  <c r="C9" i="10"/>
  <c r="C23" i="10" s="1"/>
  <c r="H24" i="11" s="1"/>
  <c r="C10" i="10"/>
  <c r="C24" i="10" s="1"/>
  <c r="H28" i="11" s="1"/>
  <c r="D10" i="9"/>
  <c r="C10" i="9"/>
  <c r="D9" i="9"/>
  <c r="C9" i="9"/>
  <c r="D8" i="9"/>
  <c r="C8" i="9"/>
  <c r="D7" i="9"/>
  <c r="C7" i="9"/>
  <c r="D6" i="9"/>
  <c r="C6" i="9"/>
  <c r="D5" i="9"/>
  <c r="C5" i="9"/>
  <c r="D49" i="12" l="1"/>
  <c r="E6" i="9"/>
  <c r="G10" i="9"/>
  <c r="J24" i="20"/>
  <c r="N24" i="20" s="1"/>
  <c r="J24" i="15"/>
  <c r="D12" i="9"/>
  <c r="E7" i="9"/>
  <c r="E9" i="9"/>
  <c r="F49" i="12"/>
  <c r="G6" i="9"/>
  <c r="G7" i="9"/>
  <c r="E10" i="9"/>
  <c r="E8" i="9"/>
  <c r="N43" i="12"/>
  <c r="G9" i="9"/>
  <c r="E5" i="9"/>
  <c r="C12" i="9"/>
  <c r="C15" i="8"/>
  <c r="C16" i="8"/>
  <c r="C17" i="8"/>
  <c r="C18" i="8"/>
  <c r="C19" i="8"/>
  <c r="C14" i="8"/>
  <c r="D8" i="8"/>
  <c r="C7" i="8"/>
  <c r="C8" i="8"/>
  <c r="C9" i="8"/>
  <c r="C10" i="8"/>
  <c r="C11" i="8"/>
  <c r="C6" i="8"/>
  <c r="D41" i="5"/>
  <c r="C41" i="5"/>
  <c r="D40" i="5"/>
  <c r="C40" i="5"/>
  <c r="D39" i="5"/>
  <c r="C39" i="5"/>
  <c r="D38" i="5"/>
  <c r="C38" i="5"/>
  <c r="D37" i="5"/>
  <c r="C37" i="5"/>
  <c r="D36" i="5"/>
  <c r="C36" i="5"/>
  <c r="D26" i="5"/>
  <c r="C26" i="5"/>
  <c r="D25" i="5"/>
  <c r="C25" i="5"/>
  <c r="D24" i="5"/>
  <c r="C24" i="5"/>
  <c r="D23" i="5"/>
  <c r="C23" i="5"/>
  <c r="D22" i="5"/>
  <c r="C22" i="5"/>
  <c r="D21" i="5"/>
  <c r="C21" i="5"/>
  <c r="D11" i="5"/>
  <c r="D10" i="5"/>
  <c r="D9" i="5"/>
  <c r="D8" i="5"/>
  <c r="D7" i="5"/>
  <c r="D6" i="5"/>
  <c r="C11" i="5"/>
  <c r="C10" i="5"/>
  <c r="C9" i="5"/>
  <c r="C8" i="5"/>
  <c r="C7" i="5"/>
  <c r="C6" i="5"/>
  <c r="F15" i="4"/>
  <c r="C15" i="4"/>
  <c r="E27" i="4" s="1"/>
  <c r="E28" i="4" s="1"/>
  <c r="F36" i="3"/>
  <c r="D39" i="3"/>
  <c r="D52" i="3" s="1"/>
  <c r="D38" i="3"/>
  <c r="D51" i="3" s="1"/>
  <c r="D36" i="3"/>
  <c r="D35" i="3"/>
  <c r="D48" i="3" s="1"/>
  <c r="D37" i="3"/>
  <c r="D50" i="3" s="1"/>
  <c r="D34" i="3"/>
  <c r="C35" i="3"/>
  <c r="C48" i="3" s="1"/>
  <c r="F16" i="6" s="1"/>
  <c r="C36" i="3"/>
  <c r="C49" i="3" s="1"/>
  <c r="F17" i="6" s="1"/>
  <c r="C37" i="3"/>
  <c r="C50" i="3" s="1"/>
  <c r="F18" i="6" s="1"/>
  <c r="C38" i="3"/>
  <c r="E38" i="3" s="1"/>
  <c r="G38" i="3" s="1"/>
  <c r="C39" i="3"/>
  <c r="C52" i="3" s="1"/>
  <c r="F20" i="6" s="1"/>
  <c r="C34" i="3"/>
  <c r="F9" i="3"/>
  <c r="F14" i="3" s="1"/>
  <c r="D12" i="3"/>
  <c r="D11" i="3"/>
  <c r="D9" i="3"/>
  <c r="D8" i="3"/>
  <c r="D10" i="3"/>
  <c r="D23" i="3" s="1"/>
  <c r="D7" i="3"/>
  <c r="D20" i="3" s="1"/>
  <c r="C8" i="3"/>
  <c r="C9" i="3"/>
  <c r="C10" i="3"/>
  <c r="E10" i="3" s="1"/>
  <c r="C11" i="3"/>
  <c r="C12" i="3"/>
  <c r="C7" i="3"/>
  <c r="C20" i="3" s="1"/>
  <c r="D15" i="6" s="1"/>
  <c r="H40" i="2"/>
  <c r="H39" i="2"/>
  <c r="H37" i="2"/>
  <c r="G40" i="2"/>
  <c r="G39" i="2"/>
  <c r="G38" i="2"/>
  <c r="G37" i="2"/>
  <c r="G36" i="2"/>
  <c r="G35" i="2"/>
  <c r="F36" i="2"/>
  <c r="F37" i="2"/>
  <c r="F38" i="2"/>
  <c r="F39" i="2"/>
  <c r="G24" i="15" s="1"/>
  <c r="F40" i="2"/>
  <c r="F35" i="2"/>
  <c r="E8" i="8" l="1"/>
  <c r="I8" i="8" s="1"/>
  <c r="G24" i="20"/>
  <c r="F14" i="11"/>
  <c r="F14" i="24"/>
  <c r="G14" i="24" s="1"/>
  <c r="F14" i="20"/>
  <c r="G14" i="20" s="1"/>
  <c r="C13" i="16"/>
  <c r="F14" i="15"/>
  <c r="G14" i="15" s="1"/>
  <c r="K24" i="20"/>
  <c r="N24" i="15"/>
  <c r="K24" i="15"/>
  <c r="M22" i="15" s="1"/>
  <c r="E12" i="9"/>
  <c r="E8" i="3"/>
  <c r="G10" i="3"/>
  <c r="E7" i="3"/>
  <c r="D62" i="3"/>
  <c r="D75" i="3" s="1"/>
  <c r="E8" i="5"/>
  <c r="D16" i="8"/>
  <c r="G8" i="3"/>
  <c r="C63" i="3"/>
  <c r="C76" i="3" s="1"/>
  <c r="J8" i="8"/>
  <c r="D66" i="3"/>
  <c r="D79" i="3" s="1"/>
  <c r="G8" i="8"/>
  <c r="E6" i="5"/>
  <c r="H8" i="8"/>
  <c r="C22" i="3"/>
  <c r="D17" i="6" s="1"/>
  <c r="E7" i="5"/>
  <c r="E11" i="5"/>
  <c r="E24" i="5"/>
  <c r="E26" i="5"/>
  <c r="E39" i="5"/>
  <c r="E10" i="5"/>
  <c r="E9" i="5"/>
  <c r="E25" i="5"/>
  <c r="E38" i="5"/>
  <c r="C43" i="5"/>
  <c r="G7" i="5"/>
  <c r="E23" i="5"/>
  <c r="E41" i="5"/>
  <c r="D28" i="5"/>
  <c r="C28" i="5"/>
  <c r="D43" i="5"/>
  <c r="E40" i="5"/>
  <c r="E20" i="3"/>
  <c r="F20" i="3" s="1"/>
  <c r="D5" i="6" s="1"/>
  <c r="D64" i="3"/>
  <c r="D77" i="3" s="1"/>
  <c r="C61" i="3"/>
  <c r="C74" i="3" s="1"/>
  <c r="D49" i="3"/>
  <c r="E49" i="3" s="1"/>
  <c r="F49" i="3" s="1"/>
  <c r="F7" i="6" s="1"/>
  <c r="D25" i="3"/>
  <c r="C23" i="3"/>
  <c r="D18" i="6" s="1"/>
  <c r="D21" i="3"/>
  <c r="D41" i="3"/>
  <c r="G39" i="5"/>
  <c r="D50" i="5" s="1"/>
  <c r="G37" i="5"/>
  <c r="G40" i="5"/>
  <c r="E36" i="5"/>
  <c r="G38" i="5"/>
  <c r="G41" i="5"/>
  <c r="E37" i="5"/>
  <c r="G22" i="5"/>
  <c r="G25" i="5"/>
  <c r="E21" i="5"/>
  <c r="G23" i="5"/>
  <c r="G26" i="5"/>
  <c r="E22" i="5"/>
  <c r="G11" i="5"/>
  <c r="G10" i="5"/>
  <c r="G8" i="5"/>
  <c r="D13" i="5"/>
  <c r="C13" i="5"/>
  <c r="C51" i="3"/>
  <c r="F19" i="6" s="1"/>
  <c r="C25" i="3"/>
  <c r="D20" i="6" s="1"/>
  <c r="C66" i="3"/>
  <c r="C21" i="3"/>
  <c r="D16" i="6" s="1"/>
  <c r="C62" i="3"/>
  <c r="D47" i="3"/>
  <c r="F63" i="3"/>
  <c r="F68" i="3" s="1"/>
  <c r="C65" i="3"/>
  <c r="E11" i="3"/>
  <c r="C14" i="3"/>
  <c r="D22" i="3"/>
  <c r="D63" i="3"/>
  <c r="E12" i="3"/>
  <c r="F41" i="3"/>
  <c r="D61" i="3"/>
  <c r="D74" i="3" s="1"/>
  <c r="D65" i="3"/>
  <c r="D78" i="3" s="1"/>
  <c r="E9" i="3"/>
  <c r="C24" i="3"/>
  <c r="D19" i="6" s="1"/>
  <c r="E52" i="3"/>
  <c r="G52" i="3" s="1"/>
  <c r="E48" i="3"/>
  <c r="F48" i="3" s="1"/>
  <c r="F6" i="6" s="1"/>
  <c r="E50" i="3"/>
  <c r="F50" i="3" s="1"/>
  <c r="F8" i="6" s="1"/>
  <c r="E37" i="3"/>
  <c r="G37" i="3" s="1"/>
  <c r="C64" i="3"/>
  <c r="D24" i="3"/>
  <c r="C41" i="3"/>
  <c r="E34" i="3"/>
  <c r="E36" i="3"/>
  <c r="G36" i="3" s="1"/>
  <c r="C47" i="3"/>
  <c r="F15" i="6" s="1"/>
  <c r="D14" i="3"/>
  <c r="E39" i="3"/>
  <c r="G39" i="3" s="1"/>
  <c r="E35" i="3"/>
  <c r="G35" i="3" s="1"/>
  <c r="K8" i="8" l="1"/>
  <c r="G14" i="11"/>
  <c r="P14" i="11" s="1"/>
  <c r="I14" i="15"/>
  <c r="P14" i="15"/>
  <c r="I14" i="20"/>
  <c r="P14" i="20"/>
  <c r="F15" i="24"/>
  <c r="G15" i="24" s="1"/>
  <c r="F15" i="20"/>
  <c r="G15" i="20" s="1"/>
  <c r="F15" i="15"/>
  <c r="G15" i="15" s="1"/>
  <c r="P14" i="24"/>
  <c r="I14" i="24"/>
  <c r="D54" i="3"/>
  <c r="M22" i="20"/>
  <c r="N22" i="20" s="1"/>
  <c r="N23" i="20" s="1"/>
  <c r="G9" i="3"/>
  <c r="E16" i="8"/>
  <c r="F15" i="11"/>
  <c r="G15" i="11" s="1"/>
  <c r="C68" i="3"/>
  <c r="D76" i="3"/>
  <c r="E76" i="3" s="1"/>
  <c r="G12" i="3"/>
  <c r="G14" i="3" s="1"/>
  <c r="H12" i="3" s="1"/>
  <c r="G7" i="3"/>
  <c r="E13" i="5"/>
  <c r="D27" i="3"/>
  <c r="E22" i="3"/>
  <c r="F22" i="3" s="1"/>
  <c r="D7" i="6" s="1"/>
  <c r="C54" i="3"/>
  <c r="F52" i="3"/>
  <c r="F10" i="6" s="1"/>
  <c r="E23" i="3"/>
  <c r="F23" i="3" s="1"/>
  <c r="D8" i="6" s="1"/>
  <c r="G48" i="3"/>
  <c r="G20" i="3"/>
  <c r="E43" i="5"/>
  <c r="E28" i="5"/>
  <c r="C78" i="3"/>
  <c r="E65" i="3"/>
  <c r="G65" i="3" s="1"/>
  <c r="G50" i="3"/>
  <c r="C79" i="3"/>
  <c r="E66" i="3"/>
  <c r="G66" i="3" s="1"/>
  <c r="E63" i="3"/>
  <c r="G63" i="3" s="1"/>
  <c r="E47" i="3"/>
  <c r="F47" i="3" s="1"/>
  <c r="F5" i="6" s="1"/>
  <c r="E25" i="3"/>
  <c r="G25" i="3" s="1"/>
  <c r="C77" i="3"/>
  <c r="E64" i="3"/>
  <c r="E24" i="3"/>
  <c r="G24" i="3" s="1"/>
  <c r="E61" i="3"/>
  <c r="C89" i="3" s="1"/>
  <c r="D89" i="3" s="1"/>
  <c r="C27" i="3"/>
  <c r="C75" i="3"/>
  <c r="E62" i="3"/>
  <c r="E51" i="3"/>
  <c r="G51" i="3" s="1"/>
  <c r="G23" i="3"/>
  <c r="D68" i="3"/>
  <c r="E41" i="3"/>
  <c r="G34" i="3"/>
  <c r="E74" i="3"/>
  <c r="E14" i="3"/>
  <c r="G11" i="3"/>
  <c r="E21" i="3"/>
  <c r="G21" i="3" s="1"/>
  <c r="G49" i="3"/>
  <c r="G11" i="12" l="1"/>
  <c r="I13" i="16"/>
  <c r="I14" i="11"/>
  <c r="Q22" i="20"/>
  <c r="I13" i="21" s="1"/>
  <c r="J13" i="21" s="1"/>
  <c r="P15" i="24"/>
  <c r="I15" i="24"/>
  <c r="I16" i="24" s="1"/>
  <c r="I15" i="20"/>
  <c r="I16" i="20" s="1"/>
  <c r="P15" i="20"/>
  <c r="G11" i="21"/>
  <c r="O13" i="16"/>
  <c r="I15" i="15"/>
  <c r="I16" i="15" s="1"/>
  <c r="P15" i="15"/>
  <c r="C94" i="3"/>
  <c r="R13" i="16"/>
  <c r="G11" i="25"/>
  <c r="G11" i="17"/>
  <c r="L13" i="16"/>
  <c r="C91" i="3"/>
  <c r="D91" i="3" s="1"/>
  <c r="M23" i="20"/>
  <c r="Q23" i="20" s="1"/>
  <c r="F5" i="9"/>
  <c r="F5" i="22"/>
  <c r="F5" i="18"/>
  <c r="F5" i="13"/>
  <c r="Q22" i="15"/>
  <c r="N22" i="15"/>
  <c r="N23" i="15" s="1"/>
  <c r="H26" i="11"/>
  <c r="H27" i="11" s="1"/>
  <c r="D81" i="3"/>
  <c r="D94" i="3"/>
  <c r="G64" i="3"/>
  <c r="C92" i="3"/>
  <c r="K16" i="8"/>
  <c r="H16" i="8"/>
  <c r="G16" i="8"/>
  <c r="I16" i="8"/>
  <c r="J16" i="8"/>
  <c r="C93" i="3"/>
  <c r="H14" i="11"/>
  <c r="G62" i="3"/>
  <c r="C90" i="3"/>
  <c r="I15" i="11"/>
  <c r="I16" i="11" s="1"/>
  <c r="P15" i="11"/>
  <c r="G22" i="3"/>
  <c r="F25" i="3"/>
  <c r="D10" i="6" s="1"/>
  <c r="F24" i="3"/>
  <c r="D9" i="6" s="1"/>
  <c r="F21" i="5"/>
  <c r="F36" i="5"/>
  <c r="F6" i="5"/>
  <c r="G8" i="4"/>
  <c r="H9" i="3"/>
  <c r="G47" i="3"/>
  <c r="G76" i="3"/>
  <c r="G74" i="3"/>
  <c r="F21" i="3"/>
  <c r="D6" i="6" s="1"/>
  <c r="G61" i="3"/>
  <c r="E68" i="3"/>
  <c r="F2" i="3" s="1"/>
  <c r="E77" i="3"/>
  <c r="G41" i="3"/>
  <c r="E75" i="3"/>
  <c r="F75" i="3" s="1"/>
  <c r="C81" i="3"/>
  <c r="E27" i="3"/>
  <c r="E78" i="3"/>
  <c r="H10" i="3"/>
  <c r="H7" i="3"/>
  <c r="H8" i="3"/>
  <c r="H11" i="3"/>
  <c r="F74" i="3"/>
  <c r="H5" i="6" s="1"/>
  <c r="F51" i="3"/>
  <c r="F9" i="6" s="1"/>
  <c r="F76" i="3"/>
  <c r="E54" i="3"/>
  <c r="E79" i="3"/>
  <c r="F29" i="3" l="1"/>
  <c r="N19" i="16"/>
  <c r="G16" i="24"/>
  <c r="J16" i="24"/>
  <c r="J16" i="20"/>
  <c r="G16" i="20"/>
  <c r="D6" i="23"/>
  <c r="D6" i="14"/>
  <c r="D6" i="19"/>
  <c r="E7" i="10"/>
  <c r="G7" i="10" s="1"/>
  <c r="E7" i="23"/>
  <c r="E7" i="14"/>
  <c r="E7" i="19"/>
  <c r="G27" i="12"/>
  <c r="I14" i="16"/>
  <c r="H18" i="24"/>
  <c r="H19" i="24" s="1"/>
  <c r="H18" i="15"/>
  <c r="H19" i="15" s="1"/>
  <c r="H18" i="20"/>
  <c r="H19" i="20" s="1"/>
  <c r="D7" i="23"/>
  <c r="D7" i="19"/>
  <c r="D7" i="14"/>
  <c r="H10" i="24"/>
  <c r="H11" i="24" s="1"/>
  <c r="H10" i="15"/>
  <c r="H11" i="15" s="1"/>
  <c r="H10" i="20"/>
  <c r="H11" i="20" s="1"/>
  <c r="H22" i="24"/>
  <c r="H23" i="24" s="1"/>
  <c r="H22" i="15"/>
  <c r="H22" i="20"/>
  <c r="H14" i="24"/>
  <c r="H14" i="15"/>
  <c r="H14" i="20"/>
  <c r="H26" i="24"/>
  <c r="H27" i="24" s="1"/>
  <c r="H26" i="20"/>
  <c r="H27" i="20" s="1"/>
  <c r="H26" i="15"/>
  <c r="H27" i="15" s="1"/>
  <c r="G27" i="25"/>
  <c r="R14" i="16"/>
  <c r="G16" i="15"/>
  <c r="J16" i="15"/>
  <c r="L14" i="16"/>
  <c r="G27" i="17"/>
  <c r="G27" i="21"/>
  <c r="O14" i="16"/>
  <c r="I29" i="21"/>
  <c r="J29" i="21" s="1"/>
  <c r="J45" i="21" s="1"/>
  <c r="O45" i="21" s="1"/>
  <c r="N20" i="16"/>
  <c r="M23" i="15"/>
  <c r="Q23" i="15" s="1"/>
  <c r="F7" i="9"/>
  <c r="F7" i="22"/>
  <c r="F7" i="18"/>
  <c r="F7" i="13"/>
  <c r="I13" i="17"/>
  <c r="J13" i="17" s="1"/>
  <c r="K19" i="16"/>
  <c r="D93" i="3"/>
  <c r="H22" i="11"/>
  <c r="H23" i="11" s="1"/>
  <c r="J16" i="11"/>
  <c r="G16" i="11"/>
  <c r="D90" i="3"/>
  <c r="H10" i="11"/>
  <c r="H11" i="11" s="1"/>
  <c r="H15" i="11"/>
  <c r="J15" i="11" s="1"/>
  <c r="K15" i="11" s="1"/>
  <c r="J14" i="11"/>
  <c r="K14" i="11" s="1"/>
  <c r="D92" i="3"/>
  <c r="H18" i="11"/>
  <c r="H19" i="11" s="1"/>
  <c r="G68" i="3"/>
  <c r="H62" i="3" s="1"/>
  <c r="H6" i="6"/>
  <c r="H16" i="6" s="1"/>
  <c r="F7" i="7" s="1"/>
  <c r="D7" i="8" s="1"/>
  <c r="D6" i="10"/>
  <c r="H7" i="6"/>
  <c r="H17" i="6" s="1"/>
  <c r="F8" i="7" s="1"/>
  <c r="G8" i="7" s="1"/>
  <c r="D7" i="10"/>
  <c r="G79" i="3"/>
  <c r="E81" i="3"/>
  <c r="G81" i="3" s="1"/>
  <c r="G78" i="3"/>
  <c r="G77" i="3"/>
  <c r="F78" i="3"/>
  <c r="G75" i="3"/>
  <c r="F79" i="3"/>
  <c r="G10" i="4"/>
  <c r="F23" i="5"/>
  <c r="F8" i="5"/>
  <c r="F38" i="5"/>
  <c r="H14" i="3"/>
  <c r="G54" i="3"/>
  <c r="F54" i="3"/>
  <c r="F27" i="3"/>
  <c r="G27" i="3"/>
  <c r="H38" i="3"/>
  <c r="H35" i="3"/>
  <c r="H36" i="3"/>
  <c r="H37" i="3"/>
  <c r="H39" i="3"/>
  <c r="F81" i="3"/>
  <c r="H34" i="3"/>
  <c r="F77" i="3"/>
  <c r="E21" i="10" l="1"/>
  <c r="G21" i="10" s="1"/>
  <c r="D9" i="19"/>
  <c r="D9" i="23"/>
  <c r="D9" i="14"/>
  <c r="E9" i="10"/>
  <c r="E23" i="10" s="1"/>
  <c r="G23" i="10" s="1"/>
  <c r="E9" i="23"/>
  <c r="E9" i="19"/>
  <c r="E9" i="14"/>
  <c r="H15" i="24"/>
  <c r="J15" i="24" s="1"/>
  <c r="K15" i="24" s="1"/>
  <c r="J14" i="24"/>
  <c r="K14" i="24" s="1"/>
  <c r="F7" i="19"/>
  <c r="D21" i="19"/>
  <c r="F21" i="19" s="1"/>
  <c r="E21" i="14"/>
  <c r="G21" i="14" s="1"/>
  <c r="G7" i="14"/>
  <c r="D20" i="14"/>
  <c r="F20" i="14" s="1"/>
  <c r="F6" i="14"/>
  <c r="K16" i="24"/>
  <c r="N16" i="24"/>
  <c r="D8" i="23"/>
  <c r="D8" i="19"/>
  <c r="D8" i="14"/>
  <c r="E6" i="10"/>
  <c r="G6" i="10" s="1"/>
  <c r="E6" i="23"/>
  <c r="E6" i="14"/>
  <c r="E6" i="19"/>
  <c r="E10" i="10"/>
  <c r="E24" i="10" s="1"/>
  <c r="G24" i="10" s="1"/>
  <c r="E10" i="23"/>
  <c r="E10" i="19"/>
  <c r="E10" i="14"/>
  <c r="H15" i="15"/>
  <c r="J15" i="15" s="1"/>
  <c r="K15" i="15" s="1"/>
  <c r="J14" i="15"/>
  <c r="K14" i="15" s="1"/>
  <c r="F6" i="19"/>
  <c r="D20" i="19"/>
  <c r="F20" i="19" s="1"/>
  <c r="D10" i="23"/>
  <c r="D10" i="14"/>
  <c r="D10" i="19"/>
  <c r="H23" i="20"/>
  <c r="J23" i="20" s="1"/>
  <c r="K23" i="20" s="1"/>
  <c r="L23" i="20" s="1"/>
  <c r="J22" i="20"/>
  <c r="K22" i="20" s="1"/>
  <c r="L22" i="20" s="1"/>
  <c r="D21" i="23"/>
  <c r="F21" i="23" s="1"/>
  <c r="F7" i="23"/>
  <c r="E21" i="23"/>
  <c r="G21" i="23" s="1"/>
  <c r="G7" i="23"/>
  <c r="F6" i="23"/>
  <c r="D20" i="23"/>
  <c r="F20" i="23" s="1"/>
  <c r="H63" i="3"/>
  <c r="H66" i="3"/>
  <c r="H68" i="3" s="1"/>
  <c r="H64" i="3"/>
  <c r="D21" i="14"/>
  <c r="F21" i="14" s="1"/>
  <c r="F7" i="14"/>
  <c r="G7" i="19"/>
  <c r="E21" i="19"/>
  <c r="G21" i="19" s="1"/>
  <c r="K16" i="20"/>
  <c r="N16" i="20"/>
  <c r="E8" i="10"/>
  <c r="E22" i="10" s="1"/>
  <c r="G22" i="10" s="1"/>
  <c r="E8" i="23"/>
  <c r="E8" i="14"/>
  <c r="E8" i="19"/>
  <c r="N16" i="15"/>
  <c r="K16" i="15"/>
  <c r="H15" i="20"/>
  <c r="J15" i="20" s="1"/>
  <c r="K15" i="20" s="1"/>
  <c r="J14" i="20"/>
  <c r="K14" i="20" s="1"/>
  <c r="H23" i="15"/>
  <c r="J23" i="15" s="1"/>
  <c r="K23" i="15" s="1"/>
  <c r="L23" i="15" s="1"/>
  <c r="J22" i="15"/>
  <c r="K22" i="15" s="1"/>
  <c r="L22" i="15" s="1"/>
  <c r="H61" i="3"/>
  <c r="H65" i="3"/>
  <c r="I29" i="17"/>
  <c r="J29" i="17" s="1"/>
  <c r="J45" i="17" s="1"/>
  <c r="K20" i="16"/>
  <c r="F10" i="11"/>
  <c r="G10" i="11" s="1"/>
  <c r="I10" i="11" s="1"/>
  <c r="J10" i="11" s="1"/>
  <c r="K10" i="11" s="1"/>
  <c r="F10" i="24"/>
  <c r="G10" i="24" s="1"/>
  <c r="C10" i="16"/>
  <c r="F10" i="15"/>
  <c r="G10" i="15" s="1"/>
  <c r="F10" i="20"/>
  <c r="G10" i="20" s="1"/>
  <c r="F6" i="9"/>
  <c r="F6" i="22"/>
  <c r="F6" i="18"/>
  <c r="F6" i="13"/>
  <c r="F10" i="9"/>
  <c r="F10" i="22"/>
  <c r="F10" i="18"/>
  <c r="F10" i="13"/>
  <c r="F9" i="9"/>
  <c r="F9" i="22"/>
  <c r="F9" i="13"/>
  <c r="F9" i="18"/>
  <c r="F8" i="9"/>
  <c r="F8" i="22"/>
  <c r="F8" i="13"/>
  <c r="F8" i="18"/>
  <c r="K16" i="11"/>
  <c r="N16" i="11"/>
  <c r="G7" i="7"/>
  <c r="H10" i="6"/>
  <c r="H20" i="6" s="1"/>
  <c r="F11" i="7" s="1"/>
  <c r="D11" i="8" s="1"/>
  <c r="D10" i="10"/>
  <c r="H9" i="6"/>
  <c r="H19" i="6" s="1"/>
  <c r="F10" i="7" s="1"/>
  <c r="G10" i="7" s="1"/>
  <c r="D9" i="10"/>
  <c r="F7" i="10"/>
  <c r="D21" i="10"/>
  <c r="F21" i="10" s="1"/>
  <c r="D20" i="10"/>
  <c r="F20" i="10" s="1"/>
  <c r="F6" i="10"/>
  <c r="H8" i="6"/>
  <c r="D8" i="10"/>
  <c r="E7" i="8"/>
  <c r="D15" i="8"/>
  <c r="G9" i="4"/>
  <c r="F37" i="5"/>
  <c r="F7" i="5"/>
  <c r="F22" i="5"/>
  <c r="E15" i="4"/>
  <c r="G12" i="4"/>
  <c r="F10" i="5"/>
  <c r="F40" i="5"/>
  <c r="F25" i="5"/>
  <c r="G13" i="4"/>
  <c r="F11" i="5"/>
  <c r="F26" i="5"/>
  <c r="F41" i="5"/>
  <c r="F24" i="5"/>
  <c r="G11" i="4"/>
  <c r="C50" i="5" s="1"/>
  <c r="E50" i="5" s="1"/>
  <c r="F50" i="5" s="1"/>
  <c r="C53" i="5" s="1"/>
  <c r="D53" i="5" s="1"/>
  <c r="E53" i="5" s="1"/>
  <c r="F53" i="5" s="1"/>
  <c r="F39" i="5"/>
  <c r="F9" i="5"/>
  <c r="H41" i="3"/>
  <c r="F12" i="9" l="1"/>
  <c r="H12" i="9" s="1"/>
  <c r="H5" i="9" s="1"/>
  <c r="G9" i="10"/>
  <c r="M15" i="20"/>
  <c r="M14" i="20"/>
  <c r="G8" i="10"/>
  <c r="E20" i="10"/>
  <c r="G20" i="10" s="1"/>
  <c r="P10" i="11"/>
  <c r="I10" i="16" s="1"/>
  <c r="D24" i="23"/>
  <c r="F24" i="23" s="1"/>
  <c r="F10" i="23"/>
  <c r="E23" i="23"/>
  <c r="G23" i="23" s="1"/>
  <c r="G9" i="23"/>
  <c r="L15" i="15"/>
  <c r="L14" i="15"/>
  <c r="E22" i="23"/>
  <c r="G22" i="23" s="1"/>
  <c r="G8" i="23"/>
  <c r="F10" i="14"/>
  <c r="D24" i="14"/>
  <c r="F24" i="14" s="1"/>
  <c r="G10" i="23"/>
  <c r="E24" i="23"/>
  <c r="G24" i="23" s="1"/>
  <c r="G6" i="23"/>
  <c r="E20" i="23"/>
  <c r="G20" i="23" s="1"/>
  <c r="D22" i="23"/>
  <c r="F22" i="23" s="1"/>
  <c r="F8" i="23"/>
  <c r="E23" i="19"/>
  <c r="G23" i="19" s="1"/>
  <c r="G9" i="19"/>
  <c r="D23" i="23"/>
  <c r="F23" i="23" s="1"/>
  <c r="F9" i="23"/>
  <c r="E22" i="14"/>
  <c r="G22" i="14" s="1"/>
  <c r="G8" i="14"/>
  <c r="L14" i="20"/>
  <c r="L15" i="20"/>
  <c r="F10" i="19"/>
  <c r="D24" i="19"/>
  <c r="F24" i="19" s="1"/>
  <c r="E24" i="19"/>
  <c r="G24" i="19" s="1"/>
  <c r="G10" i="19"/>
  <c r="E20" i="14"/>
  <c r="G20" i="14" s="1"/>
  <c r="G6" i="14"/>
  <c r="D22" i="19"/>
  <c r="F22" i="19" s="1"/>
  <c r="F8" i="19"/>
  <c r="E23" i="14"/>
  <c r="G23" i="14" s="1"/>
  <c r="G9" i="14"/>
  <c r="F9" i="14"/>
  <c r="D23" i="14"/>
  <c r="F23" i="14" s="1"/>
  <c r="G10" i="10"/>
  <c r="D23" i="19"/>
  <c r="F23" i="19" s="1"/>
  <c r="F9" i="19"/>
  <c r="E22" i="19"/>
  <c r="G22" i="19" s="1"/>
  <c r="G8" i="19"/>
  <c r="E24" i="14"/>
  <c r="G24" i="14" s="1"/>
  <c r="G10" i="14"/>
  <c r="E20" i="19"/>
  <c r="G20" i="19" s="1"/>
  <c r="G6" i="19"/>
  <c r="D22" i="14"/>
  <c r="F22" i="14" s="1"/>
  <c r="F8" i="14"/>
  <c r="M15" i="24"/>
  <c r="L14" i="24"/>
  <c r="L15" i="24"/>
  <c r="F11" i="24"/>
  <c r="G11" i="24" s="1"/>
  <c r="F11" i="20"/>
  <c r="G11" i="20" s="1"/>
  <c r="F11" i="15"/>
  <c r="G11" i="15" s="1"/>
  <c r="I10" i="15"/>
  <c r="P10" i="15"/>
  <c r="P10" i="24"/>
  <c r="I10" i="24"/>
  <c r="G10" i="12"/>
  <c r="P10" i="20"/>
  <c r="I10" i="20"/>
  <c r="F26" i="11"/>
  <c r="F26" i="24"/>
  <c r="G26" i="24" s="1"/>
  <c r="C22" i="16"/>
  <c r="F26" i="15"/>
  <c r="G26" i="15" s="1"/>
  <c r="F26" i="20"/>
  <c r="F12" i="22"/>
  <c r="H12" i="22" s="1"/>
  <c r="F12" i="18"/>
  <c r="H12" i="18" s="1"/>
  <c r="F12" i="13"/>
  <c r="H12" i="13" s="1"/>
  <c r="H5" i="13" s="1"/>
  <c r="O45" i="17"/>
  <c r="D10" i="8"/>
  <c r="E10" i="8" s="1"/>
  <c r="I26" i="11"/>
  <c r="J26" i="11" s="1"/>
  <c r="K26" i="11" s="1"/>
  <c r="P26" i="11"/>
  <c r="L15" i="11"/>
  <c r="L14" i="11"/>
  <c r="G11" i="7"/>
  <c r="E15" i="8"/>
  <c r="I15" i="8" s="1"/>
  <c r="F11" i="11"/>
  <c r="G11" i="11" s="1"/>
  <c r="F10" i="10"/>
  <c r="D24" i="10"/>
  <c r="F24" i="10" s="1"/>
  <c r="G8" i="9"/>
  <c r="L41" i="12"/>
  <c r="F8" i="10"/>
  <c r="D22" i="10"/>
  <c r="F22" i="10" s="1"/>
  <c r="D23" i="10"/>
  <c r="F23" i="10" s="1"/>
  <c r="F9" i="10"/>
  <c r="J7" i="8"/>
  <c r="G7" i="8"/>
  <c r="I7" i="8"/>
  <c r="H7" i="8"/>
  <c r="K7" i="8"/>
  <c r="D19" i="8"/>
  <c r="E11" i="8"/>
  <c r="F43" i="5"/>
  <c r="H43" i="5" s="1"/>
  <c r="F28" i="5"/>
  <c r="H28" i="5" s="1"/>
  <c r="H24" i="5" s="1"/>
  <c r="F13" i="5"/>
  <c r="H13" i="5" s="1"/>
  <c r="H6" i="5" l="1"/>
  <c r="G6" i="5" s="1"/>
  <c r="C45" i="5"/>
  <c r="H36" i="5"/>
  <c r="H5" i="18"/>
  <c r="C14" i="18" s="1"/>
  <c r="C14" i="22"/>
  <c r="H5" i="22"/>
  <c r="Q15" i="15"/>
  <c r="N15" i="15"/>
  <c r="N14" i="15" s="1"/>
  <c r="M14" i="15" s="1"/>
  <c r="Q14" i="15" s="1"/>
  <c r="C30" i="5"/>
  <c r="Q15" i="24"/>
  <c r="N15" i="24"/>
  <c r="N14" i="24" s="1"/>
  <c r="M14" i="24" s="1"/>
  <c r="Q14" i="24" s="1"/>
  <c r="Q15" i="20"/>
  <c r="N15" i="20"/>
  <c r="N14" i="20" s="1"/>
  <c r="Q14" i="20" s="1"/>
  <c r="F22" i="11"/>
  <c r="I22" i="11" s="1"/>
  <c r="J22" i="11" s="1"/>
  <c r="K22" i="11" s="1"/>
  <c r="F22" i="24"/>
  <c r="G22" i="24" s="1"/>
  <c r="C19" i="16"/>
  <c r="F22" i="15"/>
  <c r="F22" i="20"/>
  <c r="J10" i="15"/>
  <c r="K10" i="15" s="1"/>
  <c r="J10" i="20"/>
  <c r="K10" i="20" s="1"/>
  <c r="J10" i="24"/>
  <c r="K10" i="24" s="1"/>
  <c r="I11" i="15"/>
  <c r="J11" i="15" s="1"/>
  <c r="K11" i="15" s="1"/>
  <c r="P11" i="15"/>
  <c r="G10" i="21"/>
  <c r="O10" i="16"/>
  <c r="R10" i="16"/>
  <c r="G10" i="25"/>
  <c r="P11" i="20"/>
  <c r="I11" i="20"/>
  <c r="J11" i="20" s="1"/>
  <c r="K11" i="20" s="1"/>
  <c r="G10" i="17"/>
  <c r="L10" i="16"/>
  <c r="I11" i="24"/>
  <c r="J11" i="24" s="1"/>
  <c r="K11" i="24" s="1"/>
  <c r="P11" i="24"/>
  <c r="G26" i="20"/>
  <c r="P26" i="15"/>
  <c r="I26" i="15"/>
  <c r="F27" i="24"/>
  <c r="G27" i="24" s="1"/>
  <c r="F27" i="15"/>
  <c r="G27" i="15" s="1"/>
  <c r="F27" i="20"/>
  <c r="I26" i="24"/>
  <c r="P26" i="24"/>
  <c r="L41" i="25"/>
  <c r="N41" i="25" s="1"/>
  <c r="C5" i="23"/>
  <c r="D5" i="23" s="1"/>
  <c r="G5" i="22"/>
  <c r="G5" i="18"/>
  <c r="L41" i="17"/>
  <c r="C5" i="14"/>
  <c r="C14" i="13"/>
  <c r="G5" i="13"/>
  <c r="G14" i="12"/>
  <c r="I22" i="16"/>
  <c r="P22" i="11"/>
  <c r="K15" i="8"/>
  <c r="D18" i="8"/>
  <c r="E18" i="8" s="1"/>
  <c r="Q15" i="11"/>
  <c r="N15" i="11"/>
  <c r="N14" i="11" s="1"/>
  <c r="M14" i="11" s="1"/>
  <c r="Q14" i="11" s="1"/>
  <c r="G15" i="8"/>
  <c r="I11" i="11"/>
  <c r="I12" i="11" s="1"/>
  <c r="P11" i="11"/>
  <c r="N41" i="12"/>
  <c r="L49" i="12"/>
  <c r="N49" i="12" s="1"/>
  <c r="F23" i="11"/>
  <c r="E19" i="8"/>
  <c r="G19" i="8" s="1"/>
  <c r="F27" i="11"/>
  <c r="H15" i="8"/>
  <c r="J15" i="8"/>
  <c r="C14" i="9"/>
  <c r="C5" i="10"/>
  <c r="G5" i="9"/>
  <c r="G10" i="8"/>
  <c r="K10" i="8"/>
  <c r="I10" i="8"/>
  <c r="H10" i="8"/>
  <c r="J10" i="8"/>
  <c r="J11" i="8"/>
  <c r="K11" i="8"/>
  <c r="I11" i="8"/>
  <c r="H11" i="8"/>
  <c r="G11" i="8"/>
  <c r="G24" i="5"/>
  <c r="H18" i="6"/>
  <c r="F9" i="7" s="1"/>
  <c r="G36" i="5"/>
  <c r="G9" i="5"/>
  <c r="C15" i="5"/>
  <c r="L41" i="21" l="1"/>
  <c r="N41" i="21" s="1"/>
  <c r="C5" i="19"/>
  <c r="C19" i="19" s="1"/>
  <c r="C26" i="19" s="1"/>
  <c r="I27" i="25"/>
  <c r="J27" i="25" s="1"/>
  <c r="Q14" i="16"/>
  <c r="I11" i="17"/>
  <c r="J11" i="17" s="1"/>
  <c r="K13" i="16"/>
  <c r="N14" i="16"/>
  <c r="I27" i="21"/>
  <c r="J27" i="21" s="1"/>
  <c r="I27" i="17"/>
  <c r="J27" i="17" s="1"/>
  <c r="K14" i="16"/>
  <c r="I11" i="25"/>
  <c r="J11" i="25" s="1"/>
  <c r="Q13" i="16"/>
  <c r="I11" i="21"/>
  <c r="J11" i="21" s="1"/>
  <c r="N13" i="16"/>
  <c r="G21" i="5"/>
  <c r="H15" i="6"/>
  <c r="F6" i="7" s="1"/>
  <c r="I27" i="12"/>
  <c r="J27" i="12" s="1"/>
  <c r="H14" i="16"/>
  <c r="I11" i="12"/>
  <c r="J11" i="12" s="1"/>
  <c r="H13" i="16"/>
  <c r="K18" i="8"/>
  <c r="H18" i="8"/>
  <c r="J18" i="8"/>
  <c r="F23" i="24"/>
  <c r="G23" i="24" s="1"/>
  <c r="F23" i="20"/>
  <c r="F23" i="15"/>
  <c r="P22" i="24"/>
  <c r="I22" i="24"/>
  <c r="I12" i="20"/>
  <c r="G12" i="20" s="1"/>
  <c r="I12" i="24"/>
  <c r="G12" i="24" s="1"/>
  <c r="J11" i="11"/>
  <c r="K11" i="11" s="1"/>
  <c r="G26" i="17"/>
  <c r="L11" i="16"/>
  <c r="R11" i="16"/>
  <c r="G26" i="25"/>
  <c r="G26" i="12"/>
  <c r="I11" i="16"/>
  <c r="G26" i="21"/>
  <c r="O11" i="16"/>
  <c r="I12" i="15"/>
  <c r="I19" i="8"/>
  <c r="L22" i="16"/>
  <c r="G14" i="17"/>
  <c r="G27" i="20"/>
  <c r="I27" i="15"/>
  <c r="J27" i="15" s="1"/>
  <c r="K27" i="15" s="1"/>
  <c r="P27" i="15"/>
  <c r="I26" i="20"/>
  <c r="P26" i="20"/>
  <c r="R22" i="16"/>
  <c r="G14" i="25"/>
  <c r="P27" i="24"/>
  <c r="I27" i="24"/>
  <c r="J27" i="24" s="1"/>
  <c r="K27" i="24" s="1"/>
  <c r="J26" i="24"/>
  <c r="K26" i="24" s="1"/>
  <c r="J26" i="15"/>
  <c r="K26" i="15" s="1"/>
  <c r="L49" i="21"/>
  <c r="N49" i="21" s="1"/>
  <c r="E5" i="23"/>
  <c r="G5" i="23" s="1"/>
  <c r="L49" i="25"/>
  <c r="N49" i="25" s="1"/>
  <c r="D5" i="19"/>
  <c r="F5" i="19" s="1"/>
  <c r="C12" i="23"/>
  <c r="C19" i="23"/>
  <c r="H8" i="24" s="1"/>
  <c r="E5" i="19"/>
  <c r="E19" i="19" s="1"/>
  <c r="H8" i="20"/>
  <c r="C19" i="14"/>
  <c r="D5" i="14"/>
  <c r="C12" i="14"/>
  <c r="E5" i="14"/>
  <c r="D12" i="23"/>
  <c r="F5" i="23"/>
  <c r="D19" i="23"/>
  <c r="L49" i="17"/>
  <c r="N49" i="17" s="1"/>
  <c r="N41" i="17"/>
  <c r="G13" i="12"/>
  <c r="I19" i="16"/>
  <c r="I18" i="8"/>
  <c r="G18" i="8"/>
  <c r="I27" i="11"/>
  <c r="J27" i="11" s="1"/>
  <c r="K27" i="11" s="1"/>
  <c r="P27" i="11"/>
  <c r="I23" i="11"/>
  <c r="J23" i="11" s="1"/>
  <c r="K23" i="11" s="1"/>
  <c r="P23" i="11"/>
  <c r="K19" i="8"/>
  <c r="H19" i="8"/>
  <c r="J12" i="11"/>
  <c r="G12" i="11"/>
  <c r="J19" i="8"/>
  <c r="C12" i="10"/>
  <c r="E5" i="10"/>
  <c r="D5" i="10"/>
  <c r="C19" i="10"/>
  <c r="G9" i="7"/>
  <c r="D9" i="8"/>
  <c r="C12" i="19" l="1"/>
  <c r="J43" i="12"/>
  <c r="O43" i="12" s="1"/>
  <c r="J43" i="25"/>
  <c r="O43" i="25" s="1"/>
  <c r="J43" i="17"/>
  <c r="O43" i="17" s="1"/>
  <c r="J12" i="24"/>
  <c r="K12" i="24" s="1"/>
  <c r="J12" i="20"/>
  <c r="K12" i="20" s="1"/>
  <c r="D19" i="19"/>
  <c r="D26" i="19" s="1"/>
  <c r="G6" i="7"/>
  <c r="D6" i="8"/>
  <c r="J43" i="21"/>
  <c r="O43" i="21" s="1"/>
  <c r="J22" i="24"/>
  <c r="K22" i="24" s="1"/>
  <c r="I23" i="24"/>
  <c r="J23" i="24" s="1"/>
  <c r="K23" i="24" s="1"/>
  <c r="P23" i="24"/>
  <c r="G13" i="25"/>
  <c r="R19" i="16"/>
  <c r="J12" i="15"/>
  <c r="G12" i="15"/>
  <c r="I28" i="24"/>
  <c r="G28" i="24" s="1"/>
  <c r="I28" i="15"/>
  <c r="J28" i="15" s="1"/>
  <c r="G30" i="25"/>
  <c r="R23" i="16"/>
  <c r="J26" i="20"/>
  <c r="K26" i="20" s="1"/>
  <c r="L23" i="16"/>
  <c r="G30" i="17"/>
  <c r="O22" i="16"/>
  <c r="G14" i="21"/>
  <c r="P27" i="20"/>
  <c r="I27" i="20"/>
  <c r="J27" i="20" s="1"/>
  <c r="K27" i="20" s="1"/>
  <c r="E12" i="23"/>
  <c r="C26" i="23"/>
  <c r="E19" i="23"/>
  <c r="E26" i="23" s="1"/>
  <c r="G5" i="19"/>
  <c r="D12" i="19"/>
  <c r="E12" i="19"/>
  <c r="G5" i="14"/>
  <c r="E19" i="14"/>
  <c r="E12" i="14"/>
  <c r="H6" i="20"/>
  <c r="H30" i="20"/>
  <c r="G18" i="11"/>
  <c r="P18" i="11" s="1"/>
  <c r="G18" i="24"/>
  <c r="G18" i="15"/>
  <c r="G18" i="20"/>
  <c r="G19" i="19"/>
  <c r="E26" i="19"/>
  <c r="D26" i="23"/>
  <c r="F19" i="23"/>
  <c r="H30" i="24"/>
  <c r="H6" i="24"/>
  <c r="D12" i="14"/>
  <c r="F5" i="14"/>
  <c r="D19" i="14"/>
  <c r="H8" i="15"/>
  <c r="C26" i="14"/>
  <c r="G30" i="12"/>
  <c r="I23" i="16"/>
  <c r="G29" i="12"/>
  <c r="I20" i="16"/>
  <c r="I28" i="11"/>
  <c r="G28" i="11" s="1"/>
  <c r="I24" i="11"/>
  <c r="J24" i="11" s="1"/>
  <c r="K12" i="11"/>
  <c r="N12" i="11"/>
  <c r="H8" i="11"/>
  <c r="C26" i="10"/>
  <c r="G5" i="10"/>
  <c r="E19" i="10"/>
  <c r="E12" i="10"/>
  <c r="F5" i="10"/>
  <c r="D12" i="10"/>
  <c r="D19" i="10"/>
  <c r="E9" i="8"/>
  <c r="D17" i="8"/>
  <c r="J28" i="24" l="1"/>
  <c r="N12" i="20"/>
  <c r="N12" i="24"/>
  <c r="F19" i="19"/>
  <c r="F6" i="15"/>
  <c r="G6" i="15" s="1"/>
  <c r="D14" i="8"/>
  <c r="E6" i="8"/>
  <c r="F6" i="20"/>
  <c r="G6" i="20" s="1"/>
  <c r="F6" i="24"/>
  <c r="G6" i="24" s="1"/>
  <c r="F6" i="11"/>
  <c r="G6" i="11" s="1"/>
  <c r="C7" i="16"/>
  <c r="R20" i="16"/>
  <c r="G29" i="25"/>
  <c r="I24" i="24"/>
  <c r="L11" i="20"/>
  <c r="M11" i="20" s="1"/>
  <c r="L10" i="20"/>
  <c r="K12" i="15"/>
  <c r="N12" i="15"/>
  <c r="M11" i="24"/>
  <c r="L11" i="24"/>
  <c r="L10" i="24"/>
  <c r="G28" i="15"/>
  <c r="K28" i="15"/>
  <c r="N28" i="15"/>
  <c r="N28" i="24"/>
  <c r="K28" i="24"/>
  <c r="O23" i="16"/>
  <c r="G30" i="21"/>
  <c r="I28" i="20"/>
  <c r="G19" i="23"/>
  <c r="C28" i="19"/>
  <c r="I18" i="11"/>
  <c r="J18" i="11" s="1"/>
  <c r="K18" i="11" s="1"/>
  <c r="C28" i="23"/>
  <c r="G12" i="12"/>
  <c r="I16" i="16"/>
  <c r="P18" i="20"/>
  <c r="I18" i="20"/>
  <c r="G19" i="24"/>
  <c r="G19" i="20"/>
  <c r="G19" i="15"/>
  <c r="H30" i="15"/>
  <c r="H32" i="15" s="1"/>
  <c r="H6" i="15"/>
  <c r="H32" i="24"/>
  <c r="D26" i="14"/>
  <c r="F19" i="14"/>
  <c r="H7" i="24"/>
  <c r="I18" i="15"/>
  <c r="P18" i="15"/>
  <c r="H32" i="20"/>
  <c r="E26" i="14"/>
  <c r="G19" i="14"/>
  <c r="I18" i="24"/>
  <c r="P18" i="24"/>
  <c r="H7" i="20"/>
  <c r="J28" i="11"/>
  <c r="K28" i="11" s="1"/>
  <c r="M27" i="11" s="1"/>
  <c r="G24" i="11"/>
  <c r="L10" i="11"/>
  <c r="L11" i="11"/>
  <c r="M11" i="11" s="1"/>
  <c r="K24" i="11"/>
  <c r="M22" i="11" s="1"/>
  <c r="N24" i="11"/>
  <c r="H6" i="11"/>
  <c r="F19" i="10"/>
  <c r="D26" i="10"/>
  <c r="G19" i="10"/>
  <c r="E26" i="10"/>
  <c r="H30" i="11"/>
  <c r="H32" i="11" s="1"/>
  <c r="E17" i="8"/>
  <c r="I17" i="8" s="1"/>
  <c r="G19" i="11"/>
  <c r="H9" i="8"/>
  <c r="G9" i="8"/>
  <c r="K9" i="8"/>
  <c r="J9" i="8"/>
  <c r="I9" i="8"/>
  <c r="F7" i="15" l="1"/>
  <c r="G7" i="15" s="1"/>
  <c r="F7" i="24"/>
  <c r="G7" i="24" s="1"/>
  <c r="F7" i="11"/>
  <c r="G7" i="11" s="1"/>
  <c r="E14" i="8"/>
  <c r="F7" i="20"/>
  <c r="G7" i="20" s="1"/>
  <c r="I6" i="24"/>
  <c r="J6" i="24" s="1"/>
  <c r="K6" i="24" s="1"/>
  <c r="P6" i="24"/>
  <c r="I6" i="15"/>
  <c r="J6" i="15" s="1"/>
  <c r="K6" i="15" s="1"/>
  <c r="P6" i="15"/>
  <c r="P6" i="11"/>
  <c r="I6" i="11"/>
  <c r="J6" i="11" s="1"/>
  <c r="K6" i="11" s="1"/>
  <c r="J6" i="8"/>
  <c r="I6" i="8"/>
  <c r="H6" i="8"/>
  <c r="G6" i="8"/>
  <c r="K6" i="8"/>
  <c r="P6" i="20"/>
  <c r="I6" i="20"/>
  <c r="J6" i="20" s="1"/>
  <c r="K6" i="20" s="1"/>
  <c r="Q27" i="11"/>
  <c r="N27" i="11"/>
  <c r="G24" i="24"/>
  <c r="J24" i="24"/>
  <c r="L10" i="15"/>
  <c r="L11" i="15"/>
  <c r="M11" i="15" s="1"/>
  <c r="N11" i="24"/>
  <c r="N10" i="24" s="1"/>
  <c r="M10" i="24" s="1"/>
  <c r="Q10" i="24" s="1"/>
  <c r="Q11" i="24"/>
  <c r="Q11" i="20"/>
  <c r="N11" i="20"/>
  <c r="N10" i="20" s="1"/>
  <c r="M10" i="20" s="1"/>
  <c r="Q10" i="20" s="1"/>
  <c r="M27" i="24"/>
  <c r="L26" i="24"/>
  <c r="L27" i="24"/>
  <c r="M27" i="15"/>
  <c r="L26" i="15"/>
  <c r="L27" i="15"/>
  <c r="G28" i="20"/>
  <c r="J28" i="20"/>
  <c r="G17" i="8"/>
  <c r="K17" i="8"/>
  <c r="J17" i="8"/>
  <c r="H17" i="8"/>
  <c r="C28" i="14"/>
  <c r="J18" i="24"/>
  <c r="K18" i="24" s="1"/>
  <c r="J18" i="20"/>
  <c r="K18" i="20" s="1"/>
  <c r="G12" i="17"/>
  <c r="L16" i="16"/>
  <c r="P19" i="15"/>
  <c r="I19" i="15"/>
  <c r="J19" i="15" s="1"/>
  <c r="K19" i="15" s="1"/>
  <c r="G12" i="21"/>
  <c r="O16" i="16"/>
  <c r="P19" i="24"/>
  <c r="I19" i="24"/>
  <c r="J19" i="24" s="1"/>
  <c r="K19" i="24" s="1"/>
  <c r="R16" i="16"/>
  <c r="G12" i="25"/>
  <c r="J18" i="15"/>
  <c r="K18" i="15" s="1"/>
  <c r="H7" i="15"/>
  <c r="P19" i="20"/>
  <c r="I19" i="20"/>
  <c r="J19" i="20" s="1"/>
  <c r="K19" i="20" s="1"/>
  <c r="N28" i="11"/>
  <c r="C28" i="10"/>
  <c r="I19" i="11"/>
  <c r="J19" i="11" s="1"/>
  <c r="K19" i="11" s="1"/>
  <c r="P19" i="11"/>
  <c r="N11" i="11"/>
  <c r="N10" i="11" s="1"/>
  <c r="M10" i="11" s="1"/>
  <c r="Q10" i="11" s="1"/>
  <c r="Q11" i="11"/>
  <c r="L26" i="11"/>
  <c r="L27" i="11"/>
  <c r="L22" i="11"/>
  <c r="L23" i="11"/>
  <c r="H7" i="11"/>
  <c r="I7" i="16" l="1"/>
  <c r="G9" i="12"/>
  <c r="G9" i="21"/>
  <c r="O7" i="16"/>
  <c r="G9" i="17"/>
  <c r="L7" i="16"/>
  <c r="I7" i="20"/>
  <c r="P7" i="20"/>
  <c r="I7" i="15"/>
  <c r="I8" i="15" s="1"/>
  <c r="P7" i="15"/>
  <c r="I7" i="24"/>
  <c r="P7" i="24"/>
  <c r="R7" i="16"/>
  <c r="G9" i="25"/>
  <c r="I7" i="11"/>
  <c r="I8" i="11" s="1"/>
  <c r="P7" i="11"/>
  <c r="G14" i="8"/>
  <c r="H14" i="8"/>
  <c r="J14" i="8"/>
  <c r="I14" i="8"/>
  <c r="K14" i="8"/>
  <c r="N26" i="11"/>
  <c r="M26" i="11" s="1"/>
  <c r="Q26" i="11" s="1"/>
  <c r="I30" i="12"/>
  <c r="J30" i="12" s="1"/>
  <c r="H23" i="16"/>
  <c r="K24" i="24"/>
  <c r="N24" i="24"/>
  <c r="N10" i="16"/>
  <c r="H10" i="21"/>
  <c r="J10" i="21" s="1"/>
  <c r="N11" i="15"/>
  <c r="N10" i="15" s="1"/>
  <c r="M10" i="15" s="1"/>
  <c r="Q10" i="15" s="1"/>
  <c r="Q11" i="15"/>
  <c r="N11" i="16"/>
  <c r="H26" i="21"/>
  <c r="J26" i="21" s="1"/>
  <c r="H26" i="12"/>
  <c r="J26" i="12" s="1"/>
  <c r="H11" i="16"/>
  <c r="Q11" i="16"/>
  <c r="H26" i="25"/>
  <c r="J26" i="25" s="1"/>
  <c r="H10" i="12"/>
  <c r="J10" i="12" s="1"/>
  <c r="J42" i="12" s="1"/>
  <c r="O42" i="12" s="1"/>
  <c r="H10" i="16"/>
  <c r="H10" i="25"/>
  <c r="J10" i="25" s="1"/>
  <c r="Q10" i="16"/>
  <c r="Q27" i="24"/>
  <c r="N27" i="24"/>
  <c r="N26" i="24" s="1"/>
  <c r="M26" i="24" s="1"/>
  <c r="Q26" i="24" s="1"/>
  <c r="K28" i="20"/>
  <c r="N28" i="20"/>
  <c r="Q27" i="15"/>
  <c r="N27" i="15"/>
  <c r="N26" i="15" s="1"/>
  <c r="M26" i="15" s="1"/>
  <c r="Q26" i="15" s="1"/>
  <c r="I20" i="24"/>
  <c r="G20" i="24" s="1"/>
  <c r="G28" i="12"/>
  <c r="I17" i="16"/>
  <c r="I20" i="15"/>
  <c r="G28" i="25"/>
  <c r="R17" i="16"/>
  <c r="G28" i="17"/>
  <c r="L17" i="16"/>
  <c r="I20" i="20"/>
  <c r="G28" i="21"/>
  <c r="O17" i="16"/>
  <c r="N22" i="11"/>
  <c r="Q22" i="11"/>
  <c r="I20" i="11"/>
  <c r="J20" i="11" s="1"/>
  <c r="J7" i="15" l="1"/>
  <c r="K7" i="15" s="1"/>
  <c r="G8" i="11"/>
  <c r="J8" i="11"/>
  <c r="I8" i="24"/>
  <c r="J7" i="24"/>
  <c r="K7" i="24" s="1"/>
  <c r="G8" i="15"/>
  <c r="J8" i="15"/>
  <c r="G25" i="12"/>
  <c r="I8" i="16"/>
  <c r="G25" i="25"/>
  <c r="R8" i="16"/>
  <c r="L8" i="16"/>
  <c r="G25" i="17"/>
  <c r="I8" i="20"/>
  <c r="J7" i="20"/>
  <c r="K7" i="20" s="1"/>
  <c r="G25" i="21"/>
  <c r="O8" i="16"/>
  <c r="J7" i="11"/>
  <c r="K7" i="11" s="1"/>
  <c r="I14" i="12"/>
  <c r="J14" i="12" s="1"/>
  <c r="J46" i="12" s="1"/>
  <c r="O46" i="12" s="1"/>
  <c r="H22" i="16"/>
  <c r="M22" i="24"/>
  <c r="L23" i="24"/>
  <c r="L22" i="24"/>
  <c r="J42" i="21"/>
  <c r="O42" i="21" s="1"/>
  <c r="J42" i="25"/>
  <c r="O42" i="25" s="1"/>
  <c r="H26" i="17"/>
  <c r="J26" i="17" s="1"/>
  <c r="K11" i="16"/>
  <c r="H10" i="17"/>
  <c r="J10" i="17" s="1"/>
  <c r="K10" i="16"/>
  <c r="M27" i="20"/>
  <c r="L26" i="20"/>
  <c r="L27" i="20"/>
  <c r="I14" i="17"/>
  <c r="J14" i="17" s="1"/>
  <c r="K22" i="16"/>
  <c r="I14" i="25"/>
  <c r="J14" i="25" s="1"/>
  <c r="Q22" i="16"/>
  <c r="I30" i="17"/>
  <c r="J30" i="17" s="1"/>
  <c r="K23" i="16"/>
  <c r="Q23" i="16"/>
  <c r="I30" i="25"/>
  <c r="J30" i="25" s="1"/>
  <c r="J20" i="24"/>
  <c r="K20" i="24" s="1"/>
  <c r="G20" i="11"/>
  <c r="J20" i="20"/>
  <c r="G20" i="20"/>
  <c r="J20" i="15"/>
  <c r="G20" i="15"/>
  <c r="N23" i="11"/>
  <c r="M23" i="11" s="1"/>
  <c r="Q23" i="11" s="1"/>
  <c r="H20" i="16" s="1"/>
  <c r="I13" i="12"/>
  <c r="J13" i="12" s="1"/>
  <c r="H19" i="16"/>
  <c r="K20" i="11"/>
  <c r="N20" i="11"/>
  <c r="K8" i="11" l="1"/>
  <c r="N8" i="11"/>
  <c r="G8" i="24"/>
  <c r="J8" i="24"/>
  <c r="G8" i="20"/>
  <c r="J8" i="20"/>
  <c r="N8" i="15"/>
  <c r="K8" i="15"/>
  <c r="N22" i="24"/>
  <c r="N23" i="24" s="1"/>
  <c r="M23" i="24" s="1"/>
  <c r="Q23" i="24" s="1"/>
  <c r="Q22" i="24"/>
  <c r="J42" i="17"/>
  <c r="O42" i="17" s="1"/>
  <c r="J46" i="25"/>
  <c r="O46" i="25" s="1"/>
  <c r="J46" i="17"/>
  <c r="O46" i="17" s="1"/>
  <c r="Q27" i="20"/>
  <c r="N27" i="20"/>
  <c r="N26" i="20" s="1"/>
  <c r="M26" i="20" s="1"/>
  <c r="Q26" i="20" s="1"/>
  <c r="N20" i="24"/>
  <c r="K20" i="15"/>
  <c r="N20" i="15"/>
  <c r="M19" i="24"/>
  <c r="L18" i="24"/>
  <c r="L19" i="24"/>
  <c r="K20" i="20"/>
  <c r="N20" i="20"/>
  <c r="I29" i="12"/>
  <c r="J29" i="12" s="1"/>
  <c r="J45" i="12" s="1"/>
  <c r="O45" i="12" s="1"/>
  <c r="L18" i="11"/>
  <c r="L19" i="11"/>
  <c r="M19" i="11" s="1"/>
  <c r="N8" i="20" l="1"/>
  <c r="K8" i="20"/>
  <c r="L7" i="11"/>
  <c r="L6" i="11"/>
  <c r="M6" i="11" s="1"/>
  <c r="L7" i="15"/>
  <c r="L6" i="15"/>
  <c r="M6" i="15" s="1"/>
  <c r="K8" i="24"/>
  <c r="N8" i="24"/>
  <c r="Q19" i="16"/>
  <c r="I13" i="25"/>
  <c r="J13" i="25" s="1"/>
  <c r="I29" i="25"/>
  <c r="J29" i="25" s="1"/>
  <c r="Q20" i="16"/>
  <c r="I30" i="21"/>
  <c r="J30" i="21" s="1"/>
  <c r="N23" i="16"/>
  <c r="I14" i="21"/>
  <c r="J14" i="21" s="1"/>
  <c r="N22" i="16"/>
  <c r="L19" i="20"/>
  <c r="M19" i="20" s="1"/>
  <c r="L18" i="20"/>
  <c r="N19" i="24"/>
  <c r="N18" i="24" s="1"/>
  <c r="M18" i="24" s="1"/>
  <c r="Q18" i="24" s="1"/>
  <c r="Q19" i="24"/>
  <c r="L18" i="15"/>
  <c r="L19" i="15"/>
  <c r="M19" i="15" s="1"/>
  <c r="Q19" i="11"/>
  <c r="N19" i="11"/>
  <c r="N18" i="11" s="1"/>
  <c r="M18" i="11" s="1"/>
  <c r="Q18" i="11" s="1"/>
  <c r="N6" i="15" l="1"/>
  <c r="N7" i="15" s="1"/>
  <c r="M7" i="15" s="1"/>
  <c r="Q7" i="15" s="1"/>
  <c r="Q6" i="15"/>
  <c r="L6" i="20"/>
  <c r="M6" i="20" s="1"/>
  <c r="L7" i="20"/>
  <c r="L6" i="24"/>
  <c r="L7" i="24"/>
  <c r="M6" i="24"/>
  <c r="Q6" i="11"/>
  <c r="N6" i="11"/>
  <c r="N7" i="11" s="1"/>
  <c r="M7" i="11" s="1"/>
  <c r="Q7" i="11" s="1"/>
  <c r="J45" i="25"/>
  <c r="O45" i="25" s="1"/>
  <c r="J46" i="21"/>
  <c r="O46" i="21" s="1"/>
  <c r="H12" i="12"/>
  <c r="J12" i="12" s="1"/>
  <c r="H16" i="16"/>
  <c r="H28" i="12"/>
  <c r="J28" i="12" s="1"/>
  <c r="H17" i="16"/>
  <c r="Q19" i="15"/>
  <c r="N19" i="15"/>
  <c r="N18" i="15" s="1"/>
  <c r="M18" i="15" s="1"/>
  <c r="Q18" i="15" s="1"/>
  <c r="H28" i="25"/>
  <c r="J28" i="25" s="1"/>
  <c r="Q17" i="16"/>
  <c r="H12" i="25"/>
  <c r="J12" i="25" s="1"/>
  <c r="Q16" i="16"/>
  <c r="Q19" i="20"/>
  <c r="N19" i="20"/>
  <c r="N18" i="20" s="1"/>
  <c r="M18" i="20" s="1"/>
  <c r="Q18" i="20" s="1"/>
  <c r="H8" i="16" l="1"/>
  <c r="H25" i="12"/>
  <c r="J25" i="12" s="1"/>
  <c r="J33" i="12" s="1"/>
  <c r="K8" i="16"/>
  <c r="H25" i="17"/>
  <c r="J25" i="17" s="1"/>
  <c r="K7" i="16"/>
  <c r="H9" i="17"/>
  <c r="J9" i="17" s="1"/>
  <c r="N6" i="24"/>
  <c r="N7" i="24" s="1"/>
  <c r="M7" i="24" s="1"/>
  <c r="Q7" i="24" s="1"/>
  <c r="Q6" i="24"/>
  <c r="N6" i="20"/>
  <c r="N7" i="20" s="1"/>
  <c r="M7" i="20" s="1"/>
  <c r="Q7" i="20" s="1"/>
  <c r="Q6" i="20"/>
  <c r="H7" i="16"/>
  <c r="H9" i="12"/>
  <c r="J9" i="12" s="1"/>
  <c r="J17" i="12" s="1"/>
  <c r="J44" i="12"/>
  <c r="O44" i="12" s="1"/>
  <c r="H12" i="17"/>
  <c r="J12" i="17" s="1"/>
  <c r="K16" i="16"/>
  <c r="N17" i="16"/>
  <c r="H28" i="21"/>
  <c r="J28" i="21" s="1"/>
  <c r="N16" i="16"/>
  <c r="H12" i="21"/>
  <c r="J12" i="21" s="1"/>
  <c r="J44" i="25"/>
  <c r="H28" i="17"/>
  <c r="J28" i="17" s="1"/>
  <c r="K17" i="16"/>
  <c r="J17" i="17" l="1"/>
  <c r="J41" i="17"/>
  <c r="O41" i="17" s="1"/>
  <c r="J41" i="12"/>
  <c r="Q8" i="16"/>
  <c r="H25" i="25"/>
  <c r="J25" i="25" s="1"/>
  <c r="J33" i="25" s="1"/>
  <c r="Q7" i="16"/>
  <c r="H9" i="25"/>
  <c r="J9" i="25" s="1"/>
  <c r="H25" i="21"/>
  <c r="J25" i="21" s="1"/>
  <c r="J33" i="21" s="1"/>
  <c r="N8" i="16"/>
  <c r="N7" i="16"/>
  <c r="H9" i="21"/>
  <c r="J9" i="21" s="1"/>
  <c r="J44" i="17"/>
  <c r="J33" i="17"/>
  <c r="O44" i="25"/>
  <c r="J44" i="21"/>
  <c r="J41" i="21" l="1"/>
  <c r="O41" i="21" s="1"/>
  <c r="O41" i="12"/>
  <c r="J49" i="12"/>
  <c r="O49" i="12" s="1"/>
  <c r="J17" i="21"/>
  <c r="J41" i="25"/>
  <c r="J17" i="25"/>
  <c r="O44" i="21"/>
  <c r="O44" i="17"/>
  <c r="J49" i="17"/>
  <c r="O49" i="17" s="1"/>
  <c r="J49" i="21" l="1"/>
  <c r="O49" i="21" s="1"/>
  <c r="O41" i="25"/>
  <c r="J49" i="25"/>
  <c r="O49" i="25" s="1"/>
</calcChain>
</file>

<file path=xl/sharedStrings.xml><?xml version="1.0" encoding="utf-8"?>
<sst xmlns="http://schemas.openxmlformats.org/spreadsheetml/2006/main" count="1045" uniqueCount="190">
  <si>
    <t>Fort Erie / Gananoque</t>
  </si>
  <si>
    <t>Existing Distribution Rates and Forecasted Loads &amp; Volumes</t>
  </si>
  <si>
    <t>Fixed Charge</t>
  </si>
  <si>
    <t>Volumetric Charge</t>
  </si>
  <si>
    <t>UOM</t>
  </si>
  <si>
    <t>Average Customer (Connection)Count</t>
  </si>
  <si>
    <t>Forecast kWh</t>
  </si>
  <si>
    <t>Forecast kW</t>
  </si>
  <si>
    <t>Residential</t>
  </si>
  <si>
    <t>kWh</t>
  </si>
  <si>
    <t>GS Less Than 50 kW</t>
  </si>
  <si>
    <t>GS 50 to 4,999 kW</t>
  </si>
  <si>
    <t>kW</t>
  </si>
  <si>
    <t>USL</t>
  </si>
  <si>
    <t>Sentinel Lighting</t>
  </si>
  <si>
    <t>Street Lighting</t>
  </si>
  <si>
    <t>Transformer Allowance</t>
  </si>
  <si>
    <t>Port Colborne</t>
  </si>
  <si>
    <t>Harmonized</t>
  </si>
  <si>
    <t>N/A</t>
  </si>
  <si>
    <t>Revenue from Existing Rates at Forecasted Loads and Volumes</t>
  </si>
  <si>
    <t>Customer Class</t>
  </si>
  <si>
    <t xml:space="preserve">Fixed Component </t>
  </si>
  <si>
    <t>Variable Component</t>
  </si>
  <si>
    <t>Distribution Revenue from Rates</t>
  </si>
  <si>
    <t>Net Class Revenue</t>
  </si>
  <si>
    <t>Revenue Share per Class</t>
  </si>
  <si>
    <t>Total</t>
  </si>
  <si>
    <t>Fixed and Variable Proportions at Existing Rates</t>
  </si>
  <si>
    <t>$</t>
  </si>
  <si>
    <t>%</t>
  </si>
  <si>
    <t>Fixed Component</t>
  </si>
  <si>
    <t>Notes:</t>
  </si>
  <si>
    <t>1. Exclusive of transformer ownership credit</t>
  </si>
  <si>
    <t>2. Revenue from Existing rates is the sum of Fort Erie / EOP plus Port Colborne</t>
  </si>
  <si>
    <t>as Determined in the Cost Allocation Study</t>
  </si>
  <si>
    <t>Allocation of Revenue Requirment including Net Income</t>
  </si>
  <si>
    <t>Deficiency Factor</t>
  </si>
  <si>
    <t>Distribution Revenue at Status Quo Rates</t>
  </si>
  <si>
    <t>Misc. Revenue</t>
  </si>
  <si>
    <t>Revenue to Cost Ratio</t>
  </si>
  <si>
    <t>Board's 2011 Policy Range</t>
  </si>
  <si>
    <t>85% - 115%</t>
  </si>
  <si>
    <t>80% - 120%</t>
  </si>
  <si>
    <t>70% - 120%</t>
  </si>
  <si>
    <t>There are two customer classes, the Unmetered Scattered Load and Sentinel Lighting, outside the Board's 2011 Policy Range.  The process to bring the revenue to cost ratios of the customer classes within the bounds of the Board's Policy is:</t>
  </si>
  <si>
    <t>Test Year Revenue to Cost Ratios</t>
  </si>
  <si>
    <t>2. Lower the highest customer class toward its upper boundary of 120% by first shifting cost to the lowest customer class, Sentinel Lighting.  Once the Sentinel Lighting customer class reaches the second lowest customer class, Residential, then continue to raise these two in unison until the USL customer class reaches its upper boundary.</t>
  </si>
  <si>
    <t>Allocation of Revenue Requirement including Net Income</t>
  </si>
  <si>
    <t>1. Raise the lower customer class, the Sentinel Lighting ,to the lower boundary of 80% and the beneficiary of the move will be the highest customer class,  USL.</t>
  </si>
  <si>
    <t>Setting Target Revenue to Cost Ratios</t>
  </si>
  <si>
    <t>Taget Revenue to Cost Ratio</t>
  </si>
  <si>
    <t>Adjusted Distribution Revenue</t>
  </si>
  <si>
    <t>Balanced?</t>
  </si>
  <si>
    <t>Step #1</t>
  </si>
  <si>
    <t>Allocation of Distribution  Revenue Requirment including Net Income</t>
  </si>
  <si>
    <t>Step #2</t>
  </si>
  <si>
    <t>Step #3</t>
  </si>
  <si>
    <t>The results shown in Step # 3 are the "Target Revenue to Cost Ratios" in accordance with the Board's 2011 Policy Range.</t>
  </si>
  <si>
    <t>Existing Fixed Component Percentage</t>
  </si>
  <si>
    <t>Fort Erie &amp; Gananoque</t>
  </si>
  <si>
    <t>Harmonized with targeted R|C Ratio</t>
  </si>
  <si>
    <t xml:space="preserve">Corresponding Monthly Fixed Charge </t>
  </si>
  <si>
    <t>Customer Unit Cost per Month Avoided Cost</t>
  </si>
  <si>
    <t>Customer Unit Cost per Month Min. System with PLCC Adj.</t>
  </si>
  <si>
    <t>Rate Design at Existing F/V Split</t>
  </si>
  <si>
    <t>Is Rate Design Within Bounds?</t>
  </si>
  <si>
    <t>Floor</t>
  </si>
  <si>
    <t>Ceiling</t>
  </si>
  <si>
    <t>Test of Harmonized Monthly Service Charge</t>
  </si>
  <si>
    <t>4. For the remaining customer classes, CNPI will target the design rates shown above as the final harmonized monthly service charge.</t>
  </si>
  <si>
    <t>1. Two customer classes, GS 50 to 4,999 kW and USL, have monthly service charges exceeding the recommended ceiling.</t>
  </si>
  <si>
    <t>Existing MSC 2012</t>
  </si>
  <si>
    <t>Target MSC</t>
  </si>
  <si>
    <t>Spread</t>
  </si>
  <si>
    <t>Over One Year</t>
  </si>
  <si>
    <t>Over Two Years</t>
  </si>
  <si>
    <t>Over Three Years</t>
  </si>
  <si>
    <t>Over Four Years</t>
  </si>
  <si>
    <t>Over Five Years</t>
  </si>
  <si>
    <t xml:space="preserve">Current R|C </t>
  </si>
  <si>
    <t>Target R|C</t>
  </si>
  <si>
    <t>25% of Spread</t>
  </si>
  <si>
    <t>2013 Target Revenue to Cost Ratios</t>
  </si>
  <si>
    <t>Targets</t>
  </si>
  <si>
    <t>Determination of 2013 Base Distribution Rates</t>
  </si>
  <si>
    <t>Revenue Requirement from Rates</t>
  </si>
  <si>
    <t>Fixed Component at Existing F/V Split</t>
  </si>
  <si>
    <t>Variable Component at Existing F/V Split</t>
  </si>
  <si>
    <t>Transformer Allowance Addback</t>
  </si>
  <si>
    <t>(Allocated to GS &gt; 50 to 4,999 kW)</t>
  </si>
  <si>
    <t xml:space="preserve"> 2013 Distribution Rates with Transformer Allowance Addback</t>
  </si>
  <si>
    <t>Revenue Requirement from Rates with Addback</t>
  </si>
  <si>
    <t>In Balance?</t>
  </si>
  <si>
    <t>Residential - FE/EOP</t>
  </si>
  <si>
    <t>Residential - Port Colborne</t>
  </si>
  <si>
    <t>GS Less Than 50 kW - FE/EOP</t>
  </si>
  <si>
    <t>GS Less Than 50 kW - Port Colborne</t>
  </si>
  <si>
    <t>GS 50 to 4,999 kW - FE/EOP</t>
  </si>
  <si>
    <t>USL - FE/EOP</t>
  </si>
  <si>
    <t>Sentinel Lighting - FE/EOP</t>
  </si>
  <si>
    <t>Street Lighting - FE/EOP</t>
  </si>
  <si>
    <t>USL - Port Colborne</t>
  </si>
  <si>
    <t>Sentinel Lighting -  Port Colborne</t>
  </si>
  <si>
    <t>Street Lighting -  Port Colborne</t>
  </si>
  <si>
    <t>Total Residential</t>
  </si>
  <si>
    <t>Total GS Less Than 50 kW</t>
  </si>
  <si>
    <t>Total GS 50 to 4,999 kW</t>
  </si>
  <si>
    <t>GS 50 to 4,999 kW - Port Colborne</t>
  </si>
  <si>
    <t>Total USL</t>
  </si>
  <si>
    <t>Total Sentinel Lighting</t>
  </si>
  <si>
    <t>Total Street Lighting</t>
  </si>
  <si>
    <t>Existing MSC</t>
  </si>
  <si>
    <t>2013 MSC</t>
  </si>
  <si>
    <t>Percentage of Total</t>
  </si>
  <si>
    <t>2013 Class Revenue Requirement</t>
  </si>
  <si>
    <t>Revenue from MSC</t>
  </si>
  <si>
    <t>Revenue from Variable Charge</t>
  </si>
  <si>
    <t>Fort Erie EOP</t>
  </si>
  <si>
    <t>Existing Variable Charge</t>
  </si>
  <si>
    <t>Calculated Variable Charge</t>
  </si>
  <si>
    <t>Spread from Total VSC</t>
  </si>
  <si>
    <t>Adjusted Variable Revenue</t>
  </si>
  <si>
    <t>Final 2013 Rates</t>
  </si>
  <si>
    <t>2013 VSC</t>
  </si>
  <si>
    <t>Rate Class</t>
  </si>
  <si>
    <t>Customers/ Connections</t>
  </si>
  <si>
    <t>Test Year Consumption</t>
  </si>
  <si>
    <t>Proposed Rates</t>
  </si>
  <si>
    <t>Revenues at Proposed Rates</t>
  </si>
  <si>
    <t>Service Revenue Requirement</t>
  </si>
  <si>
    <t>Transformer Allowance Credit</t>
  </si>
  <si>
    <t>Difference</t>
  </si>
  <si>
    <t>Average for 2013</t>
  </si>
  <si>
    <t>Monthly Service Charge</t>
  </si>
  <si>
    <t>Volumetric</t>
  </si>
  <si>
    <t>Customers</t>
  </si>
  <si>
    <t>Connections</t>
  </si>
  <si>
    <t>Revenue Reconciliation</t>
  </si>
  <si>
    <t>Fort Erie / EOP</t>
  </si>
  <si>
    <t>2014 Target Revenue to Cost Ratios</t>
  </si>
  <si>
    <t>2014 Class Revenue Requirement</t>
  </si>
  <si>
    <t>Determination of 2014 Rates</t>
  </si>
  <si>
    <t>Determination of 2013 Rates</t>
  </si>
  <si>
    <t>2014 MSC</t>
  </si>
  <si>
    <t>Final 2014 Rates</t>
  </si>
  <si>
    <t>2014 VSC</t>
  </si>
  <si>
    <t>Adjusted Variable Charge 50%</t>
  </si>
  <si>
    <t>Existing</t>
  </si>
  <si>
    <t>VSC</t>
  </si>
  <si>
    <t>MSC</t>
  </si>
  <si>
    <t>2015 Target Revenue to Cost Ratios</t>
  </si>
  <si>
    <t>Determination of 2014 Base Distribution Rates</t>
  </si>
  <si>
    <t xml:space="preserve"> 2014 Distribution Rates with Transformer Allowance Addback</t>
  </si>
  <si>
    <t>Determination of 2015 Base Distribution Rates</t>
  </si>
  <si>
    <t xml:space="preserve"> 2015 Distribution Rates with Transformer Allowance Addback</t>
  </si>
  <si>
    <t>Determination of 2015 Rates</t>
  </si>
  <si>
    <t>2015 Class Revenue Requirement</t>
  </si>
  <si>
    <t>Adjusted Variable Charge 75%</t>
  </si>
  <si>
    <t>2015 MSC</t>
  </si>
  <si>
    <t>Final 2015 Rates</t>
  </si>
  <si>
    <t>Rate Design Model</t>
  </si>
  <si>
    <t>Adjusted Variable Charge 100%</t>
  </si>
  <si>
    <t>2015 VSC</t>
  </si>
  <si>
    <t>2016 MSC</t>
  </si>
  <si>
    <t>2016 VSC</t>
  </si>
  <si>
    <t>2016 Class Revenue Requirement</t>
  </si>
  <si>
    <t>Determination of 2016 Rates</t>
  </si>
  <si>
    <t>2013 Electricity Distribution Rate Application</t>
  </si>
  <si>
    <t>EB - 2012 - 0112</t>
  </si>
  <si>
    <t>Final 2016 Rates</t>
  </si>
  <si>
    <t>Application Revenue Requirement</t>
  </si>
  <si>
    <t>Settlement Revenue Requirement</t>
  </si>
  <si>
    <t>Changes resulting from the Settlement Agreement</t>
  </si>
  <si>
    <t>2016 Target Revenue to Cost Ratios</t>
  </si>
  <si>
    <t>3. To move the USL customer class from 261.10% to 120% in the four years of the regulatory cycle we would target movement of 35.28 percentage points per annum.</t>
  </si>
  <si>
    <t>2. For the GS 50 to 4,999 kW customer class, CNPI will target the ceiling amount of $145.84 as the final harmonized monthly service charge.</t>
  </si>
  <si>
    <t>Annual Changes in Monthly Service Charge to Achieve Targets</t>
  </si>
  <si>
    <t>Total with transformer addback</t>
  </si>
  <si>
    <t>3. For the USL customer class, CNPI currently bills these accounts on a per customer basis. CNPI will target 50% of the design rate ($63.99) which is $32.00 per month as the final harmonized monthly service charge.</t>
  </si>
  <si>
    <t xml:space="preserve">Adjusted Variable Charge </t>
  </si>
  <si>
    <t>CNPI</t>
  </si>
  <si>
    <t>Proposed Settlement Agreement</t>
  </si>
  <si>
    <t>September 24, 2012</t>
  </si>
  <si>
    <t>Residential - PC</t>
  </si>
  <si>
    <t>GS Less Than 50 kW - PC</t>
  </si>
  <si>
    <t>GS 50 to 4,999 kW - PC</t>
  </si>
  <si>
    <t>USL - PC</t>
  </si>
  <si>
    <t>Sentinel Lighting - PC</t>
  </si>
  <si>
    <t>Street Lighting -  PC</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</si>
</sst>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0.00_-;\-&quot;$&quot;* #,##0.00_-;_-&quot;$&quot;* &quot;-&quot;??_-;_-@_-"/>
    <numFmt numFmtId="43" formatCode="_-* #,##0.00_-;\-* #,##0.00_-;_-* &quot;-&quot;??_-;_-@_-"/>
    <numFmt numFmtId="164" formatCode="_(&quot;$&quot;* #,##0.0000_);_(&quot;$&quot;* \(#,##0.0000\);_(&quot;$&quot;* &quot;-&quot;??_);_(@_)"/>
    <numFmt numFmtId="165" formatCode="_(* #,##0_);_(* \(#,##0\);_(* &quot;-&quot;??_);_(@_)"/>
    <numFmt numFmtId="166" formatCode="_(&quot;$&quot;* #,##0.00_);_(&quot;$&quot;* \(#,##0.00\);_(&quot;$&quot;* &quot;-&quot;??_);_(@_)"/>
    <numFmt numFmtId="167" formatCode="0.0%"/>
    <numFmt numFmtId="168" formatCode="_(&quot;$&quot;* #,##0_);_(&quot;$&quot;* \(#,##0\);_(&quot;$&quot;* &quot;-&quot;??_);_(@_)"/>
    <numFmt numFmtId="169" formatCode="_(* #,##0.00000_);_(* \(#,##0.00000\);_(* &quot;-&quot;??_);_(@_)"/>
    <numFmt numFmtId="170" formatCode="_(* #,##0.00_);_(* \(#,##0.00\);_(* &quot;-&quot;??_);_(@_)"/>
    <numFmt numFmtId="171" formatCode="_-* #,##0_-;\-* #,##0_-;_-* &quot;-&quot;??_-;_-@_-"/>
    <numFmt numFmtId="172" formatCode="_-* #,##0.0000_-;\-* #,##0.0000_-;_-* &quot;-&quot;??_-;_-@_-"/>
    <numFmt numFmtId="173" formatCode="_-&quot;$&quot;* #,##0.0000_-;\-&quot;$&quot;* #,##0.0000_-;_-&quot;$&quot;* &quot;-&quot;??_-;_-@_-"/>
    <numFmt numFmtId="174" formatCode="_-&quot;$&quot;* #,##0_-;\-&quot;$&quot;* #,##0_-;_-&quot;$&quot;* &quot;-&quot;??_-;_-@_-"/>
  </numFmts>
  <fonts count="13" x14ac:knownFonts="1">
    <font>
      <sz val="11"/>
      <color theme="1"/>
      <name val="Calibri"/>
      <family val="2"/>
      <scheme val="minor"/>
    </font>
    <font>
      <sz val="11"/>
      <color theme="1"/>
      <name val="Calibri"/>
      <family val="2"/>
      <scheme val="minor"/>
    </font>
    <font>
      <b/>
      <sz val="11"/>
      <color theme="1"/>
      <name val="Arial"/>
      <family val="2"/>
    </font>
    <font>
      <sz val="11"/>
      <color theme="1"/>
      <name val="Arial"/>
      <family val="2"/>
    </font>
    <font>
      <b/>
      <sz val="14"/>
      <color theme="1"/>
      <name val="Arial"/>
      <family val="2"/>
    </font>
    <font>
      <b/>
      <sz val="11"/>
      <color theme="1"/>
      <name val="Calibri"/>
      <family val="2"/>
      <scheme val="minor"/>
    </font>
    <font>
      <b/>
      <sz val="14"/>
      <name val="Arial"/>
      <family val="2"/>
    </font>
    <font>
      <b/>
      <sz val="10"/>
      <name val="Arial"/>
      <family val="2"/>
    </font>
    <font>
      <sz val="10"/>
      <color theme="1"/>
      <name val="Arial"/>
      <family val="2"/>
    </font>
    <font>
      <sz val="10"/>
      <name val="Arial"/>
      <family val="2"/>
    </font>
    <font>
      <b/>
      <sz val="16"/>
      <name val="Arial"/>
      <family val="2"/>
    </font>
    <font>
      <sz val="10"/>
      <color theme="1"/>
      <name val="Calibri"/>
      <family val="2"/>
      <scheme val="minor"/>
    </font>
    <font>
      <b/>
      <sz val="10"/>
      <color theme="1"/>
      <name val="Arial"/>
      <family val="2"/>
    </font>
  </fonts>
  <fills count="14">
    <fill>
      <patternFill patternType="none"/>
    </fill>
    <fill>
      <patternFill patternType="gray125"/>
    </fill>
    <fill>
      <patternFill patternType="solid">
        <fgColor theme="0" tint="-4.9989318521683403E-2"/>
        <bgColor indexed="64"/>
      </patternFill>
    </fill>
    <fill>
      <patternFill patternType="solid">
        <fgColor theme="9" tint="0.59999389629810485"/>
        <bgColor indexed="64"/>
      </patternFill>
    </fill>
    <fill>
      <patternFill patternType="solid">
        <fgColor rgb="FFFFFF00"/>
        <bgColor indexed="64"/>
      </patternFill>
    </fill>
    <fill>
      <patternFill patternType="solid">
        <fgColor rgb="FFFFFF66"/>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indexed="8"/>
        <bgColor indexed="64"/>
      </patternFill>
    </fill>
    <fill>
      <patternFill patternType="solid">
        <fgColor rgb="FF00B0F0"/>
        <bgColor indexed="64"/>
      </patternFill>
    </fill>
    <fill>
      <patternFill patternType="solid">
        <fgColor theme="8" tint="0.59999389629810485"/>
        <bgColor indexed="64"/>
      </patternFill>
    </fill>
    <fill>
      <patternFill patternType="solid">
        <fgColor rgb="FFFFFF99"/>
        <bgColor indexed="64"/>
      </patternFill>
    </fill>
    <fill>
      <patternFill patternType="solid">
        <fgColor rgb="FF92D050"/>
        <bgColor indexed="64"/>
      </patternFill>
    </fill>
    <fill>
      <patternFill patternType="solid">
        <fgColor theme="6" tint="0.39997558519241921"/>
        <bgColor indexed="64"/>
      </patternFill>
    </fill>
  </fills>
  <borders count="3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double">
        <color indexed="64"/>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234">
    <xf numFmtId="0" fontId="0" fillId="0" borderId="0" xfId="0"/>
    <xf numFmtId="0" fontId="3" fillId="0" borderId="0" xfId="0" applyFont="1" applyAlignment="1">
      <alignment horizontal="center" wrapText="1"/>
    </xf>
    <xf numFmtId="0" fontId="3" fillId="0" borderId="0" xfId="0" applyFont="1" applyAlignment="1">
      <alignment horizontal="center"/>
    </xf>
    <xf numFmtId="0" fontId="3" fillId="0" borderId="0" xfId="0" applyFont="1"/>
    <xf numFmtId="44" fontId="3" fillId="0" borderId="0" xfId="2" applyFont="1"/>
    <xf numFmtId="164" fontId="3" fillId="0" borderId="0" xfId="2" applyNumberFormat="1" applyFont="1"/>
    <xf numFmtId="165" fontId="3" fillId="0" borderId="0" xfId="1" applyNumberFormat="1" applyFont="1" applyAlignment="1">
      <alignment horizontal="center"/>
    </xf>
    <xf numFmtId="44" fontId="3" fillId="0" borderId="4" xfId="2" applyFont="1" applyBorder="1"/>
    <xf numFmtId="164" fontId="3" fillId="0" borderId="0" xfId="2" applyNumberFormat="1" applyFont="1" applyBorder="1"/>
    <xf numFmtId="0" fontId="3" fillId="0" borderId="0" xfId="0" applyFont="1" applyBorder="1" applyAlignment="1">
      <alignment horizontal="center"/>
    </xf>
    <xf numFmtId="165" fontId="3" fillId="0" borderId="0" xfId="1" applyNumberFormat="1" applyFont="1" applyBorder="1" applyAlignment="1">
      <alignment horizontal="center"/>
    </xf>
    <xf numFmtId="0" fontId="3" fillId="0" borderId="5" xfId="0" applyFont="1" applyBorder="1"/>
    <xf numFmtId="44" fontId="3" fillId="0" borderId="6" xfId="2" applyFont="1" applyBorder="1"/>
    <xf numFmtId="0" fontId="3" fillId="0" borderId="7" xfId="0" applyFont="1" applyBorder="1" applyAlignment="1">
      <alignment horizontal="center" wrapText="1"/>
    </xf>
    <xf numFmtId="165" fontId="3" fillId="0" borderId="7" xfId="1" applyNumberFormat="1" applyFont="1" applyBorder="1" applyAlignment="1">
      <alignment horizontal="center"/>
    </xf>
    <xf numFmtId="0" fontId="3" fillId="0" borderId="8" xfId="0" applyFont="1" applyBorder="1" applyAlignment="1">
      <alignment horizontal="center" wrapText="1"/>
    </xf>
    <xf numFmtId="166" fontId="3" fillId="0" borderId="7" xfId="2" applyNumberFormat="1" applyFont="1" applyBorder="1"/>
    <xf numFmtId="164" fontId="3" fillId="0" borderId="7" xfId="2" applyNumberFormat="1" applyFont="1" applyBorder="1"/>
    <xf numFmtId="165" fontId="3" fillId="0" borderId="8" xfId="1" applyNumberFormat="1" applyFont="1" applyBorder="1" applyAlignment="1">
      <alignment horizontal="center"/>
    </xf>
    <xf numFmtId="0" fontId="3" fillId="0" borderId="6" xfId="0" applyFont="1" applyBorder="1"/>
    <xf numFmtId="0" fontId="3" fillId="0" borderId="4" xfId="0" applyFont="1" applyBorder="1"/>
    <xf numFmtId="0" fontId="3" fillId="0" borderId="0" xfId="0" applyFont="1" applyBorder="1"/>
    <xf numFmtId="0" fontId="3" fillId="0" borderId="9" xfId="0" applyFont="1" applyBorder="1"/>
    <xf numFmtId="0" fontId="3" fillId="0" borderId="10" xfId="0" applyFont="1" applyBorder="1"/>
    <xf numFmtId="166" fontId="3" fillId="0" borderId="10" xfId="2" applyNumberFormat="1" applyFont="1" applyBorder="1"/>
    <xf numFmtId="0" fontId="3" fillId="0" borderId="10" xfId="0" applyFont="1" applyBorder="1" applyAlignment="1">
      <alignment horizontal="center"/>
    </xf>
    <xf numFmtId="165" fontId="3" fillId="0" borderId="11" xfId="1" applyNumberFormat="1" applyFont="1" applyBorder="1" applyAlignment="1">
      <alignment horizontal="center"/>
    </xf>
    <xf numFmtId="166" fontId="3" fillId="0" borderId="0" xfId="2" applyNumberFormat="1" applyFont="1"/>
    <xf numFmtId="166" fontId="3" fillId="0" borderId="4" xfId="2" applyNumberFormat="1" applyFont="1" applyBorder="1"/>
    <xf numFmtId="166" fontId="3" fillId="0" borderId="6" xfId="2" applyNumberFormat="1" applyFont="1" applyBorder="1"/>
    <xf numFmtId="166" fontId="3" fillId="0" borderId="7" xfId="2" applyNumberFormat="1" applyFont="1" applyBorder="1" applyAlignment="1">
      <alignment horizontal="center"/>
    </xf>
    <xf numFmtId="0" fontId="3" fillId="0" borderId="6" xfId="0" applyFont="1" applyBorder="1" applyAlignment="1">
      <alignment vertical="center"/>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165" fontId="3" fillId="0" borderId="7" xfId="0" applyNumberFormat="1" applyFont="1" applyBorder="1"/>
    <xf numFmtId="0" fontId="3" fillId="0" borderId="7" xfId="0" applyFont="1" applyBorder="1"/>
    <xf numFmtId="167" fontId="3" fillId="0" borderId="8" xfId="3" applyNumberFormat="1" applyFont="1" applyBorder="1" applyAlignment="1">
      <alignment horizontal="center"/>
    </xf>
    <xf numFmtId="168" fontId="3" fillId="0" borderId="10" xfId="2" applyNumberFormat="1" applyFont="1" applyBorder="1" applyAlignment="1">
      <alignment horizontal="center"/>
    </xf>
    <xf numFmtId="9" fontId="3" fillId="0" borderId="10" xfId="3" applyFont="1" applyBorder="1" applyAlignment="1">
      <alignment horizontal="center"/>
    </xf>
    <xf numFmtId="168" fontId="3" fillId="0" borderId="0" xfId="2" applyNumberFormat="1" applyFont="1" applyAlignment="1">
      <alignment horizontal="center"/>
    </xf>
    <xf numFmtId="0" fontId="2" fillId="0" borderId="4" xfId="0" applyFont="1" applyBorder="1" applyAlignment="1">
      <alignment horizontal="center"/>
    </xf>
    <xf numFmtId="0" fontId="2" fillId="0" borderId="0" xfId="0" applyFont="1" applyBorder="1" applyAlignment="1">
      <alignment horizontal="center"/>
    </xf>
    <xf numFmtId="0" fontId="2" fillId="0" borderId="5"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167" fontId="3" fillId="0" borderId="7" xfId="3" applyNumberFormat="1" applyFont="1" applyBorder="1" applyAlignment="1">
      <alignment horizontal="center"/>
    </xf>
    <xf numFmtId="165" fontId="3" fillId="0" borderId="0" xfId="0" applyNumberFormat="1" applyFont="1" applyBorder="1"/>
    <xf numFmtId="167" fontId="3" fillId="0" borderId="10" xfId="3" applyNumberFormat="1" applyFont="1" applyBorder="1" applyAlignment="1">
      <alignment horizontal="center"/>
    </xf>
    <xf numFmtId="167" fontId="3" fillId="0" borderId="11" xfId="3" applyNumberFormat="1" applyFont="1" applyBorder="1" applyAlignment="1">
      <alignment horizontal="center"/>
    </xf>
    <xf numFmtId="167" fontId="3" fillId="0" borderId="11" xfId="0" applyNumberFormat="1" applyFont="1" applyBorder="1"/>
    <xf numFmtId="0" fontId="3" fillId="0" borderId="6" xfId="0" applyFont="1" applyBorder="1" applyAlignment="1">
      <alignment horizontal="center" vertical="center" wrapText="1"/>
    </xf>
    <xf numFmtId="0" fontId="3" fillId="2" borderId="7" xfId="0" applyFont="1" applyFill="1" applyBorder="1" applyAlignment="1">
      <alignment horizontal="center" vertical="center" wrapText="1"/>
    </xf>
    <xf numFmtId="169" fontId="3" fillId="3" borderId="7" xfId="0" applyNumberFormat="1" applyFont="1" applyFill="1" applyBorder="1"/>
    <xf numFmtId="10" fontId="3" fillId="0" borderId="7" xfId="3" applyNumberFormat="1" applyFont="1" applyBorder="1"/>
    <xf numFmtId="10" fontId="3" fillId="2" borderId="7" xfId="3" applyNumberFormat="1" applyFont="1" applyFill="1" applyBorder="1"/>
    <xf numFmtId="10" fontId="3" fillId="4" borderId="7" xfId="3" applyNumberFormat="1" applyFont="1" applyFill="1" applyBorder="1"/>
    <xf numFmtId="0" fontId="3" fillId="2" borderId="7" xfId="0" applyFont="1" applyFill="1" applyBorder="1"/>
    <xf numFmtId="0" fontId="3" fillId="0" borderId="8" xfId="0" applyFont="1" applyBorder="1"/>
    <xf numFmtId="168" fontId="3" fillId="0" borderId="10" xfId="2" applyNumberFormat="1" applyFont="1" applyBorder="1"/>
    <xf numFmtId="0" fontId="3" fillId="2" borderId="10" xfId="0" applyFont="1" applyFill="1" applyBorder="1"/>
    <xf numFmtId="0" fontId="3" fillId="0" borderId="11" xfId="0" applyFont="1" applyBorder="1"/>
    <xf numFmtId="0" fontId="2" fillId="0" borderId="0" xfId="0" applyFont="1" applyAlignment="1">
      <alignment horizontal="left" wrapText="1"/>
    </xf>
    <xf numFmtId="10" fontId="3" fillId="0" borderId="7" xfId="3" applyNumberFormat="1" applyFont="1" applyFill="1" applyBorder="1"/>
    <xf numFmtId="165" fontId="3" fillId="0" borderId="8" xfId="0" applyNumberFormat="1" applyFont="1" applyBorder="1"/>
    <xf numFmtId="168" fontId="3" fillId="0" borderId="11" xfId="0" applyNumberFormat="1" applyFont="1" applyBorder="1"/>
    <xf numFmtId="0" fontId="2" fillId="0" borderId="0" xfId="0" applyFont="1"/>
    <xf numFmtId="0" fontId="2" fillId="0" borderId="0" xfId="0" applyFont="1" applyAlignment="1">
      <alignment horizontal="center"/>
    </xf>
    <xf numFmtId="10" fontId="3" fillId="5" borderId="7" xfId="3" applyNumberFormat="1" applyFont="1" applyFill="1" applyBorder="1"/>
    <xf numFmtId="0" fontId="4" fillId="0" borderId="0" xfId="0" applyFont="1"/>
    <xf numFmtId="0" fontId="3" fillId="0" borderId="0" xfId="0" applyFont="1" applyAlignment="1">
      <alignment horizontal="center"/>
    </xf>
    <xf numFmtId="0" fontId="3" fillId="0" borderId="0" xfId="0" applyFont="1" applyAlignment="1">
      <alignment wrapText="1"/>
    </xf>
    <xf numFmtId="0" fontId="3" fillId="0" borderId="6" xfId="0" applyFont="1" applyBorder="1" applyAlignment="1">
      <alignment horizontal="center" vertical="center" wrapText="1"/>
    </xf>
    <xf numFmtId="170" fontId="3" fillId="0" borderId="8" xfId="0" applyNumberFormat="1" applyFont="1" applyBorder="1" applyAlignment="1">
      <alignment horizontal="center"/>
    </xf>
    <xf numFmtId="170" fontId="3" fillId="0" borderId="11" xfId="0" applyNumberFormat="1" applyFont="1" applyBorder="1" applyAlignment="1">
      <alignment horizontal="center"/>
    </xf>
    <xf numFmtId="44" fontId="3" fillId="0" borderId="7" xfId="2" applyFont="1" applyBorder="1" applyAlignment="1">
      <alignment horizontal="center"/>
    </xf>
    <xf numFmtId="44" fontId="3" fillId="0" borderId="7" xfId="2" applyFont="1" applyBorder="1"/>
    <xf numFmtId="0" fontId="3" fillId="0" borderId="0" xfId="0" applyFont="1" applyBorder="1" applyAlignment="1">
      <alignment horizontal="center" wrapText="1"/>
    </xf>
    <xf numFmtId="44" fontId="3" fillId="0" borderId="10" xfId="2" applyFont="1" applyBorder="1" applyAlignment="1">
      <alignment horizontal="center"/>
    </xf>
    <xf numFmtId="44" fontId="3" fillId="0" borderId="10" xfId="2" applyFont="1" applyBorder="1"/>
    <xf numFmtId="0" fontId="3" fillId="0" borderId="21" xfId="0" applyFont="1" applyBorder="1"/>
    <xf numFmtId="0" fontId="3" fillId="0" borderId="22" xfId="0" applyFont="1" applyBorder="1"/>
    <xf numFmtId="0" fontId="3" fillId="0" borderId="22" xfId="0" applyFont="1" applyBorder="1" applyAlignment="1">
      <alignment horizontal="center" wrapText="1"/>
    </xf>
    <xf numFmtId="0" fontId="3" fillId="0" borderId="23" xfId="0" applyFont="1" applyBorder="1" applyAlignment="1">
      <alignment horizontal="center" wrapText="1"/>
    </xf>
    <xf numFmtId="166" fontId="3" fillId="5" borderId="7" xfId="2" applyNumberFormat="1" applyFont="1" applyFill="1" applyBorder="1"/>
    <xf numFmtId="170" fontId="3" fillId="5" borderId="8" xfId="0" applyNumberFormat="1" applyFont="1" applyFill="1" applyBorder="1" applyAlignment="1">
      <alignment horizontal="center"/>
    </xf>
    <xf numFmtId="0" fontId="3" fillId="0" borderId="0" xfId="0" applyFont="1" applyAlignment="1">
      <alignment horizontal="left" wrapText="1"/>
    </xf>
    <xf numFmtId="0" fontId="0" fillId="0" borderId="0" xfId="0" applyAlignment="1">
      <alignment horizontal="left" wrapText="1"/>
    </xf>
    <xf numFmtId="43" fontId="3" fillId="0" borderId="0" xfId="1" applyFont="1"/>
    <xf numFmtId="10" fontId="3" fillId="0" borderId="0" xfId="0" applyNumberFormat="1" applyFont="1" applyAlignment="1">
      <alignment horizontal="center"/>
    </xf>
    <xf numFmtId="168" fontId="3" fillId="0" borderId="0" xfId="2" applyNumberFormat="1" applyFont="1"/>
    <xf numFmtId="166" fontId="3" fillId="6" borderId="7" xfId="2" applyNumberFormat="1" applyFont="1" applyFill="1" applyBorder="1"/>
    <xf numFmtId="164" fontId="3" fillId="6" borderId="8" xfId="2" applyNumberFormat="1" applyFont="1" applyFill="1" applyBorder="1"/>
    <xf numFmtId="167" fontId="3" fillId="0" borderId="0" xfId="3" applyNumberFormat="1" applyFont="1"/>
    <xf numFmtId="171" fontId="3" fillId="0" borderId="0" xfId="1" applyNumberFormat="1" applyFont="1"/>
    <xf numFmtId="171" fontId="3" fillId="0" borderId="0" xfId="0" applyNumberFormat="1" applyFont="1"/>
    <xf numFmtId="43" fontId="3" fillId="0" borderId="0" xfId="0" applyNumberFormat="1" applyFont="1"/>
    <xf numFmtId="172" fontId="3" fillId="0" borderId="0" xfId="1" applyNumberFormat="1" applyFont="1"/>
    <xf numFmtId="167" fontId="0" fillId="0" borderId="0" xfId="3" applyNumberFormat="1" applyFont="1" applyAlignment="1">
      <alignment horizontal="center"/>
    </xf>
    <xf numFmtId="167" fontId="0" fillId="0" borderId="0" xfId="0" applyNumberFormat="1" applyAlignment="1">
      <alignment horizontal="center"/>
    </xf>
    <xf numFmtId="44" fontId="3" fillId="7" borderId="0" xfId="2" applyFont="1" applyFill="1"/>
    <xf numFmtId="171" fontId="3" fillId="7" borderId="0" xfId="1" applyNumberFormat="1" applyFont="1" applyFill="1"/>
    <xf numFmtId="171" fontId="3" fillId="7" borderId="0" xfId="0" applyNumberFormat="1" applyFont="1" applyFill="1"/>
    <xf numFmtId="172" fontId="3" fillId="7" borderId="0" xfId="1" applyNumberFormat="1" applyFont="1" applyFill="1"/>
    <xf numFmtId="43" fontId="3" fillId="7" borderId="0" xfId="0" applyNumberFormat="1" applyFont="1" applyFill="1"/>
    <xf numFmtId="172" fontId="3" fillId="0" borderId="0" xfId="1" applyNumberFormat="1" applyFont="1" applyFill="1"/>
    <xf numFmtId="0" fontId="3" fillId="0" borderId="0" xfId="0" applyFont="1" applyFill="1"/>
    <xf numFmtId="43" fontId="3" fillId="0" borderId="0" xfId="0" applyNumberFormat="1" applyFont="1" applyFill="1"/>
    <xf numFmtId="171" fontId="3" fillId="0" borderId="0" xfId="0" applyNumberFormat="1" applyFont="1" applyFill="1"/>
    <xf numFmtId="0" fontId="7" fillId="0" borderId="15" xfId="0" applyFont="1" applyFill="1" applyBorder="1" applyAlignment="1">
      <alignment horizontal="center" vertical="center"/>
    </xf>
    <xf numFmtId="0" fontId="7" fillId="0" borderId="26" xfId="0" applyFont="1" applyFill="1" applyBorder="1" applyAlignment="1">
      <alignment horizontal="center" vertical="center" wrapText="1"/>
    </xf>
    <xf numFmtId="0" fontId="7" fillId="8" borderId="27" xfId="0" applyFont="1" applyFill="1" applyBorder="1"/>
    <xf numFmtId="0" fontId="7" fillId="0" borderId="28" xfId="0" applyFont="1" applyFill="1" applyBorder="1" applyAlignment="1">
      <alignment horizontal="center" vertical="center"/>
    </xf>
    <xf numFmtId="0" fontId="7" fillId="0" borderId="29" xfId="0" applyFont="1" applyFill="1" applyBorder="1" applyAlignment="1">
      <alignment horizontal="center" vertical="center" wrapText="1"/>
    </xf>
    <xf numFmtId="0" fontId="7" fillId="0" borderId="29" xfId="0" applyFont="1" applyFill="1" applyBorder="1" applyAlignment="1">
      <alignment horizontal="center" vertical="center"/>
    </xf>
    <xf numFmtId="0" fontId="7" fillId="0" borderId="30" xfId="0" applyFont="1" applyFill="1" applyBorder="1" applyAlignment="1">
      <alignment horizontal="center" vertical="center"/>
    </xf>
    <xf numFmtId="0" fontId="7" fillId="8" borderId="31" xfId="0" applyFont="1" applyFill="1" applyBorder="1"/>
    <xf numFmtId="0" fontId="0" fillId="0" borderId="32" xfId="0" applyBorder="1"/>
    <xf numFmtId="0" fontId="0" fillId="0" borderId="20" xfId="0" applyBorder="1"/>
    <xf numFmtId="0" fontId="0" fillId="0" borderId="33" xfId="0" applyBorder="1" applyAlignment="1">
      <alignment horizontal="center"/>
    </xf>
    <xf numFmtId="0" fontId="0" fillId="0" borderId="33" xfId="0" applyBorder="1"/>
    <xf numFmtId="0" fontId="0" fillId="8" borderId="32" xfId="0" applyFill="1" applyBorder="1"/>
    <xf numFmtId="0" fontId="0" fillId="0" borderId="31" xfId="0" applyBorder="1"/>
    <xf numFmtId="0" fontId="0" fillId="0" borderId="5" xfId="0" applyBorder="1"/>
    <xf numFmtId="0" fontId="0" fillId="8" borderId="31" xfId="0" applyFill="1" applyBorder="1"/>
    <xf numFmtId="0" fontId="8" fillId="0" borderId="31" xfId="0" applyFont="1" applyFill="1" applyBorder="1"/>
    <xf numFmtId="171" fontId="9" fillId="0" borderId="31" xfId="1" applyNumberFormat="1" applyFont="1" applyBorder="1"/>
    <xf numFmtId="171" fontId="9" fillId="0" borderId="31" xfId="1" applyNumberFormat="1" applyFont="1" applyFill="1" applyBorder="1"/>
    <xf numFmtId="171" fontId="9" fillId="0" borderId="5" xfId="1" applyNumberFormat="1" applyFont="1" applyFill="1" applyBorder="1"/>
    <xf numFmtId="44" fontId="9" fillId="0" borderId="31" xfId="2" applyNumberFormat="1" applyFont="1" applyFill="1" applyBorder="1"/>
    <xf numFmtId="173" fontId="9" fillId="0" borderId="31" xfId="2" applyNumberFormat="1" applyFont="1" applyFill="1" applyBorder="1"/>
    <xf numFmtId="44" fontId="9" fillId="0" borderId="31" xfId="2" applyNumberFormat="1" applyFont="1" applyBorder="1"/>
    <xf numFmtId="174" fontId="9" fillId="0" borderId="31" xfId="2" applyNumberFormat="1" applyFont="1" applyFill="1" applyBorder="1"/>
    <xf numFmtId="174" fontId="9" fillId="0" borderId="31" xfId="2" applyNumberFormat="1" applyFont="1" applyBorder="1"/>
    <xf numFmtId="174" fontId="9" fillId="0" borderId="5" xfId="2" applyNumberFormat="1" applyFont="1" applyBorder="1"/>
    <xf numFmtId="0" fontId="0" fillId="0" borderId="31" xfId="0" applyFill="1" applyBorder="1"/>
    <xf numFmtId="43" fontId="9" fillId="0" borderId="31" xfId="1" applyNumberFormat="1" applyFont="1" applyBorder="1"/>
    <xf numFmtId="44" fontId="9" fillId="0" borderId="34" xfId="2" applyNumberFormat="1" applyFont="1" applyBorder="1"/>
    <xf numFmtId="174" fontId="9" fillId="0" borderId="34" xfId="2" applyNumberFormat="1" applyFont="1" applyBorder="1"/>
    <xf numFmtId="0" fontId="0" fillId="0" borderId="5" xfId="0" applyFill="1" applyBorder="1"/>
    <xf numFmtId="44" fontId="0" fillId="0" borderId="31" xfId="0" applyNumberFormat="1" applyBorder="1"/>
    <xf numFmtId="0" fontId="0" fillId="0" borderId="35" xfId="0" applyBorder="1"/>
    <xf numFmtId="0" fontId="7" fillId="0" borderId="29" xfId="0" applyFont="1" applyBorder="1"/>
    <xf numFmtId="0" fontId="0" fillId="0" borderId="29" xfId="0" applyBorder="1"/>
    <xf numFmtId="171" fontId="8" fillId="0" borderId="29" xfId="0" applyNumberFormat="1" applyFont="1" applyBorder="1"/>
    <xf numFmtId="0" fontId="8" fillId="0" borderId="29" xfId="0" applyFont="1" applyBorder="1"/>
    <xf numFmtId="44" fontId="8" fillId="0" borderId="29" xfId="0" applyNumberFormat="1" applyFont="1" applyBorder="1"/>
    <xf numFmtId="0" fontId="8" fillId="8" borderId="29" xfId="0" applyFont="1" applyFill="1" applyBorder="1"/>
    <xf numFmtId="174" fontId="8" fillId="0" borderId="29" xfId="0" applyNumberFormat="1" applyFont="1" applyBorder="1"/>
    <xf numFmtId="174" fontId="0" fillId="0" borderId="30" xfId="0" applyNumberFormat="1" applyBorder="1"/>
    <xf numFmtId="0" fontId="5" fillId="0" borderId="0" xfId="0" applyFont="1"/>
    <xf numFmtId="0" fontId="7" fillId="8" borderId="15" xfId="0" applyFont="1" applyFill="1" applyBorder="1"/>
    <xf numFmtId="0" fontId="7" fillId="8" borderId="4" xfId="0" applyFont="1" applyFill="1" applyBorder="1"/>
    <xf numFmtId="0" fontId="0" fillId="8" borderId="18" xfId="0" applyFill="1" applyBorder="1"/>
    <xf numFmtId="0" fontId="0" fillId="8" borderId="4" xfId="0" applyFill="1" applyBorder="1"/>
    <xf numFmtId="0" fontId="8" fillId="8" borderId="28" xfId="0" applyFont="1" applyFill="1" applyBorder="1"/>
    <xf numFmtId="0" fontId="0" fillId="0" borderId="0" xfId="0" applyBorder="1"/>
    <xf numFmtId="174" fontId="9" fillId="0" borderId="0" xfId="2" applyNumberFormat="1" applyFont="1" applyFill="1" applyBorder="1"/>
    <xf numFmtId="174" fontId="9" fillId="0" borderId="0" xfId="2" applyNumberFormat="1" applyFont="1" applyBorder="1"/>
    <xf numFmtId="174" fontId="8" fillId="0" borderId="0" xfId="0" applyNumberFormat="1" applyFont="1" applyBorder="1"/>
    <xf numFmtId="174" fontId="0" fillId="0" borderId="0" xfId="0" applyNumberFormat="1" applyBorder="1"/>
    <xf numFmtId="0" fontId="3" fillId="0" borderId="6" xfId="0" applyFont="1" applyBorder="1" applyAlignment="1">
      <alignment horizontal="center" vertical="center" wrapText="1"/>
    </xf>
    <xf numFmtId="0" fontId="2" fillId="0" borderId="0" xfId="0" applyFont="1" applyAlignment="1">
      <alignment horizontal="center"/>
    </xf>
    <xf numFmtId="0" fontId="7" fillId="0" borderId="29" xfId="0" applyFont="1" applyFill="1" applyBorder="1" applyAlignment="1">
      <alignment horizontal="center" vertical="center" wrapText="1"/>
    </xf>
    <xf numFmtId="44" fontId="3" fillId="0" borderId="0" xfId="2" applyFont="1" applyFill="1"/>
    <xf numFmtId="171" fontId="3" fillId="0" borderId="0" xfId="1" applyNumberFormat="1" applyFont="1" applyFill="1"/>
    <xf numFmtId="44" fontId="3" fillId="10" borderId="0" xfId="2" applyFont="1" applyFill="1"/>
    <xf numFmtId="0" fontId="3" fillId="10" borderId="0" xfId="0" applyFont="1" applyFill="1"/>
    <xf numFmtId="0" fontId="3" fillId="11" borderId="0" xfId="0" applyFont="1" applyFill="1" applyAlignment="1">
      <alignment horizontal="center" wrapText="1"/>
    </xf>
    <xf numFmtId="0" fontId="3" fillId="11" borderId="0" xfId="0" applyFont="1" applyFill="1"/>
    <xf numFmtId="44" fontId="3" fillId="11" borderId="0" xfId="0" applyNumberFormat="1" applyFont="1" applyFill="1"/>
    <xf numFmtId="172" fontId="3" fillId="11" borderId="0" xfId="0" applyNumberFormat="1" applyFont="1" applyFill="1"/>
    <xf numFmtId="10" fontId="3" fillId="9" borderId="7" xfId="3" applyNumberFormat="1" applyFont="1" applyFill="1" applyBorder="1"/>
    <xf numFmtId="0" fontId="10" fillId="0" borderId="0" xfId="0" applyFont="1"/>
    <xf numFmtId="172" fontId="3" fillId="13" borderId="0" xfId="1" applyNumberFormat="1" applyFont="1" applyFill="1"/>
    <xf numFmtId="44" fontId="3" fillId="13" borderId="0" xfId="2" applyFont="1" applyFill="1"/>
    <xf numFmtId="44" fontId="3" fillId="12" borderId="0" xfId="2" applyFont="1" applyFill="1"/>
    <xf numFmtId="44" fontId="3" fillId="11" borderId="8" xfId="2" applyFont="1" applyFill="1" applyBorder="1" applyAlignment="1">
      <alignment horizontal="center"/>
    </xf>
    <xf numFmtId="44" fontId="3" fillId="11" borderId="11" xfId="2" applyFont="1" applyFill="1" applyBorder="1" applyAlignment="1">
      <alignment horizontal="center"/>
    </xf>
    <xf numFmtId="174" fontId="0" fillId="0" borderId="0" xfId="2" applyNumberFormat="1" applyFont="1" applyBorder="1"/>
    <xf numFmtId="0" fontId="10" fillId="0" borderId="0" xfId="0" quotePrefix="1" applyFont="1"/>
    <xf numFmtId="0" fontId="11" fillId="0" borderId="0" xfId="0" applyFont="1"/>
    <xf numFmtId="0" fontId="12" fillId="0" borderId="0" xfId="0" applyFont="1"/>
    <xf numFmtId="0" fontId="8" fillId="0" borderId="0" xfId="0" applyFont="1"/>
    <xf numFmtId="0" fontId="8" fillId="0" borderId="0" xfId="0" applyFont="1" applyAlignment="1">
      <alignment horizontal="center" vertical="center" wrapText="1"/>
    </xf>
    <xf numFmtId="0" fontId="8" fillId="0" borderId="0" xfId="0" applyFont="1" applyAlignment="1">
      <alignment vertical="center"/>
    </xf>
    <xf numFmtId="0" fontId="8" fillId="0" borderId="0" xfId="0" applyFont="1" applyAlignment="1">
      <alignment horizontal="center" vertical="center"/>
    </xf>
    <xf numFmtId="43" fontId="8" fillId="5" borderId="0" xfId="0" applyNumberFormat="1" applyFont="1" applyFill="1"/>
    <xf numFmtId="172" fontId="8" fillId="0" borderId="0" xfId="1" applyNumberFormat="1" applyFont="1"/>
    <xf numFmtId="43" fontId="8" fillId="0" borderId="0" xfId="1" applyNumberFormat="1" applyFont="1"/>
    <xf numFmtId="44" fontId="2" fillId="0" borderId="1" xfId="2" applyFont="1" applyBorder="1" applyAlignment="1">
      <alignment horizontal="center"/>
    </xf>
    <xf numFmtId="44" fontId="2" fillId="0" borderId="2" xfId="2" applyFont="1" applyBorder="1" applyAlignment="1">
      <alignment horizontal="center"/>
    </xf>
    <xf numFmtId="44" fontId="2" fillId="0" borderId="3" xfId="2" applyFont="1" applyBorder="1" applyAlignment="1">
      <alignment horizontal="center"/>
    </xf>
    <xf numFmtId="166" fontId="2" fillId="0" borderId="1" xfId="2" applyNumberFormat="1" applyFont="1" applyBorder="1" applyAlignment="1">
      <alignment horizontal="center"/>
    </xf>
    <xf numFmtId="166" fontId="2" fillId="0" borderId="2" xfId="2" applyNumberFormat="1" applyFont="1" applyBorder="1" applyAlignment="1">
      <alignment horizontal="center"/>
    </xf>
    <xf numFmtId="166" fontId="2" fillId="0" borderId="3" xfId="2" applyNumberFormat="1" applyFont="1" applyBorder="1" applyAlignment="1">
      <alignment horizontal="center"/>
    </xf>
    <xf numFmtId="0" fontId="2" fillId="0" borderId="0" xfId="0" applyFont="1" applyAlignment="1">
      <alignment horizontal="left" wrapText="1"/>
    </xf>
    <xf numFmtId="0" fontId="2" fillId="0" borderId="12"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3" fillId="0" borderId="6" xfId="0" applyFont="1" applyBorder="1" applyAlignment="1">
      <alignment horizontal="center" vertical="center"/>
    </xf>
    <xf numFmtId="0" fontId="0" fillId="0" borderId="0" xfId="0" applyBorder="1" applyAlignment="1">
      <alignment horizontal="center"/>
    </xf>
    <xf numFmtId="0" fontId="0" fillId="0" borderId="0" xfId="0" applyAlignment="1">
      <alignment horizontal="left" wrapText="1"/>
    </xf>
    <xf numFmtId="0" fontId="2" fillId="0" borderId="15" xfId="0" applyFont="1" applyBorder="1" applyAlignment="1">
      <alignment horizontal="center"/>
    </xf>
    <xf numFmtId="0" fontId="2" fillId="0" borderId="16" xfId="0" applyFont="1" applyBorder="1" applyAlignment="1">
      <alignment horizontal="center"/>
    </xf>
    <xf numFmtId="0" fontId="2" fillId="0" borderId="17" xfId="0" applyFont="1" applyBorder="1" applyAlignment="1">
      <alignment horizontal="center"/>
    </xf>
    <xf numFmtId="0" fontId="2" fillId="0" borderId="18" xfId="0" applyFont="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3" fillId="0" borderId="15" xfId="0" applyFont="1" applyBorder="1" applyAlignment="1">
      <alignment horizontal="center" wrapText="1"/>
    </xf>
    <xf numFmtId="0" fontId="3" fillId="0" borderId="16" xfId="0" applyFont="1" applyBorder="1" applyAlignment="1">
      <alignment horizontal="center" wrapText="1"/>
    </xf>
    <xf numFmtId="0" fontId="3" fillId="0" borderId="17" xfId="0" applyFont="1" applyBorder="1" applyAlignment="1">
      <alignment horizontal="center" wrapText="1"/>
    </xf>
    <xf numFmtId="0" fontId="3" fillId="0" borderId="24" xfId="0" applyFont="1" applyBorder="1" applyAlignment="1">
      <alignment horizontal="center"/>
    </xf>
    <xf numFmtId="0" fontId="3" fillId="0" borderId="25" xfId="0" applyFont="1" applyBorder="1" applyAlignment="1">
      <alignment horizontal="center"/>
    </xf>
    <xf numFmtId="0" fontId="3" fillId="0" borderId="26" xfId="0" applyFont="1" applyBorder="1" applyAlignment="1">
      <alignment horizontal="center"/>
    </xf>
    <xf numFmtId="0" fontId="3" fillId="0" borderId="0" xfId="0" applyFont="1" applyAlignment="1">
      <alignment horizontal="left" wrapText="1"/>
    </xf>
    <xf numFmtId="0" fontId="3" fillId="0" borderId="6" xfId="0" applyFont="1" applyBorder="1" applyAlignment="1">
      <alignment horizontal="center" vertical="center" wrapText="1"/>
    </xf>
    <xf numFmtId="0" fontId="3" fillId="0" borderId="0" xfId="0" applyFont="1" applyAlignment="1">
      <alignment horizontal="center"/>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2" fillId="0" borderId="0" xfId="0" applyFont="1" applyAlignment="1">
      <alignment horizontal="right"/>
    </xf>
    <xf numFmtId="0" fontId="2" fillId="0" borderId="0" xfId="0" applyFont="1" applyAlignment="1">
      <alignment horizontal="center"/>
    </xf>
    <xf numFmtId="0" fontId="3" fillId="11" borderId="0" xfId="0" applyFont="1" applyFill="1" applyAlignment="1">
      <alignment horizontal="center"/>
    </xf>
    <xf numFmtId="0" fontId="6" fillId="0" borderId="0" xfId="0" applyFont="1" applyAlignment="1">
      <alignment horizontal="center"/>
    </xf>
    <xf numFmtId="0" fontId="7" fillId="0" borderId="27" xfId="0" applyFont="1" applyFill="1" applyBorder="1" applyAlignment="1">
      <alignment horizontal="center" vertical="center" wrapText="1"/>
    </xf>
    <xf numFmtId="0" fontId="7" fillId="0" borderId="29" xfId="0" applyFont="1" applyFill="1" applyBorder="1" applyAlignment="1">
      <alignment horizontal="center" vertical="center" wrapText="1"/>
    </xf>
    <xf numFmtId="0" fontId="7" fillId="0" borderId="24" xfId="0" applyFont="1" applyFill="1" applyBorder="1" applyAlignment="1">
      <alignment horizontal="center" vertical="center"/>
    </xf>
    <xf numFmtId="0" fontId="7" fillId="0" borderId="26" xfId="0" applyFont="1" applyFill="1" applyBorder="1" applyAlignment="1">
      <alignment horizontal="center" vertical="center"/>
    </xf>
    <xf numFmtId="0" fontId="7" fillId="0" borderId="25" xfId="0" applyFont="1" applyFill="1" applyBorder="1" applyAlignment="1">
      <alignment horizontal="center" vertical="center"/>
    </xf>
    <xf numFmtId="0" fontId="7" fillId="0" borderId="0" xfId="0" applyFont="1" applyFill="1" applyBorder="1" applyAlignment="1">
      <alignment horizontal="center" vertical="center" wrapText="1"/>
    </xf>
    <xf numFmtId="0" fontId="8" fillId="0" borderId="0" xfId="0" applyFont="1" applyAlignment="1">
      <alignment horizontal="center"/>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8</xdr:row>
      <xdr:rowOff>0</xdr:rowOff>
    </xdr:from>
    <xdr:to>
      <xdr:col>7</xdr:col>
      <xdr:colOff>438150</xdr:colOff>
      <xdr:row>13</xdr:row>
      <xdr:rowOff>180975</xdr:rowOff>
    </xdr:to>
    <xdr:pic>
      <xdr:nvPicPr>
        <xdr:cNvPr id="3" name="Picture 1" descr="CNP FORTIS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0" y="1524000"/>
          <a:ext cx="4095750"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2:B28"/>
  <sheetViews>
    <sheetView workbookViewId="0">
      <selection activeCell="D32" sqref="D32"/>
    </sheetView>
  </sheetViews>
  <sheetFormatPr defaultRowHeight="15" x14ac:dyDescent="0.25"/>
  <sheetData>
    <row r="22" spans="2:2" ht="20.25" x14ac:dyDescent="0.3">
      <c r="B22" s="172"/>
    </row>
    <row r="23" spans="2:2" ht="20.25" x14ac:dyDescent="0.3">
      <c r="B23" s="172" t="s">
        <v>161</v>
      </c>
    </row>
    <row r="24" spans="2:2" ht="20.25" x14ac:dyDescent="0.3">
      <c r="B24" s="172" t="s">
        <v>168</v>
      </c>
    </row>
    <row r="25" spans="2:2" ht="20.25" x14ac:dyDescent="0.3">
      <c r="B25" s="172" t="s">
        <v>169</v>
      </c>
    </row>
    <row r="27" spans="2:2" ht="20.25" x14ac:dyDescent="0.3">
      <c r="B27" s="172" t="s">
        <v>182</v>
      </c>
    </row>
    <row r="28" spans="2:2" ht="20.25" x14ac:dyDescent="0.3">
      <c r="B28" s="179" t="s">
        <v>183</v>
      </c>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28"/>
  <sheetViews>
    <sheetView tabSelected="1" workbookViewId="0">
      <selection activeCell="D14" activeCellId="1" sqref="C12 D14"/>
    </sheetView>
  </sheetViews>
  <sheetFormatPr defaultRowHeight="14.25" x14ac:dyDescent="0.2"/>
  <cols>
    <col min="1" max="1" width="2.7109375" style="3" customWidth="1"/>
    <col min="2" max="2" width="21.85546875" style="3" customWidth="1"/>
    <col min="3" max="3" width="14" style="3" bestFit="1" customWidth="1"/>
    <col min="4" max="7" width="14.42578125" style="3" bestFit="1" customWidth="1"/>
    <col min="8" max="16384" width="9.140625" style="3"/>
  </cols>
  <sheetData>
    <row r="1" spans="2:7" ht="15" thickBot="1" x14ac:dyDescent="0.25"/>
    <row r="2" spans="2:7" ht="15" x14ac:dyDescent="0.25">
      <c r="B2" s="196" t="s">
        <v>85</v>
      </c>
      <c r="C2" s="197"/>
      <c r="D2" s="197"/>
      <c r="E2" s="197"/>
      <c r="F2" s="197"/>
      <c r="G2" s="198"/>
    </row>
    <row r="3" spans="2:7" x14ac:dyDescent="0.2">
      <c r="B3" s="20"/>
      <c r="C3" s="21"/>
      <c r="D3" s="21"/>
      <c r="E3" s="21"/>
      <c r="F3" s="21"/>
      <c r="G3" s="11"/>
    </row>
    <row r="4" spans="2:7" ht="57" x14ac:dyDescent="0.2">
      <c r="B4" s="71" t="s">
        <v>21</v>
      </c>
      <c r="C4" s="32" t="s">
        <v>86</v>
      </c>
      <c r="D4" s="32" t="s">
        <v>87</v>
      </c>
      <c r="E4" s="32" t="s">
        <v>88</v>
      </c>
      <c r="F4" s="32" t="s">
        <v>31</v>
      </c>
      <c r="G4" s="33" t="s">
        <v>23</v>
      </c>
    </row>
    <row r="5" spans="2:7" x14ac:dyDescent="0.2">
      <c r="B5" s="19" t="s">
        <v>8</v>
      </c>
      <c r="C5" s="34">
        <f>'2013 R|C Ratio Adj.'!H5</f>
        <v>10016078.7906</v>
      </c>
      <c r="D5" s="34">
        <f>C5*'Existing F_V Ratios'!F74</f>
        <v>5984339.3042655913</v>
      </c>
      <c r="E5" s="34">
        <f>C5*'Existing F_V Ratios'!G74</f>
        <v>4031739.4863344086</v>
      </c>
      <c r="F5" s="90">
        <f>D5/'Existing Rates &amp; Forecast Vols'!F35/12</f>
        <v>19.412781424817339</v>
      </c>
      <c r="G5" s="91">
        <f>E5/'Existing Rates &amp; Forecast Vols'!G35</f>
        <v>1.935656375255386E-2</v>
      </c>
    </row>
    <row r="6" spans="2:7" x14ac:dyDescent="0.2">
      <c r="B6" s="19" t="s">
        <v>10</v>
      </c>
      <c r="C6" s="34">
        <f>'2013 R|C Ratio Adj.'!H6</f>
        <v>2446814</v>
      </c>
      <c r="D6" s="34">
        <f>C6*'Existing F_V Ratios'!F75</f>
        <v>828258.02009730285</v>
      </c>
      <c r="E6" s="34">
        <f>C6*'Existing F_V Ratios'!G75</f>
        <v>1618555.979902697</v>
      </c>
      <c r="F6" s="90">
        <f>D6/'Existing Rates &amp; Forecast Vols'!F36/12</f>
        <v>27.378620259728379</v>
      </c>
      <c r="G6" s="91">
        <f>E6/'Existing Rates &amp; Forecast Vols'!G36</f>
        <v>2.2338898223506865E-2</v>
      </c>
    </row>
    <row r="7" spans="2:7" x14ac:dyDescent="0.2">
      <c r="B7" s="19" t="s">
        <v>11</v>
      </c>
      <c r="C7" s="34">
        <f>'2013 R|C Ratio Adj.'!H7</f>
        <v>4647757</v>
      </c>
      <c r="D7" s="34">
        <f>C7*'Existing F_V Ratios'!F76</f>
        <v>859161.41084480553</v>
      </c>
      <c r="E7" s="34">
        <f>C7*'Existing F_V Ratios'!G76</f>
        <v>3788595.5891551943</v>
      </c>
      <c r="F7" s="90">
        <f>D7/'Existing Rates &amp; Forecast Vols'!F37/12</f>
        <v>314.02098349590847</v>
      </c>
      <c r="G7" s="91">
        <f>E7/'Existing Rates &amp; Forecast Vols'!H37</f>
        <v>5.4798696915312499</v>
      </c>
    </row>
    <row r="8" spans="2:7" x14ac:dyDescent="0.2">
      <c r="B8" s="19" t="s">
        <v>13</v>
      </c>
      <c r="C8" s="34">
        <f>'2013 R|C Ratio Adj.'!H8</f>
        <v>80912.888600000006</v>
      </c>
      <c r="D8" s="34">
        <f>C8*'Existing F_V Ratios'!F77</f>
        <v>28579.330772848771</v>
      </c>
      <c r="E8" s="34">
        <f>C8*'Existing F_V Ratios'!G77</f>
        <v>52333.557827151235</v>
      </c>
      <c r="F8" s="90">
        <f>D8/'Existing Rates &amp; Forecast Vols'!F38/12</f>
        <v>61.066946095830708</v>
      </c>
      <c r="G8" s="91">
        <f>E8/'Existing Rates &amp; Forecast Vols'!G38</f>
        <v>3.4251302139792647E-2</v>
      </c>
    </row>
    <row r="9" spans="2:7" x14ac:dyDescent="0.2">
      <c r="B9" s="19" t="s">
        <v>14</v>
      </c>
      <c r="C9" s="34">
        <f>'2013 R|C Ratio Adj.'!H9</f>
        <v>70144.320800000001</v>
      </c>
      <c r="D9" s="34">
        <f>C9*'Existing F_V Ratios'!F78</f>
        <v>57058.33132562536</v>
      </c>
      <c r="E9" s="34">
        <f>C9*'Existing F_V Ratios'!G78</f>
        <v>13085.989474374644</v>
      </c>
      <c r="F9" s="90">
        <f>D9/'Existing Rates &amp; Forecast Vols'!F39/12</f>
        <v>4.9478261642061536</v>
      </c>
      <c r="G9" s="91">
        <f>E9/'Existing Rates &amp; Forecast Vols'!H39</f>
        <v>5.6066792949334383</v>
      </c>
    </row>
    <row r="10" spans="2:7" x14ac:dyDescent="0.2">
      <c r="B10" s="19" t="s">
        <v>15</v>
      </c>
      <c r="C10" s="34">
        <f>'2013 R|C Ratio Adj.'!H10</f>
        <v>451374</v>
      </c>
      <c r="D10" s="34">
        <f>C10*'Existing F_V Ratios'!F79</f>
        <v>328066.94497750018</v>
      </c>
      <c r="E10" s="34">
        <f>C10*'Existing F_V Ratios'!G79</f>
        <v>123307.05502249982</v>
      </c>
      <c r="F10" s="90">
        <f>D10/'Existing Rates &amp; Forecast Vols'!F40/12</f>
        <v>4.7996685536268169</v>
      </c>
      <c r="G10" s="91">
        <f>E10/'Existing Rates &amp; Forecast Vols'!H40</f>
        <v>10.459500807744492</v>
      </c>
    </row>
    <row r="11" spans="2:7" x14ac:dyDescent="0.2">
      <c r="B11" s="20"/>
      <c r="C11" s="21"/>
      <c r="D11" s="21"/>
      <c r="E11" s="21"/>
      <c r="F11" s="21"/>
      <c r="G11" s="11"/>
    </row>
    <row r="12" spans="2:7" ht="15" thickBot="1" x14ac:dyDescent="0.25">
      <c r="B12" s="22" t="s">
        <v>27</v>
      </c>
      <c r="C12" s="58">
        <f>SUM(C5:C10)</f>
        <v>17713081</v>
      </c>
      <c r="D12" s="58">
        <f>SUM(D5:D10)</f>
        <v>8085463.3422836745</v>
      </c>
      <c r="E12" s="58">
        <f>SUM(E5:E10)</f>
        <v>9627617.6577163246</v>
      </c>
      <c r="F12" s="23"/>
      <c r="G12" s="60"/>
    </row>
    <row r="14" spans="2:7" x14ac:dyDescent="0.2">
      <c r="B14" s="3" t="s">
        <v>89</v>
      </c>
      <c r="D14" s="89">
        <f>'Existing Rates &amp; Forecast Vols'!D42*'Existing Rates &amp; Forecast Vols'!H42</f>
        <v>232633.8</v>
      </c>
      <c r="E14" s="3" t="s">
        <v>90</v>
      </c>
    </row>
    <row r="15" spans="2:7" ht="15" thickBot="1" x14ac:dyDescent="0.25">
      <c r="D15" s="89"/>
    </row>
    <row r="16" spans="2:7" ht="15" x14ac:dyDescent="0.25">
      <c r="B16" s="196" t="s">
        <v>91</v>
      </c>
      <c r="C16" s="197"/>
      <c r="D16" s="197"/>
      <c r="E16" s="197"/>
      <c r="F16" s="197"/>
      <c r="G16" s="198"/>
    </row>
    <row r="17" spans="2:7" x14ac:dyDescent="0.2">
      <c r="B17" s="20"/>
      <c r="C17" s="21"/>
      <c r="D17" s="21"/>
      <c r="E17" s="21"/>
      <c r="F17" s="21"/>
      <c r="G17" s="11"/>
    </row>
    <row r="18" spans="2:7" ht="57" x14ac:dyDescent="0.2">
      <c r="B18" s="71" t="s">
        <v>21</v>
      </c>
      <c r="C18" s="32" t="s">
        <v>92</v>
      </c>
      <c r="D18" s="32" t="s">
        <v>87</v>
      </c>
      <c r="E18" s="32" t="s">
        <v>88</v>
      </c>
      <c r="F18" s="32" t="s">
        <v>31</v>
      </c>
      <c r="G18" s="33" t="s">
        <v>23</v>
      </c>
    </row>
    <row r="19" spans="2:7" x14ac:dyDescent="0.2">
      <c r="B19" s="19" t="s">
        <v>8</v>
      </c>
      <c r="C19" s="34">
        <f>C5</f>
        <v>10016078.7906</v>
      </c>
      <c r="D19" s="34">
        <f>D5</f>
        <v>5984339.3042655913</v>
      </c>
      <c r="E19" s="34">
        <f>E5</f>
        <v>4031739.4863344086</v>
      </c>
      <c r="F19" s="90">
        <f>D19/'Existing Rates &amp; Forecast Vols'!F35/12</f>
        <v>19.412781424817339</v>
      </c>
      <c r="G19" s="91">
        <f>E19/'Existing Rates &amp; Forecast Vols'!G35</f>
        <v>1.935656375255386E-2</v>
      </c>
    </row>
    <row r="20" spans="2:7" x14ac:dyDescent="0.2">
      <c r="B20" s="19" t="s">
        <v>10</v>
      </c>
      <c r="C20" s="34">
        <f t="shared" ref="C20:E24" si="0">C6</f>
        <v>2446814</v>
      </c>
      <c r="D20" s="34">
        <f t="shared" si="0"/>
        <v>828258.02009730285</v>
      </c>
      <c r="E20" s="34">
        <f t="shared" si="0"/>
        <v>1618555.979902697</v>
      </c>
      <c r="F20" s="90">
        <f>D20/'Existing Rates &amp; Forecast Vols'!F36/12</f>
        <v>27.378620259728379</v>
      </c>
      <c r="G20" s="91">
        <f>E20/'Existing Rates &amp; Forecast Vols'!G36</f>
        <v>2.2338898223506865E-2</v>
      </c>
    </row>
    <row r="21" spans="2:7" x14ac:dyDescent="0.2">
      <c r="B21" s="19" t="s">
        <v>11</v>
      </c>
      <c r="C21" s="34">
        <f>C7+D14</f>
        <v>4880390.8</v>
      </c>
      <c r="D21" s="34">
        <f t="shared" si="0"/>
        <v>859161.41084480553</v>
      </c>
      <c r="E21" s="34">
        <f>E7+D14</f>
        <v>4021229.3891551942</v>
      </c>
      <c r="F21" s="90">
        <f>D21/'Existing Rates &amp; Forecast Vols'!F37/12</f>
        <v>314.02098349590847</v>
      </c>
      <c r="G21" s="91">
        <f>E21/'Existing Rates &amp; Forecast Vols'!H37</f>
        <v>5.8163539849445796</v>
      </c>
    </row>
    <row r="22" spans="2:7" x14ac:dyDescent="0.2">
      <c r="B22" s="19" t="s">
        <v>13</v>
      </c>
      <c r="C22" s="34">
        <f t="shared" si="0"/>
        <v>80912.888600000006</v>
      </c>
      <c r="D22" s="34">
        <f t="shared" si="0"/>
        <v>28579.330772848771</v>
      </c>
      <c r="E22" s="34">
        <f t="shared" si="0"/>
        <v>52333.557827151235</v>
      </c>
      <c r="F22" s="90">
        <f>D22/'Existing Rates &amp; Forecast Vols'!F38/12</f>
        <v>61.066946095830708</v>
      </c>
      <c r="G22" s="91">
        <f>E22/'Existing Rates &amp; Forecast Vols'!G38</f>
        <v>3.4251302139792647E-2</v>
      </c>
    </row>
    <row r="23" spans="2:7" x14ac:dyDescent="0.2">
      <c r="B23" s="19" t="s">
        <v>14</v>
      </c>
      <c r="C23" s="34">
        <f t="shared" si="0"/>
        <v>70144.320800000001</v>
      </c>
      <c r="D23" s="34">
        <f t="shared" si="0"/>
        <v>57058.33132562536</v>
      </c>
      <c r="E23" s="34">
        <f t="shared" si="0"/>
        <v>13085.989474374644</v>
      </c>
      <c r="F23" s="90">
        <f>D23/'Existing Rates &amp; Forecast Vols'!F39/12</f>
        <v>4.9478261642061536</v>
      </c>
      <c r="G23" s="91">
        <f>E23/'Existing Rates &amp; Forecast Vols'!H39</f>
        <v>5.6066792949334383</v>
      </c>
    </row>
    <row r="24" spans="2:7" x14ac:dyDescent="0.2">
      <c r="B24" s="19" t="s">
        <v>15</v>
      </c>
      <c r="C24" s="34">
        <f t="shared" si="0"/>
        <v>451374</v>
      </c>
      <c r="D24" s="34">
        <f t="shared" si="0"/>
        <v>328066.94497750018</v>
      </c>
      <c r="E24" s="34">
        <f t="shared" si="0"/>
        <v>123307.05502249982</v>
      </c>
      <c r="F24" s="90">
        <f>D24/'Existing Rates &amp; Forecast Vols'!F40/12</f>
        <v>4.7996685536268169</v>
      </c>
      <c r="G24" s="91">
        <f>E24/'Existing Rates &amp; Forecast Vols'!H40</f>
        <v>10.459500807744492</v>
      </c>
    </row>
    <row r="25" spans="2:7" x14ac:dyDescent="0.2">
      <c r="B25" s="20"/>
      <c r="C25" s="21"/>
      <c r="D25" s="21"/>
      <c r="E25" s="21"/>
      <c r="F25" s="21"/>
      <c r="G25" s="11"/>
    </row>
    <row r="26" spans="2:7" ht="15" thickBot="1" x14ac:dyDescent="0.25">
      <c r="B26" s="22" t="s">
        <v>27</v>
      </c>
      <c r="C26" s="58">
        <f>SUM(C19:C24)</f>
        <v>17945714.799999997</v>
      </c>
      <c r="D26" s="58">
        <f>SUM(D19:D24)</f>
        <v>8085463.3422836745</v>
      </c>
      <c r="E26" s="58">
        <f>SUM(E19:E24)</f>
        <v>9860251.4577163253</v>
      </c>
      <c r="F26" s="23"/>
      <c r="G26" s="60"/>
    </row>
    <row r="28" spans="2:7" ht="15" x14ac:dyDescent="0.25">
      <c r="B28" s="65" t="s">
        <v>93</v>
      </c>
      <c r="C28" s="66" t="str">
        <f>IF(C26-(D26+E26)&lt;1,"YES","NO")</f>
        <v>YES</v>
      </c>
    </row>
  </sheetData>
  <mergeCells count="2">
    <mergeCell ref="B2:G2"/>
    <mergeCell ref="B16:G16"/>
  </mergeCells>
  <pageMargins left="0.7" right="0.7" top="0.75" bottom="0.75" header="0.3" footer="0.3"/>
  <pageSetup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Q32"/>
  <sheetViews>
    <sheetView workbookViewId="0">
      <selection activeCell="M30" sqref="M30"/>
    </sheetView>
  </sheetViews>
  <sheetFormatPr defaultRowHeight="14.25" x14ac:dyDescent="0.2"/>
  <cols>
    <col min="1" max="1" width="2.7109375" style="3" customWidth="1"/>
    <col min="2" max="2" width="36.5703125" style="3" bestFit="1" customWidth="1"/>
    <col min="3" max="3" width="1.7109375" style="3" customWidth="1"/>
    <col min="4" max="5" width="9.85546875" style="3" bestFit="1" customWidth="1"/>
    <col min="6" max="6" width="9.85546875" style="3" customWidth="1"/>
    <col min="7" max="7" width="9.85546875" style="3" bestFit="1" customWidth="1"/>
    <col min="8" max="8" width="14.7109375" style="3" customWidth="1"/>
    <col min="9" max="9" width="12.140625" style="3" customWidth="1"/>
    <col min="10" max="10" width="11.5703125" style="3" bestFit="1" customWidth="1"/>
    <col min="11" max="13" width="11.140625" style="3" customWidth="1"/>
    <col min="14" max="14" width="14.5703125" style="3" bestFit="1" customWidth="1"/>
    <col min="15" max="15" width="2.7109375" style="3" customWidth="1"/>
    <col min="16" max="17" width="9.85546875" style="3" bestFit="1" customWidth="1"/>
    <col min="18" max="16384" width="9.140625" style="3"/>
  </cols>
  <sheetData>
    <row r="3" spans="2:17" ht="15" x14ac:dyDescent="0.25">
      <c r="D3" s="224" t="s">
        <v>143</v>
      </c>
      <c r="E3" s="224"/>
      <c r="F3" s="224"/>
      <c r="G3" s="224"/>
      <c r="H3" s="224"/>
      <c r="I3" s="224"/>
      <c r="J3" s="224"/>
      <c r="K3" s="224"/>
      <c r="L3" s="224"/>
      <c r="M3" s="224"/>
      <c r="N3" s="224"/>
      <c r="P3" s="225" t="s">
        <v>123</v>
      </c>
      <c r="Q3" s="225"/>
    </row>
    <row r="4" spans="2:17" ht="57" x14ac:dyDescent="0.2">
      <c r="D4" s="1" t="s">
        <v>119</v>
      </c>
      <c r="E4" s="1" t="s">
        <v>112</v>
      </c>
      <c r="F4" s="1" t="s">
        <v>73</v>
      </c>
      <c r="G4" s="1" t="s">
        <v>113</v>
      </c>
      <c r="H4" s="1" t="s">
        <v>115</v>
      </c>
      <c r="I4" s="1" t="s">
        <v>116</v>
      </c>
      <c r="J4" s="1" t="s">
        <v>117</v>
      </c>
      <c r="K4" s="1" t="s">
        <v>120</v>
      </c>
      <c r="L4" s="1" t="s">
        <v>121</v>
      </c>
      <c r="M4" s="1" t="s">
        <v>180</v>
      </c>
      <c r="N4" s="1" t="s">
        <v>122</v>
      </c>
      <c r="P4" s="167" t="s">
        <v>113</v>
      </c>
      <c r="Q4" s="167" t="s">
        <v>124</v>
      </c>
    </row>
    <row r="5" spans="2:17" ht="15" x14ac:dyDescent="0.25">
      <c r="B5" s="65" t="s">
        <v>21</v>
      </c>
      <c r="P5" s="168"/>
      <c r="Q5" s="168"/>
    </row>
    <row r="6" spans="2:17" x14ac:dyDescent="0.2">
      <c r="B6" s="3" t="s">
        <v>94</v>
      </c>
      <c r="D6" s="96">
        <f>'Existing Rates &amp; Forecast Vols'!D7</f>
        <v>1.52E-2</v>
      </c>
      <c r="E6" s="4">
        <f>'Existing Rates &amp; Forecast Vols'!C7</f>
        <v>18.170000000000002</v>
      </c>
      <c r="F6" s="165">
        <f>'Target MSC Change'!D6</f>
        <v>19.405315643733587</v>
      </c>
      <c r="G6" s="4">
        <f>E6+((F6-E6)/4)</f>
        <v>18.478828910933398</v>
      </c>
      <c r="H6" s="93">
        <f>H8*'Existing F_V Ratios'!C89</f>
        <v>6731525.8263488058</v>
      </c>
      <c r="I6" s="93">
        <f>G6*'Existing Rates &amp; Forecast Vols'!F7*12</f>
        <v>3888758.6713324683</v>
      </c>
      <c r="J6" s="94">
        <f>H6-I6</f>
        <v>2842767.1550163375</v>
      </c>
      <c r="K6" s="96">
        <f>J6/'Existing Rates &amp; Forecast Vols'!G7</f>
        <v>1.9724174034364751E-2</v>
      </c>
      <c r="L6" s="96">
        <f>K8-K6</f>
        <v>1.9304795203098739E-3</v>
      </c>
      <c r="M6" s="96">
        <f>K6+(0.25*L6)</f>
        <v>2.0206793914442221E-2</v>
      </c>
      <c r="N6" s="101">
        <f>M6*'Existing Rates &amp; Forecast Vols'!G7</f>
        <v>2912325.2486050376</v>
      </c>
      <c r="P6" s="169">
        <f>G6</f>
        <v>18.478828910933398</v>
      </c>
      <c r="Q6" s="170">
        <f>M6</f>
        <v>2.0206793914442221E-2</v>
      </c>
    </row>
    <row r="7" spans="2:17" x14ac:dyDescent="0.2">
      <c r="B7" s="3" t="s">
        <v>95</v>
      </c>
      <c r="D7" s="96">
        <f>'Existing Rates &amp; Forecast Vols'!D21</f>
        <v>2.1999999999999999E-2</v>
      </c>
      <c r="E7" s="4">
        <f>'Existing Rates &amp; Forecast Vols'!C21</f>
        <v>15.57</v>
      </c>
      <c r="F7" s="165">
        <f>'Target MSC Change'!D14</f>
        <v>19.405315643733587</v>
      </c>
      <c r="G7" s="4">
        <f>E7+((F7-E7)/4)</f>
        <v>16.528828910933399</v>
      </c>
      <c r="H7" s="94">
        <f>H8-H6</f>
        <v>3284552.9642511941</v>
      </c>
      <c r="I7" s="93">
        <f>G7*'Existing Rates &amp; Forecast Vols'!F21*12</f>
        <v>1616916.1593831489</v>
      </c>
      <c r="J7" s="94">
        <f>H7-I7</f>
        <v>1667636.8048680453</v>
      </c>
      <c r="K7" s="96">
        <f>J7/'Existing Rates &amp; Forecast Vols'!G21</f>
        <v>2.5991062408734555E-2</v>
      </c>
      <c r="L7" s="96">
        <f>K8-K7</f>
        <v>-4.3364088540599303E-3</v>
      </c>
      <c r="M7" s="96">
        <f>N7/'Existing Rates &amp; Forecast Vols'!G21</f>
        <v>2.4906960195219575E-2</v>
      </c>
      <c r="N7" s="94">
        <f>N8-N6</f>
        <v>1598078.7112793452</v>
      </c>
      <c r="P7" s="169">
        <f>G7</f>
        <v>16.528828910933399</v>
      </c>
      <c r="Q7" s="170">
        <f>M7</f>
        <v>2.4906960195219575E-2</v>
      </c>
    </row>
    <row r="8" spans="2:17" x14ac:dyDescent="0.2">
      <c r="B8" s="3" t="s">
        <v>105</v>
      </c>
      <c r="F8" s="166"/>
      <c r="G8" s="99">
        <f>I8/'Existing Rates &amp; Forecast Vols'!F35/12</f>
        <v>17.860027089141969</v>
      </c>
      <c r="H8" s="100">
        <f>'2013 Rate Design'!C19</f>
        <v>10016078.7906</v>
      </c>
      <c r="I8" s="101">
        <f>I6+I7</f>
        <v>5505674.8307156172</v>
      </c>
      <c r="J8" s="101">
        <f>H8-I8</f>
        <v>4510403.9598843828</v>
      </c>
      <c r="K8" s="102">
        <f>J8/'Existing Rates &amp; Forecast Vols'!G35</f>
        <v>2.1654653554674625E-2</v>
      </c>
      <c r="L8" s="104"/>
      <c r="N8" s="94">
        <f>J8</f>
        <v>4510403.9598843828</v>
      </c>
      <c r="P8" s="168"/>
      <c r="Q8" s="168"/>
    </row>
    <row r="9" spans="2:17" x14ac:dyDescent="0.2">
      <c r="F9" s="166"/>
      <c r="G9" s="4"/>
      <c r="H9" s="87"/>
      <c r="L9" s="105"/>
      <c r="P9" s="168"/>
      <c r="Q9" s="168"/>
    </row>
    <row r="10" spans="2:17" x14ac:dyDescent="0.2">
      <c r="B10" s="3" t="s">
        <v>96</v>
      </c>
      <c r="D10" s="96">
        <f>'Existing Rates &amp; Forecast Vols'!D8</f>
        <v>2.2599999999999999E-2</v>
      </c>
      <c r="E10" s="4">
        <f>'Existing Rates &amp; Forecast Vols'!C8</f>
        <v>20.98</v>
      </c>
      <c r="F10" s="165">
        <f>'Target MSC Change'!D7</f>
        <v>27.378620259728379</v>
      </c>
      <c r="G10" s="4">
        <f>E10+((F10-E10)/4)</f>
        <v>22.579655064932094</v>
      </c>
      <c r="H10" s="93">
        <f>H12*'Existing F_V Ratios'!C90</f>
        <v>1696338.5150742384</v>
      </c>
      <c r="I10" s="93">
        <f>G10*'Existing Rates &amp; Forecast Vols'!F8*12</f>
        <v>442470.92065240932</v>
      </c>
      <c r="J10" s="94">
        <f>H10-I10</f>
        <v>1253867.5944218291</v>
      </c>
      <c r="K10" s="96">
        <f>J10/'Existing Rates &amp; Forecast Vols'!G8</f>
        <v>2.5643676586776049E-2</v>
      </c>
      <c r="L10" s="96">
        <f>K12-K10</f>
        <v>-2.3941726425590303E-3</v>
      </c>
      <c r="M10" s="96">
        <f>N10/'Existing Rates &amp; Forecast Vols'!G8</f>
        <v>2.5045133426136294E-2</v>
      </c>
      <c r="N10" s="107">
        <f>N12-N11</f>
        <v>1224601.3591201399</v>
      </c>
      <c r="P10" s="169">
        <f>G10</f>
        <v>22.579655064932094</v>
      </c>
      <c r="Q10" s="170">
        <f>M10</f>
        <v>2.5045133426136294E-2</v>
      </c>
    </row>
    <row r="11" spans="2:17" x14ac:dyDescent="0.2">
      <c r="B11" s="3" t="s">
        <v>97</v>
      </c>
      <c r="D11" s="96">
        <f>'Existing Rates &amp; Forecast Vols'!D22</f>
        <v>1.4500000000000001E-2</v>
      </c>
      <c r="E11" s="4">
        <f>'Existing Rates &amp; Forecast Vols'!C22</f>
        <v>30.89</v>
      </c>
      <c r="F11" s="165">
        <f>'Target MSC Change'!D15</f>
        <v>27.378620259728379</v>
      </c>
      <c r="G11" s="4">
        <f>E11+((F11-E11)/4)</f>
        <v>30.012155064932095</v>
      </c>
      <c r="H11" s="94">
        <f>H12-H10</f>
        <v>750475.48492576159</v>
      </c>
      <c r="I11" s="93">
        <f>G11*'Existing Rates &amp; Forecast Vols'!F22*12</f>
        <v>319809.52437191643</v>
      </c>
      <c r="J11" s="94">
        <f>H11-I11</f>
        <v>430665.96055384516</v>
      </c>
      <c r="K11" s="96">
        <f>J11/'Existing Rates &amp; Forecast Vols'!G22</f>
        <v>1.8280454720286943E-2</v>
      </c>
      <c r="L11" s="96">
        <f>K12-K11</f>
        <v>4.9690492239300756E-3</v>
      </c>
      <c r="M11" s="96">
        <f>K11+(0.25*L11)</f>
        <v>1.9522717026269461E-2</v>
      </c>
      <c r="N11" s="101">
        <f>M11*'Existing Rates &amp; Forecast Vols'!G22</f>
        <v>459932.19585553452</v>
      </c>
      <c r="P11" s="169">
        <f>G11</f>
        <v>30.012155064932095</v>
      </c>
      <c r="Q11" s="170">
        <f>M11</f>
        <v>1.9522717026269461E-2</v>
      </c>
    </row>
    <row r="12" spans="2:17" x14ac:dyDescent="0.2">
      <c r="B12" s="3" t="s">
        <v>106</v>
      </c>
      <c r="F12" s="166"/>
      <c r="G12" s="99">
        <f>I12/'Existing Rates &amp; Forecast Vols'!F36/12</f>
        <v>25.197687591707183</v>
      </c>
      <c r="H12" s="100">
        <f>'2013 Rate Design'!C20</f>
        <v>2446814</v>
      </c>
      <c r="I12" s="101">
        <f>I10+I11</f>
        <v>762280.44502432575</v>
      </c>
      <c r="J12" s="101">
        <f>H12-I12</f>
        <v>1684533.5549756743</v>
      </c>
      <c r="K12" s="102">
        <f>J12/'Existing Rates &amp; Forecast Vols'!G36</f>
        <v>2.3249503944217018E-2</v>
      </c>
      <c r="L12" s="104"/>
      <c r="N12" s="94">
        <f>J12</f>
        <v>1684533.5549756743</v>
      </c>
      <c r="P12" s="168"/>
      <c r="Q12" s="168"/>
    </row>
    <row r="13" spans="2:17" x14ac:dyDescent="0.2">
      <c r="F13" s="166"/>
      <c r="G13" s="4"/>
      <c r="L13" s="105"/>
      <c r="P13" s="168"/>
      <c r="Q13" s="168"/>
    </row>
    <row r="14" spans="2:17" x14ac:dyDescent="0.2">
      <c r="B14" s="3" t="s">
        <v>98</v>
      </c>
      <c r="D14" s="3">
        <f>'Existing Rates &amp; Forecast Vols'!D9</f>
        <v>7.2561</v>
      </c>
      <c r="E14" s="4">
        <f>'Existing Rates &amp; Forecast Vols'!C9</f>
        <v>133.68</v>
      </c>
      <c r="F14" s="165">
        <f>'Target MSC Change'!D8</f>
        <v>145.84</v>
      </c>
      <c r="G14" s="4">
        <f>E14+((F14-E14)/3)</f>
        <v>137.73333333333335</v>
      </c>
      <c r="H14" s="93">
        <f>H16*'Existing F_V Ratios'!C91</f>
        <v>3331111.4920349168</v>
      </c>
      <c r="I14" s="94">
        <f>G14*'Existing Rates &amp; Forecast Vols'!F9*12</f>
        <v>246267.20000000004</v>
      </c>
      <c r="J14" s="94">
        <f>H14-I14</f>
        <v>3084844.2920349166</v>
      </c>
      <c r="K14" s="96">
        <f>J14/'Existing Rates &amp; Forecast Vols'!H9</f>
        <v>8.124382521121607</v>
      </c>
      <c r="L14" s="96">
        <f>K16-K14</f>
        <v>-1.9981840097687211</v>
      </c>
      <c r="M14" s="96">
        <f>N14/'Existing Rates &amp; Forecast Vols'!H9</f>
        <v>7.464981797897928</v>
      </c>
      <c r="N14" s="94">
        <f>N16-N15</f>
        <v>2834468.5186254391</v>
      </c>
      <c r="P14" s="169">
        <f>G14</f>
        <v>137.73333333333335</v>
      </c>
      <c r="Q14" s="170">
        <f>M14</f>
        <v>7.464981797897928</v>
      </c>
    </row>
    <row r="15" spans="2:17" x14ac:dyDescent="0.2">
      <c r="B15" s="3" t="s">
        <v>108</v>
      </c>
      <c r="D15" s="3">
        <f>'Existing Rates &amp; Forecast Vols'!D23</f>
        <v>2.7711999999999999</v>
      </c>
      <c r="E15" s="4">
        <f>'Existing Rates &amp; Forecast Vols'!C23</f>
        <v>557.9</v>
      </c>
      <c r="F15" s="165">
        <f>'Target MSC Change'!D16</f>
        <v>145.84</v>
      </c>
      <c r="G15" s="4">
        <f>E15+((F15-E15)/3)</f>
        <v>420.54666666666662</v>
      </c>
      <c r="H15" s="94">
        <f>H16-H14</f>
        <v>1549279.307965083</v>
      </c>
      <c r="I15" s="94">
        <f>G15*'Existing Rates &amp; Forecast Vols'!F23*12</f>
        <v>398678.23999999993</v>
      </c>
      <c r="J15" s="94">
        <f>H15-I15</f>
        <v>1150601.0679650831</v>
      </c>
      <c r="K15" s="96">
        <f>J15/'Existing Rates &amp; Forecast Vols'!H23</f>
        <v>3.6917997200994761</v>
      </c>
      <c r="L15" s="96">
        <f>K16-K15</f>
        <v>2.4343987912534097</v>
      </c>
      <c r="M15" s="96">
        <f>K15+(0.33*L15)</f>
        <v>4.4951513212131013</v>
      </c>
      <c r="N15" s="101">
        <f>M15*'Existing Rates &amp; Forecast Vols'!H23</f>
        <v>1400976.84137456</v>
      </c>
      <c r="P15" s="169">
        <f>G15</f>
        <v>420.54666666666662</v>
      </c>
      <c r="Q15" s="170">
        <f>M15</f>
        <v>4.4951513212131013</v>
      </c>
    </row>
    <row r="16" spans="2:17" x14ac:dyDescent="0.2">
      <c r="B16" s="3" t="s">
        <v>107</v>
      </c>
      <c r="F16" s="166"/>
      <c r="G16" s="99">
        <f>I16/'Existing Rates &amp; Forecast Vols'!F37/12</f>
        <v>235.72567251461987</v>
      </c>
      <c r="H16" s="100">
        <f>'2013 Rate Design'!C21</f>
        <v>4880390.8</v>
      </c>
      <c r="I16" s="101">
        <f>I14+I15</f>
        <v>644945.43999999994</v>
      </c>
      <c r="J16" s="101">
        <f>H16-I16</f>
        <v>4235445.3599999994</v>
      </c>
      <c r="K16" s="102">
        <f>J16/'Existing Rates &amp; Forecast Vols'!H37</f>
        <v>6.1261985113528858</v>
      </c>
      <c r="L16" s="104"/>
      <c r="N16" s="94">
        <f>J16</f>
        <v>4235445.3599999994</v>
      </c>
      <c r="P16" s="168"/>
      <c r="Q16" s="168"/>
    </row>
    <row r="17" spans="2:17" x14ac:dyDescent="0.2">
      <c r="F17" s="166"/>
      <c r="G17" s="4"/>
      <c r="L17" s="105"/>
      <c r="P17" s="168"/>
      <c r="Q17" s="168"/>
    </row>
    <row r="18" spans="2:17" x14ac:dyDescent="0.2">
      <c r="B18" s="3" t="s">
        <v>99</v>
      </c>
      <c r="D18" s="96">
        <f>'Existing Rates &amp; Forecast Vols'!D10</f>
        <v>4.1300000000000003E-2</v>
      </c>
      <c r="E18" s="4">
        <f>'Existing Rates &amp; Forecast Vols'!C10</f>
        <v>70.069999999999993</v>
      </c>
      <c r="F18" s="165">
        <v>32</v>
      </c>
      <c r="G18" s="4">
        <f>E18+((F18-E18)/4)</f>
        <v>60.552499999999995</v>
      </c>
      <c r="H18" s="93">
        <f>H20*'Existing F_V Ratios'!C92</f>
        <v>57837.974773066489</v>
      </c>
      <c r="I18" s="93">
        <f>G18*'Existing Rates &amp; Forecast Vols'!F10*12</f>
        <v>18165.749999999996</v>
      </c>
      <c r="J18" s="94">
        <f>H18-I18</f>
        <v>39672.224773066497</v>
      </c>
      <c r="K18" s="96">
        <f>J18/'Existing Rates &amp; Forecast Vols'!G10</f>
        <v>4.1931759569213113E-2</v>
      </c>
      <c r="L18" s="96">
        <f>K20-K18</f>
        <v>-6.0022375822621418E-3</v>
      </c>
      <c r="M18" s="96">
        <f>N18/'Existing Rates &amp; Forecast Vols'!G10</f>
        <v>4.0431200173647576E-2</v>
      </c>
      <c r="N18" s="94">
        <f>N20-N19</f>
        <v>38252.524521090403</v>
      </c>
      <c r="P18" s="169">
        <f>G18</f>
        <v>60.552499999999995</v>
      </c>
      <c r="Q18" s="170">
        <f>M18</f>
        <v>4.0431200173647576E-2</v>
      </c>
    </row>
    <row r="19" spans="2:17" x14ac:dyDescent="0.2">
      <c r="B19" s="3" t="s">
        <v>102</v>
      </c>
      <c r="D19" s="96">
        <f>'Existing Rates &amp; Forecast Vols'!D24</f>
        <v>2.63E-2</v>
      </c>
      <c r="E19" s="4">
        <f>'Existing Rates &amp; Forecast Vols'!C24</f>
        <v>51.63</v>
      </c>
      <c r="F19" s="165">
        <v>32</v>
      </c>
      <c r="G19" s="4">
        <f>E19+((F19-E19)/4)</f>
        <v>46.722500000000004</v>
      </c>
      <c r="H19" s="94">
        <f>H20-H18</f>
        <v>23074.913826933516</v>
      </c>
      <c r="I19" s="93">
        <f>G19*'Existing Rates &amp; Forecast Vols'!F24*12</f>
        <v>7849.38</v>
      </c>
      <c r="J19" s="94">
        <f>H19-I19</f>
        <v>15225.533826933515</v>
      </c>
      <c r="K19" s="96">
        <f>J19/'Existing Rates &amp; Forecast Vols'!G24</f>
        <v>2.6169029376921383E-2</v>
      </c>
      <c r="L19" s="96">
        <f>K20-K19</f>
        <v>9.7604926100295884E-3</v>
      </c>
      <c r="M19" s="96">
        <f>K19+(0.25*L19)</f>
        <v>2.8609152529428781E-2</v>
      </c>
      <c r="N19" s="101">
        <f>M19*'Existing Rates &amp; Forecast Vols'!G24</f>
        <v>16645.234078909605</v>
      </c>
      <c r="P19" s="169">
        <f>G19</f>
        <v>46.722500000000004</v>
      </c>
      <c r="Q19" s="170">
        <f>M19</f>
        <v>2.8609152529428781E-2</v>
      </c>
    </row>
    <row r="20" spans="2:17" x14ac:dyDescent="0.2">
      <c r="B20" s="3" t="s">
        <v>109</v>
      </c>
      <c r="F20" s="166"/>
      <c r="G20" s="99">
        <f>I20/'Existing Rates &amp; Forecast Vols'!F38/12</f>
        <v>55.58788461538461</v>
      </c>
      <c r="H20" s="100">
        <f>'2013 Rate Design'!C22</f>
        <v>80912.888600000006</v>
      </c>
      <c r="I20" s="101">
        <f>I18+I19</f>
        <v>26015.129999999997</v>
      </c>
      <c r="J20" s="101">
        <f>H20-I20</f>
        <v>54897.758600000008</v>
      </c>
      <c r="K20" s="102">
        <f>J20/'Existing Rates &amp; Forecast Vols'!G38</f>
        <v>3.5929521986950971E-2</v>
      </c>
      <c r="L20" s="104"/>
      <c r="N20" s="94">
        <f>J20</f>
        <v>54897.758600000008</v>
      </c>
      <c r="P20" s="168"/>
      <c r="Q20" s="168"/>
    </row>
    <row r="21" spans="2:17" x14ac:dyDescent="0.2">
      <c r="F21" s="166"/>
      <c r="G21" s="4"/>
      <c r="L21" s="105"/>
      <c r="P21" s="168"/>
      <c r="Q21" s="168"/>
    </row>
    <row r="22" spans="2:17" x14ac:dyDescent="0.2">
      <c r="B22" s="3" t="s">
        <v>100</v>
      </c>
      <c r="D22" s="96">
        <f>'Existing Rates &amp; Forecast Vols'!D11</f>
        <v>4.2721999999999998</v>
      </c>
      <c r="E22" s="4">
        <f>'Existing Rates &amp; Forecast Vols'!C11</f>
        <v>3.79</v>
      </c>
      <c r="F22" s="165">
        <f>'Target MSC Change'!D10</f>
        <v>4.9460650328130766</v>
      </c>
      <c r="G22" s="4">
        <v>5</v>
      </c>
      <c r="H22" s="93">
        <f>H24*'Existing F_V Ratios'!C93</f>
        <v>67033.566184407202</v>
      </c>
      <c r="I22" s="94">
        <f>G22*'Existing Rates &amp; Forecast Vols'!F11*12</f>
        <v>55200</v>
      </c>
      <c r="J22" s="94">
        <f>H22-I22</f>
        <v>11833.566184407202</v>
      </c>
      <c r="K22" s="95">
        <f>J22/'Existing Rates &amp; Forecast Vols'!H11</f>
        <v>5.1584856950336535</v>
      </c>
      <c r="L22" s="96">
        <f>K24-K22</f>
        <v>0.19040924926797498</v>
      </c>
      <c r="M22" s="173">
        <f>K24</f>
        <v>5.3488949443016285</v>
      </c>
      <c r="N22" s="101">
        <f>M22*'Existing Rates &amp; Forecast Vols'!H11</f>
        <v>12270.365002227936</v>
      </c>
      <c r="P22" s="169">
        <f>G22</f>
        <v>5</v>
      </c>
      <c r="Q22" s="170">
        <f>M22</f>
        <v>5.3488949443016285</v>
      </c>
    </row>
    <row r="23" spans="2:17" x14ac:dyDescent="0.2">
      <c r="B23" s="3" t="s">
        <v>103</v>
      </c>
      <c r="D23" s="96">
        <f>'Existing Rates &amp; Forecast Vols'!D25</f>
        <v>7.0224000000000002</v>
      </c>
      <c r="E23" s="4">
        <f>'Existing Rates &amp; Forecast Vols'!C25</f>
        <v>4.3</v>
      </c>
      <c r="F23" s="165">
        <f>'Target MSC Change'!D18</f>
        <v>4.9460650328130766</v>
      </c>
      <c r="G23" s="4">
        <v>5</v>
      </c>
      <c r="H23" s="94">
        <f>H24-H22</f>
        <v>3110.7546155927994</v>
      </c>
      <c r="I23" s="94">
        <f>G23*'Existing Rates &amp; Forecast Vols'!F25*12</f>
        <v>2460</v>
      </c>
      <c r="J23" s="94">
        <f>H23-I23</f>
        <v>650.75461559279938</v>
      </c>
      <c r="K23" s="95">
        <f>J23/'Existing Rates &amp; Forecast Vols'!H25</f>
        <v>16.268865389819986</v>
      </c>
      <c r="L23" s="96">
        <f>K24-K23</f>
        <v>-10.919970445518357</v>
      </c>
      <c r="M23" s="173">
        <f>N23/'Existing Rates &amp; Forecast Vols'!H25</f>
        <v>5.3488949443016285</v>
      </c>
      <c r="N23" s="94">
        <f>N24-N22</f>
        <v>213.95579777206513</v>
      </c>
      <c r="P23" s="169">
        <f>G23</f>
        <v>5</v>
      </c>
      <c r="Q23" s="170">
        <f>M23</f>
        <v>5.3488949443016285</v>
      </c>
    </row>
    <row r="24" spans="2:17" x14ac:dyDescent="0.2">
      <c r="B24" s="3" t="s">
        <v>110</v>
      </c>
      <c r="F24" s="166"/>
      <c r="G24" s="99">
        <f>I24/'Existing Rates &amp; Forecast Vols'!F39/12</f>
        <v>5</v>
      </c>
      <c r="H24" s="100">
        <f>'2013 Rate Design'!C23</f>
        <v>70144.320800000001</v>
      </c>
      <c r="I24" s="101">
        <f>I22+I23</f>
        <v>57660</v>
      </c>
      <c r="J24" s="101">
        <f>H24-I24</f>
        <v>12484.320800000001</v>
      </c>
      <c r="K24" s="102">
        <f>J24/'Existing Rates &amp; Forecast Vols'!H39</f>
        <v>5.3488949443016285</v>
      </c>
      <c r="L24" s="106"/>
      <c r="N24" s="94">
        <f>J24</f>
        <v>12484.320800000001</v>
      </c>
      <c r="P24" s="168"/>
      <c r="Q24" s="168"/>
    </row>
    <row r="25" spans="2:17" x14ac:dyDescent="0.2">
      <c r="F25" s="166"/>
      <c r="G25" s="4"/>
      <c r="I25" s="94"/>
      <c r="L25" s="105"/>
      <c r="P25" s="168"/>
      <c r="Q25" s="168"/>
    </row>
    <row r="26" spans="2:17" x14ac:dyDescent="0.2">
      <c r="B26" s="3" t="s">
        <v>101</v>
      </c>
      <c r="D26" s="104">
        <f>'Existing Rates &amp; Forecast Vols'!D12</f>
        <v>9.6593999999999998</v>
      </c>
      <c r="E26" s="163">
        <f>'Existing Rates &amp; Forecast Vols'!C12</f>
        <v>4.95</v>
      </c>
      <c r="F26" s="165">
        <f>'Target MSC Change'!D11</f>
        <v>4.7996685536268169</v>
      </c>
      <c r="G26" s="174">
        <v>5.53</v>
      </c>
      <c r="H26" s="164">
        <f>H28*'Existing F_V Ratios'!C94</f>
        <v>310468.01913668768</v>
      </c>
      <c r="I26" s="107">
        <f>G26*'Existing Rates &amp; Forecast Vols'!F12*12</f>
        <v>245266.56</v>
      </c>
      <c r="J26" s="107">
        <f>H26-I26</f>
        <v>65201.459136687685</v>
      </c>
      <c r="K26" s="106">
        <f>J26/'Existing Rates &amp; Forecast Vols'!H12</f>
        <v>8.5008421299462427</v>
      </c>
      <c r="L26" s="104">
        <f>K28-K26</f>
        <v>1.6329639604770332</v>
      </c>
      <c r="M26" s="104">
        <f>N26/'Existing Rates &amp; Forecast Vols'!H12</f>
        <v>10.133806090423276</v>
      </c>
      <c r="N26" s="107">
        <f>N28-N27</f>
        <v>77726.292713546529</v>
      </c>
      <c r="P26" s="169">
        <f>G26</f>
        <v>5.53</v>
      </c>
      <c r="Q26" s="170">
        <f>M26</f>
        <v>10.133806090423276</v>
      </c>
    </row>
    <row r="27" spans="2:17" x14ac:dyDescent="0.2">
      <c r="B27" s="3" t="s">
        <v>104</v>
      </c>
      <c r="D27" s="104">
        <f>'Existing Rates &amp; Forecast Vols'!D26</f>
        <v>8.7698</v>
      </c>
      <c r="E27" s="163">
        <f>'Existing Rates &amp; Forecast Vols'!C26</f>
        <v>3.07</v>
      </c>
      <c r="F27" s="165">
        <f>'Target MSC Change'!D19</f>
        <v>4.7996685536268169</v>
      </c>
      <c r="G27" s="174">
        <v>3.61</v>
      </c>
      <c r="H27" s="107">
        <f>H28-H26</f>
        <v>140905.98086331232</v>
      </c>
      <c r="I27" s="107">
        <f>G27*'Existing Rates &amp; Forecast Vols'!F26*12</f>
        <v>86640</v>
      </c>
      <c r="J27" s="107">
        <f>H27-I27</f>
        <v>54265.980863312318</v>
      </c>
      <c r="K27" s="106">
        <f>J27/'Existing Rates &amp; Forecast Vols'!H26</f>
        <v>13.174552285339237</v>
      </c>
      <c r="L27" s="104">
        <f>K28-K27</f>
        <v>-3.0407461949159611</v>
      </c>
      <c r="M27" s="104">
        <f>K28</f>
        <v>10.133806090423276</v>
      </c>
      <c r="N27" s="101">
        <f>M27*'Existing Rates &amp; Forecast Vols'!H26</f>
        <v>41741.147286453473</v>
      </c>
      <c r="P27" s="169">
        <f>G27</f>
        <v>3.61</v>
      </c>
      <c r="Q27" s="170">
        <f>M27</f>
        <v>10.133806090423276</v>
      </c>
    </row>
    <row r="28" spans="2:17" x14ac:dyDescent="0.2">
      <c r="B28" s="3" t="s">
        <v>111</v>
      </c>
      <c r="G28" s="103">
        <f>I28/'Existing Rates &amp; Forecast Vols'!F40/12</f>
        <v>4.855842696629213</v>
      </c>
      <c r="H28" s="100">
        <f>'2013 Rate Design'!C24</f>
        <v>451374</v>
      </c>
      <c r="I28" s="101">
        <f>I26+I27</f>
        <v>331906.56</v>
      </c>
      <c r="J28" s="101">
        <f>H28-I28</f>
        <v>119467.44</v>
      </c>
      <c r="K28" s="102">
        <f>J28/'Existing Rates &amp; Forecast Vols'!H40</f>
        <v>10.133806090423276</v>
      </c>
      <c r="L28" s="106"/>
      <c r="N28" s="94">
        <f>J28</f>
        <v>119467.44</v>
      </c>
    </row>
    <row r="30" spans="2:17" x14ac:dyDescent="0.2">
      <c r="B30" s="3" t="s">
        <v>178</v>
      </c>
      <c r="H30" s="94">
        <f>H8+H12+H16+H20+H24+H28</f>
        <v>17945714.799999997</v>
      </c>
    </row>
    <row r="32" spans="2:17" ht="15" x14ac:dyDescent="0.25">
      <c r="F32" s="223" t="s">
        <v>53</v>
      </c>
      <c r="G32" s="223"/>
      <c r="H32" s="66" t="str">
        <f>IF('2013 Rate Design'!C26-'2013 Area Rate Design'!H30&lt;1,"YES","NO")</f>
        <v>YES</v>
      </c>
    </row>
  </sheetData>
  <mergeCells count="3">
    <mergeCell ref="F32:G32"/>
    <mergeCell ref="D3:N3"/>
    <mergeCell ref="P3:Q3"/>
  </mergeCells>
  <pageMargins left="0.25" right="0.25" top="0.75" bottom="0.75" header="0.3" footer="0.3"/>
  <pageSetup scale="7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O49"/>
  <sheetViews>
    <sheetView topLeftCell="A16" workbookViewId="0">
      <selection activeCell="O26" sqref="O26"/>
    </sheetView>
  </sheetViews>
  <sheetFormatPr defaultRowHeight="15" x14ac:dyDescent="0.25"/>
  <cols>
    <col min="2" max="2" width="19.5703125" customWidth="1"/>
    <col min="3" max="3" width="12.7109375" customWidth="1"/>
    <col min="4" max="4" width="10.140625" customWidth="1"/>
    <col min="5" max="5" width="13.85546875" bestFit="1" customWidth="1"/>
    <col min="6" max="6" width="9.85546875" customWidth="1"/>
    <col min="7" max="7" width="10.140625" customWidth="1"/>
    <col min="8" max="8" width="9.7109375" customWidth="1"/>
    <col min="9" max="9" width="10" customWidth="1"/>
    <col min="10" max="10" width="15.85546875" customWidth="1"/>
    <col min="11" max="11" width="0.85546875" customWidth="1"/>
    <col min="12" max="12" width="13.5703125" customWidth="1"/>
    <col min="13" max="13" width="12.28515625" customWidth="1"/>
    <col min="14" max="14" width="12.28515625" bestFit="1" customWidth="1"/>
    <col min="15" max="15" width="10.28515625" bestFit="1" customWidth="1"/>
  </cols>
  <sheetData>
    <row r="3" spans="2:15" ht="18" x14ac:dyDescent="0.25">
      <c r="B3" s="226" t="s">
        <v>138</v>
      </c>
      <c r="C3" s="226"/>
      <c r="D3" s="226"/>
      <c r="E3" s="226"/>
      <c r="F3" s="226"/>
      <c r="G3" s="226"/>
      <c r="H3" s="226"/>
      <c r="I3" s="226"/>
      <c r="J3" s="226"/>
      <c r="K3" s="226"/>
      <c r="L3" s="226"/>
      <c r="M3" s="226"/>
      <c r="N3" s="226"/>
      <c r="O3" s="226"/>
    </row>
    <row r="4" spans="2:15" ht="15.75" thickBot="1" x14ac:dyDescent="0.3">
      <c r="B4" s="149" t="s">
        <v>139</v>
      </c>
    </row>
    <row r="5" spans="2:15" ht="15.75" thickBot="1" x14ac:dyDescent="0.3">
      <c r="B5" s="108" t="s">
        <v>125</v>
      </c>
      <c r="C5" s="227" t="s">
        <v>126</v>
      </c>
      <c r="D5" s="109"/>
      <c r="E5" s="229" t="s">
        <v>127</v>
      </c>
      <c r="F5" s="230"/>
      <c r="G5" s="229" t="s">
        <v>128</v>
      </c>
      <c r="H5" s="231"/>
      <c r="I5" s="230"/>
      <c r="J5" s="227" t="s">
        <v>129</v>
      </c>
      <c r="K5" s="150"/>
      <c r="L5" s="232"/>
      <c r="M5" s="232"/>
      <c r="N5" s="232"/>
      <c r="O5" s="232"/>
    </row>
    <row r="6" spans="2:15" ht="39" thickBot="1" x14ac:dyDescent="0.3">
      <c r="B6" s="111"/>
      <c r="C6" s="228"/>
      <c r="D6" s="112" t="s">
        <v>133</v>
      </c>
      <c r="E6" s="113" t="s">
        <v>9</v>
      </c>
      <c r="F6" s="114" t="s">
        <v>12</v>
      </c>
      <c r="G6" s="112" t="s">
        <v>134</v>
      </c>
      <c r="H6" s="229" t="s">
        <v>135</v>
      </c>
      <c r="I6" s="230"/>
      <c r="J6" s="228"/>
      <c r="K6" s="151"/>
      <c r="L6" s="232"/>
      <c r="M6" s="232"/>
      <c r="N6" s="232"/>
      <c r="O6" s="232"/>
    </row>
    <row r="7" spans="2:15" x14ac:dyDescent="0.25">
      <c r="B7" s="116"/>
      <c r="C7" s="116"/>
      <c r="D7" s="116"/>
      <c r="E7" s="116"/>
      <c r="F7" s="117"/>
      <c r="G7" s="116"/>
      <c r="H7" s="118" t="s">
        <v>9</v>
      </c>
      <c r="I7" s="118" t="s">
        <v>12</v>
      </c>
      <c r="J7" s="119"/>
      <c r="K7" s="152"/>
      <c r="L7" s="155"/>
      <c r="M7" s="155"/>
      <c r="N7" s="155"/>
      <c r="O7" s="155"/>
    </row>
    <row r="8" spans="2:15" x14ac:dyDescent="0.25">
      <c r="B8" s="121"/>
      <c r="C8" s="121"/>
      <c r="D8" s="121"/>
      <c r="E8" s="121"/>
      <c r="F8" s="122"/>
      <c r="G8" s="121"/>
      <c r="H8" s="121"/>
      <c r="I8" s="121"/>
      <c r="J8" s="121"/>
      <c r="K8" s="153"/>
      <c r="L8" s="155"/>
      <c r="M8" s="155"/>
      <c r="N8" s="155"/>
      <c r="O8" s="155"/>
    </row>
    <row r="9" spans="2:15" x14ac:dyDescent="0.25">
      <c r="B9" s="124" t="s">
        <v>8</v>
      </c>
      <c r="C9" s="124" t="s">
        <v>136</v>
      </c>
      <c r="D9" s="125">
        <f>'Existing Rates &amp; Forecast Vols'!F7</f>
        <v>17537</v>
      </c>
      <c r="E9" s="126">
        <f>'Existing Rates &amp; Forecast Vols'!G7</f>
        <v>144126043</v>
      </c>
      <c r="F9" s="127"/>
      <c r="G9" s="128">
        <f>'2013 Area Rate Design'!P6</f>
        <v>18.478828910933398</v>
      </c>
      <c r="H9" s="129">
        <f>'2013 Area Rate Design'!Q6</f>
        <v>2.0206793914442221E-2</v>
      </c>
      <c r="I9" s="129"/>
      <c r="J9" s="130">
        <f t="shared" ref="J9:J14" si="0">G9*D9*12+H9*E9+I9*F9</f>
        <v>6801083.9199375063</v>
      </c>
      <c r="K9" s="153"/>
      <c r="L9" s="156"/>
      <c r="M9" s="156"/>
      <c r="N9" s="157"/>
      <c r="O9" s="157"/>
    </row>
    <row r="10" spans="2:15" x14ac:dyDescent="0.25">
      <c r="B10" s="124" t="s">
        <v>10</v>
      </c>
      <c r="C10" s="124" t="s">
        <v>136</v>
      </c>
      <c r="D10" s="125">
        <f>'Existing Rates &amp; Forecast Vols'!F8</f>
        <v>1633</v>
      </c>
      <c r="E10" s="126">
        <f>'Existing Rates &amp; Forecast Vols'!G8</f>
        <v>48895781</v>
      </c>
      <c r="F10" s="127"/>
      <c r="G10" s="128">
        <f>'2013 Area Rate Design'!P10</f>
        <v>22.579655064932094</v>
      </c>
      <c r="H10" s="129">
        <f>'2013 Area Rate Design'!Q10</f>
        <v>2.5045133426136294E-2</v>
      </c>
      <c r="I10" s="129"/>
      <c r="J10" s="130">
        <f t="shared" si="0"/>
        <v>1667072.2797725492</v>
      </c>
      <c r="K10" s="153"/>
      <c r="L10" s="156"/>
      <c r="M10" s="156"/>
      <c r="N10" s="157"/>
      <c r="O10" s="157"/>
    </row>
    <row r="11" spans="2:15" x14ac:dyDescent="0.25">
      <c r="B11" s="124" t="s">
        <v>11</v>
      </c>
      <c r="C11" s="124" t="s">
        <v>136</v>
      </c>
      <c r="D11" s="125">
        <f>'Existing Rates &amp; Forecast Vols'!F9</f>
        <v>149</v>
      </c>
      <c r="E11" s="126">
        <f>'Existing Rates &amp; Forecast Vols'!G9</f>
        <v>135605948</v>
      </c>
      <c r="F11" s="127">
        <f>'Existing Rates &amp; Forecast Vols'!H9</f>
        <v>379702</v>
      </c>
      <c r="G11" s="128">
        <f>'2013 Area Rate Design'!P14</f>
        <v>137.73333333333335</v>
      </c>
      <c r="H11" s="129"/>
      <c r="I11" s="129">
        <f>'2013 Area Rate Design'!Q14</f>
        <v>7.464981797897928</v>
      </c>
      <c r="J11" s="130">
        <f t="shared" si="0"/>
        <v>3080735.7186254393</v>
      </c>
      <c r="K11" s="153"/>
      <c r="L11" s="156"/>
      <c r="M11" s="156"/>
      <c r="N11" s="157"/>
      <c r="O11" s="157"/>
    </row>
    <row r="12" spans="2:15" x14ac:dyDescent="0.25">
      <c r="B12" s="124" t="s">
        <v>13</v>
      </c>
      <c r="C12" s="124" t="s">
        <v>136</v>
      </c>
      <c r="D12" s="125">
        <f>'Existing Rates &amp; Forecast Vols'!F10</f>
        <v>25</v>
      </c>
      <c r="E12" s="126">
        <f>'Existing Rates &amp; Forecast Vols'!G10</f>
        <v>946114</v>
      </c>
      <c r="F12" s="127"/>
      <c r="G12" s="128">
        <f>'2013 Area Rate Design'!P18</f>
        <v>60.552499999999995</v>
      </c>
      <c r="H12" s="129">
        <f>'2013 Area Rate Design'!Q18</f>
        <v>4.0431200173647576E-2</v>
      </c>
      <c r="I12" s="129"/>
      <c r="J12" s="130">
        <f t="shared" si="0"/>
        <v>56418.274521090396</v>
      </c>
      <c r="K12" s="153"/>
      <c r="L12" s="156"/>
      <c r="M12" s="156"/>
      <c r="N12" s="157"/>
      <c r="O12" s="157"/>
    </row>
    <row r="13" spans="2:15" x14ac:dyDescent="0.25">
      <c r="B13" s="124" t="s">
        <v>14</v>
      </c>
      <c r="C13" s="124" t="s">
        <v>137</v>
      </c>
      <c r="D13" s="125">
        <f>'Existing Rates &amp; Forecast Vols'!F11</f>
        <v>920</v>
      </c>
      <c r="E13" s="126">
        <f>'Existing Rates &amp; Forecast Vols'!G11</f>
        <v>747706</v>
      </c>
      <c r="F13" s="127">
        <f>'Existing Rates &amp; Forecast Vols'!H11</f>
        <v>2294</v>
      </c>
      <c r="G13" s="128">
        <f>'2013 Area Rate Design'!P22</f>
        <v>5</v>
      </c>
      <c r="H13" s="129"/>
      <c r="I13" s="129">
        <f>'2013 Area Rate Design'!Q22</f>
        <v>5.3488949443016285</v>
      </c>
      <c r="J13" s="130">
        <f t="shared" si="0"/>
        <v>67470.365002227933</v>
      </c>
      <c r="K13" s="153"/>
      <c r="L13" s="156"/>
      <c r="M13" s="156"/>
      <c r="N13" s="157"/>
      <c r="O13" s="157"/>
    </row>
    <row r="14" spans="2:15" x14ac:dyDescent="0.25">
      <c r="B14" s="124" t="s">
        <v>15</v>
      </c>
      <c r="C14" s="124" t="s">
        <v>137</v>
      </c>
      <c r="D14" s="125">
        <f>'Existing Rates &amp; Forecast Vols'!F12</f>
        <v>3696</v>
      </c>
      <c r="E14" s="126">
        <f>'Existing Rates &amp; Forecast Vols'!G12</f>
        <v>2687821</v>
      </c>
      <c r="F14" s="127">
        <f>'Existing Rates &amp; Forecast Vols'!H12</f>
        <v>7670</v>
      </c>
      <c r="G14" s="128">
        <f>'2013 Area Rate Design'!P26</f>
        <v>5.53</v>
      </c>
      <c r="H14" s="129"/>
      <c r="I14" s="129">
        <f>'2013 Area Rate Design'!Q26</f>
        <v>10.133806090423276</v>
      </c>
      <c r="J14" s="130">
        <f t="shared" si="0"/>
        <v>322992.85271354654</v>
      </c>
      <c r="K14" s="153"/>
      <c r="L14" s="156"/>
      <c r="M14" s="156"/>
      <c r="N14" s="157"/>
      <c r="O14" s="157"/>
    </row>
    <row r="15" spans="2:15" ht="15.75" thickBot="1" x14ac:dyDescent="0.3">
      <c r="B15" s="134"/>
      <c r="C15" s="134"/>
      <c r="D15" s="135"/>
      <c r="E15" s="126"/>
      <c r="F15" s="127"/>
      <c r="G15" s="128"/>
      <c r="H15" s="129"/>
      <c r="I15" s="129"/>
      <c r="J15" s="136"/>
      <c r="K15" s="153"/>
      <c r="L15" s="156"/>
      <c r="M15" s="156"/>
      <c r="N15" s="157"/>
      <c r="O15" s="157"/>
    </row>
    <row r="16" spans="2:15" ht="15.75" thickTop="1" x14ac:dyDescent="0.25">
      <c r="B16" s="121"/>
      <c r="C16" s="121"/>
      <c r="D16" s="121"/>
      <c r="E16" s="134"/>
      <c r="F16" s="138"/>
      <c r="G16" s="134"/>
      <c r="H16" s="134"/>
      <c r="I16" s="134"/>
      <c r="J16" s="139"/>
      <c r="K16" s="153"/>
      <c r="L16" s="155"/>
      <c r="M16" s="155"/>
      <c r="N16" s="155"/>
      <c r="O16" s="155"/>
    </row>
    <row r="17" spans="2:15" ht="15.75" thickBot="1" x14ac:dyDescent="0.3">
      <c r="B17" s="141" t="s">
        <v>27</v>
      </c>
      <c r="C17" s="142"/>
      <c r="D17" s="143">
        <f>SUM(D9:D14)</f>
        <v>23960</v>
      </c>
      <c r="E17" s="143">
        <f>SUM(E9:E14)</f>
        <v>333009413</v>
      </c>
      <c r="F17" s="143">
        <f>SUM(F9:F14)</f>
        <v>389666</v>
      </c>
      <c r="G17" s="144"/>
      <c r="H17" s="144"/>
      <c r="I17" s="144"/>
      <c r="J17" s="145">
        <f>SUM(J9:J14)</f>
        <v>11995773.410572359</v>
      </c>
      <c r="K17" s="154"/>
      <c r="L17" s="158"/>
      <c r="M17" s="158"/>
      <c r="N17" s="158"/>
      <c r="O17" s="159"/>
    </row>
    <row r="20" spans="2:15" ht="15.75" thickBot="1" x14ac:dyDescent="0.3">
      <c r="B20" s="149" t="s">
        <v>17</v>
      </c>
    </row>
    <row r="21" spans="2:15" ht="15.75" thickBot="1" x14ac:dyDescent="0.3">
      <c r="B21" s="108" t="s">
        <v>125</v>
      </c>
      <c r="C21" s="227" t="s">
        <v>126</v>
      </c>
      <c r="D21" s="109"/>
      <c r="E21" s="229" t="s">
        <v>127</v>
      </c>
      <c r="F21" s="230"/>
      <c r="G21" s="229" t="s">
        <v>128</v>
      </c>
      <c r="H21" s="231"/>
      <c r="I21" s="230"/>
      <c r="J21" s="227" t="s">
        <v>129</v>
      </c>
      <c r="K21" s="150"/>
      <c r="L21" s="232"/>
      <c r="M21" s="232"/>
      <c r="N21" s="232"/>
      <c r="O21" s="232"/>
    </row>
    <row r="22" spans="2:15" ht="39" thickBot="1" x14ac:dyDescent="0.3">
      <c r="B22" s="111"/>
      <c r="C22" s="228"/>
      <c r="D22" s="112" t="s">
        <v>133</v>
      </c>
      <c r="E22" s="113" t="s">
        <v>9</v>
      </c>
      <c r="F22" s="114" t="s">
        <v>12</v>
      </c>
      <c r="G22" s="112" t="s">
        <v>134</v>
      </c>
      <c r="H22" s="229" t="s">
        <v>135</v>
      </c>
      <c r="I22" s="230"/>
      <c r="J22" s="228"/>
      <c r="K22" s="151"/>
      <c r="L22" s="232"/>
      <c r="M22" s="232"/>
      <c r="N22" s="232"/>
      <c r="O22" s="232"/>
    </row>
    <row r="23" spans="2:15" x14ac:dyDescent="0.25">
      <c r="B23" s="116"/>
      <c r="C23" s="116"/>
      <c r="D23" s="116"/>
      <c r="E23" s="116"/>
      <c r="F23" s="117"/>
      <c r="G23" s="116"/>
      <c r="H23" s="118" t="s">
        <v>9</v>
      </c>
      <c r="I23" s="118" t="s">
        <v>12</v>
      </c>
      <c r="J23" s="119"/>
      <c r="K23" s="152"/>
      <c r="L23" s="155"/>
      <c r="M23" s="155"/>
      <c r="N23" s="155"/>
      <c r="O23" s="155"/>
    </row>
    <row r="24" spans="2:15" x14ac:dyDescent="0.25">
      <c r="B24" s="121"/>
      <c r="C24" s="121"/>
      <c r="D24" s="121"/>
      <c r="E24" s="121"/>
      <c r="F24" s="122"/>
      <c r="G24" s="121"/>
      <c r="H24" s="121"/>
      <c r="I24" s="121"/>
      <c r="J24" s="121"/>
      <c r="K24" s="153"/>
      <c r="L24" s="155"/>
      <c r="M24" s="155"/>
      <c r="N24" s="155"/>
      <c r="O24" s="155"/>
    </row>
    <row r="25" spans="2:15" x14ac:dyDescent="0.25">
      <c r="B25" s="124" t="s">
        <v>8</v>
      </c>
      <c r="C25" s="124" t="s">
        <v>136</v>
      </c>
      <c r="D25" s="125">
        <f>'Existing Rates &amp; Forecast Vols'!F21</f>
        <v>8152</v>
      </c>
      <c r="E25" s="126">
        <f>'Existing Rates &amp; Forecast Vols'!G21</f>
        <v>64161933</v>
      </c>
      <c r="F25" s="127"/>
      <c r="G25" s="128">
        <f>'2013 Area Rate Design'!P7</f>
        <v>16.528828910933399</v>
      </c>
      <c r="H25" s="129">
        <f>'2013 Area Rate Design'!Q7</f>
        <v>2.4906960195219575E-2</v>
      </c>
      <c r="I25" s="129"/>
      <c r="J25" s="130">
        <f t="shared" ref="J25:J30" si="1">G25*D25*12+H25*E25+I25*F25</f>
        <v>3214994.8706624941</v>
      </c>
      <c r="K25" s="153"/>
      <c r="L25" s="156"/>
      <c r="M25" s="156"/>
      <c r="N25" s="157"/>
      <c r="O25" s="157"/>
    </row>
    <row r="26" spans="2:15" x14ac:dyDescent="0.25">
      <c r="B26" s="124" t="s">
        <v>10</v>
      </c>
      <c r="C26" s="124" t="s">
        <v>136</v>
      </c>
      <c r="D26" s="125">
        <f>'Existing Rates &amp; Forecast Vols'!F22</f>
        <v>888</v>
      </c>
      <c r="E26" s="126">
        <f>'Existing Rates &amp; Forecast Vols'!G22</f>
        <v>23558821</v>
      </c>
      <c r="F26" s="127"/>
      <c r="G26" s="128">
        <f>'2013 Area Rate Design'!P11</f>
        <v>30.012155064932095</v>
      </c>
      <c r="H26" s="129">
        <f>'2013 Area Rate Design'!Q11</f>
        <v>1.9522717026269461E-2</v>
      </c>
      <c r="I26" s="129"/>
      <c r="J26" s="130">
        <f t="shared" si="1"/>
        <v>779741.72022745095</v>
      </c>
      <c r="K26" s="153"/>
      <c r="L26" s="156"/>
      <c r="M26" s="156"/>
      <c r="N26" s="157"/>
      <c r="O26" s="157"/>
    </row>
    <row r="27" spans="2:15" x14ac:dyDescent="0.25">
      <c r="B27" s="124" t="s">
        <v>11</v>
      </c>
      <c r="C27" s="124" t="s">
        <v>136</v>
      </c>
      <c r="D27" s="125">
        <f>'Existing Rates &amp; Forecast Vols'!F23</f>
        <v>79</v>
      </c>
      <c r="E27" s="126">
        <f>'Existing Rates &amp; Forecast Vols'!G23</f>
        <v>88694743</v>
      </c>
      <c r="F27" s="127">
        <f>'Existing Rates &amp; Forecast Vols'!H23</f>
        <v>311664</v>
      </c>
      <c r="G27" s="128">
        <f>'2013 Area Rate Design'!P15</f>
        <v>420.54666666666662</v>
      </c>
      <c r="H27" s="129"/>
      <c r="I27" s="129">
        <f>'2013 Area Rate Design'!Q15</f>
        <v>4.4951513212131013</v>
      </c>
      <c r="J27" s="130">
        <f t="shared" si="1"/>
        <v>1799655.08137456</v>
      </c>
      <c r="K27" s="153"/>
      <c r="L27" s="156"/>
      <c r="M27" s="156"/>
      <c r="N27" s="157"/>
      <c r="O27" s="157"/>
    </row>
    <row r="28" spans="2:15" x14ac:dyDescent="0.25">
      <c r="B28" s="124" t="s">
        <v>13</v>
      </c>
      <c r="C28" s="124" t="s">
        <v>136</v>
      </c>
      <c r="D28" s="125">
        <f>'Existing Rates &amp; Forecast Vols'!F24</f>
        <v>14</v>
      </c>
      <c r="E28" s="126">
        <f>'Existing Rates &amp; Forecast Vols'!G24</f>
        <v>581815</v>
      </c>
      <c r="F28" s="127"/>
      <c r="G28" s="128">
        <f>'2013 Area Rate Design'!P19</f>
        <v>46.722500000000004</v>
      </c>
      <c r="H28" s="129">
        <f>'2013 Area Rate Design'!Q19</f>
        <v>2.8609152529428781E-2</v>
      </c>
      <c r="I28" s="129"/>
      <c r="J28" s="130">
        <f t="shared" si="1"/>
        <v>24494.614078909606</v>
      </c>
      <c r="K28" s="153"/>
      <c r="L28" s="156"/>
      <c r="M28" s="156"/>
      <c r="N28" s="157"/>
      <c r="O28" s="157"/>
    </row>
    <row r="29" spans="2:15" x14ac:dyDescent="0.25">
      <c r="B29" s="124" t="s">
        <v>14</v>
      </c>
      <c r="C29" s="124" t="s">
        <v>137</v>
      </c>
      <c r="D29" s="125">
        <f>'Existing Rates &amp; Forecast Vols'!F25</f>
        <v>41</v>
      </c>
      <c r="E29" s="126">
        <f>'Existing Rates &amp; Forecast Vols'!G25</f>
        <v>13331</v>
      </c>
      <c r="F29" s="127">
        <f>'Existing Rates &amp; Forecast Vols'!H25</f>
        <v>40</v>
      </c>
      <c r="G29" s="128">
        <f>'2013 Area Rate Design'!P23</f>
        <v>5</v>
      </c>
      <c r="H29" s="129"/>
      <c r="I29" s="129">
        <f>'2013 Area Rate Design'!Q23</f>
        <v>5.3488949443016285</v>
      </c>
      <c r="J29" s="130">
        <f t="shared" si="1"/>
        <v>2673.9557977720651</v>
      </c>
      <c r="K29" s="153"/>
      <c r="L29" s="156"/>
      <c r="M29" s="156"/>
      <c r="N29" s="157"/>
      <c r="O29" s="157"/>
    </row>
    <row r="30" spans="2:15" x14ac:dyDescent="0.25">
      <c r="B30" s="124" t="s">
        <v>15</v>
      </c>
      <c r="C30" s="124" t="s">
        <v>137</v>
      </c>
      <c r="D30" s="125">
        <f>'Existing Rates &amp; Forecast Vols'!F26</f>
        <v>2000</v>
      </c>
      <c r="E30" s="126">
        <f>'Existing Rates &amp; Forecast Vols'!G26</f>
        <v>1787582</v>
      </c>
      <c r="F30" s="127">
        <f>'Existing Rates &amp; Forecast Vols'!H26</f>
        <v>4119</v>
      </c>
      <c r="G30" s="128">
        <f>'2013 Area Rate Design'!P27</f>
        <v>3.61</v>
      </c>
      <c r="H30" s="129"/>
      <c r="I30" s="129">
        <f>'2013 Area Rate Design'!Q27</f>
        <v>10.133806090423276</v>
      </c>
      <c r="J30" s="130">
        <f t="shared" si="1"/>
        <v>128381.14728645347</v>
      </c>
      <c r="K30" s="153"/>
      <c r="L30" s="156"/>
      <c r="M30" s="156"/>
      <c r="N30" s="157"/>
      <c r="O30" s="157"/>
    </row>
    <row r="31" spans="2:15" ht="15.75" thickBot="1" x14ac:dyDescent="0.3">
      <c r="B31" s="134"/>
      <c r="C31" s="134"/>
      <c r="D31" s="135"/>
      <c r="E31" s="126"/>
      <c r="F31" s="127"/>
      <c r="G31" s="128"/>
      <c r="H31" s="129"/>
      <c r="I31" s="129"/>
      <c r="J31" s="136"/>
      <c r="K31" s="153"/>
      <c r="L31" s="156"/>
      <c r="M31" s="156"/>
      <c r="N31" s="157"/>
      <c r="O31" s="157"/>
    </row>
    <row r="32" spans="2:15" ht="15.75" thickTop="1" x14ac:dyDescent="0.25">
      <c r="B32" s="121"/>
      <c r="C32" s="121"/>
      <c r="D32" s="121"/>
      <c r="E32" s="134"/>
      <c r="F32" s="138"/>
      <c r="G32" s="134"/>
      <c r="H32" s="134"/>
      <c r="I32" s="134"/>
      <c r="J32" s="139"/>
      <c r="K32" s="153"/>
      <c r="L32" s="155"/>
      <c r="M32" s="155"/>
      <c r="N32" s="155"/>
      <c r="O32" s="155"/>
    </row>
    <row r="33" spans="2:15" ht="15.75" thickBot="1" x14ac:dyDescent="0.3">
      <c r="B33" s="141" t="s">
        <v>27</v>
      </c>
      <c r="C33" s="142"/>
      <c r="D33" s="143">
        <f>SUM(D25:D30)</f>
        <v>11174</v>
      </c>
      <c r="E33" s="143">
        <f>SUM(E25:E30)</f>
        <v>178798225</v>
      </c>
      <c r="F33" s="143">
        <f>SUM(F25:F30)</f>
        <v>315823</v>
      </c>
      <c r="G33" s="144"/>
      <c r="H33" s="144"/>
      <c r="I33" s="144"/>
      <c r="J33" s="145">
        <f>SUM(J25:J30)</f>
        <v>5949941.3894276395</v>
      </c>
      <c r="K33" s="154"/>
      <c r="L33" s="158"/>
      <c r="M33" s="158"/>
      <c r="N33" s="158"/>
      <c r="O33" s="159"/>
    </row>
    <row r="36" spans="2:15" ht="15.75" thickBot="1" x14ac:dyDescent="0.3">
      <c r="B36" s="149" t="s">
        <v>181</v>
      </c>
    </row>
    <row r="37" spans="2:15" ht="15.75" thickBot="1" x14ac:dyDescent="0.3">
      <c r="B37" s="108" t="s">
        <v>125</v>
      </c>
      <c r="C37" s="227" t="s">
        <v>126</v>
      </c>
      <c r="D37" s="109"/>
      <c r="E37" s="229" t="s">
        <v>127</v>
      </c>
      <c r="F37" s="230"/>
      <c r="G37" s="229" t="s">
        <v>128</v>
      </c>
      <c r="H37" s="231"/>
      <c r="I37" s="230"/>
      <c r="J37" s="227" t="s">
        <v>129</v>
      </c>
      <c r="K37" s="110"/>
      <c r="L37" s="227" t="s">
        <v>130</v>
      </c>
      <c r="M37" s="227" t="s">
        <v>131</v>
      </c>
      <c r="N37" s="227" t="s">
        <v>27</v>
      </c>
      <c r="O37" s="227" t="s">
        <v>132</v>
      </c>
    </row>
    <row r="38" spans="2:15" ht="39" thickBot="1" x14ac:dyDescent="0.3">
      <c r="B38" s="111"/>
      <c r="C38" s="228"/>
      <c r="D38" s="112" t="s">
        <v>133</v>
      </c>
      <c r="E38" s="113" t="s">
        <v>9</v>
      </c>
      <c r="F38" s="114" t="s">
        <v>12</v>
      </c>
      <c r="G38" s="112" t="s">
        <v>134</v>
      </c>
      <c r="H38" s="229" t="s">
        <v>135</v>
      </c>
      <c r="I38" s="230"/>
      <c r="J38" s="228"/>
      <c r="K38" s="115"/>
      <c r="L38" s="228"/>
      <c r="M38" s="228"/>
      <c r="N38" s="228"/>
      <c r="O38" s="228"/>
    </row>
    <row r="39" spans="2:15" x14ac:dyDescent="0.25">
      <c r="B39" s="116"/>
      <c r="C39" s="116"/>
      <c r="D39" s="116"/>
      <c r="E39" s="116"/>
      <c r="F39" s="117"/>
      <c r="G39" s="116"/>
      <c r="H39" s="118" t="s">
        <v>9</v>
      </c>
      <c r="I39" s="118" t="s">
        <v>12</v>
      </c>
      <c r="J39" s="119"/>
      <c r="K39" s="120"/>
      <c r="L39" s="119"/>
      <c r="M39" s="119"/>
      <c r="N39" s="119"/>
      <c r="O39" s="117"/>
    </row>
    <row r="40" spans="2:15" x14ac:dyDescent="0.25">
      <c r="B40" s="121"/>
      <c r="C40" s="121"/>
      <c r="D40" s="121"/>
      <c r="E40" s="121"/>
      <c r="F40" s="122"/>
      <c r="G40" s="121"/>
      <c r="H40" s="121"/>
      <c r="I40" s="121"/>
      <c r="J40" s="121"/>
      <c r="K40" s="123"/>
      <c r="L40" s="121"/>
      <c r="M40" s="121"/>
      <c r="N40" s="121"/>
      <c r="O40" s="122"/>
    </row>
    <row r="41" spans="2:15" x14ac:dyDescent="0.25">
      <c r="B41" s="124" t="s">
        <v>8</v>
      </c>
      <c r="C41" s="124" t="s">
        <v>136</v>
      </c>
      <c r="D41" s="125">
        <f>D9+D25</f>
        <v>25689</v>
      </c>
      <c r="E41" s="125">
        <f>E9+E25</f>
        <v>208287976</v>
      </c>
      <c r="F41" s="125"/>
      <c r="G41" s="128"/>
      <c r="H41" s="129"/>
      <c r="I41" s="129"/>
      <c r="J41" s="125">
        <f>J9+J25</f>
        <v>10016078.7906</v>
      </c>
      <c r="K41" s="123"/>
      <c r="L41" s="125">
        <f>'2013 R|C Ratio Adj.'!H5</f>
        <v>10016078.7906</v>
      </c>
      <c r="M41" s="131"/>
      <c r="N41" s="132">
        <f t="shared" ref="N41:N46" si="2">SUM(L41:M41)</f>
        <v>10016078.7906</v>
      </c>
      <c r="O41" s="133">
        <f t="shared" ref="O41:O46" si="3">N41-J41</f>
        <v>0</v>
      </c>
    </row>
    <row r="42" spans="2:15" x14ac:dyDescent="0.25">
      <c r="B42" s="124" t="s">
        <v>10</v>
      </c>
      <c r="C42" s="124" t="s">
        <v>136</v>
      </c>
      <c r="D42" s="125">
        <f t="shared" ref="D42:E46" si="4">D10+D26</f>
        <v>2521</v>
      </c>
      <c r="E42" s="125">
        <f t="shared" si="4"/>
        <v>72454602</v>
      </c>
      <c r="F42" s="125"/>
      <c r="G42" s="128"/>
      <c r="H42" s="129"/>
      <c r="I42" s="129"/>
      <c r="J42" s="125">
        <f t="shared" ref="J42" si="5">J10+J26</f>
        <v>2446814</v>
      </c>
      <c r="K42" s="123"/>
      <c r="L42" s="125">
        <f>'2013 R|C Ratio Adj.'!H6</f>
        <v>2446814</v>
      </c>
      <c r="M42" s="131"/>
      <c r="N42" s="132">
        <f t="shared" si="2"/>
        <v>2446814</v>
      </c>
      <c r="O42" s="133">
        <f t="shared" si="3"/>
        <v>0</v>
      </c>
    </row>
    <row r="43" spans="2:15" x14ac:dyDescent="0.25">
      <c r="B43" s="124" t="s">
        <v>11</v>
      </c>
      <c r="C43" s="124" t="s">
        <v>136</v>
      </c>
      <c r="D43" s="125">
        <f t="shared" si="4"/>
        <v>228</v>
      </c>
      <c r="E43" s="125">
        <f t="shared" si="4"/>
        <v>224300691</v>
      </c>
      <c r="F43" s="125">
        <f t="shared" ref="F43" si="6">F11+F27</f>
        <v>691366</v>
      </c>
      <c r="G43" s="128"/>
      <c r="H43" s="129"/>
      <c r="I43" s="129"/>
      <c r="J43" s="125">
        <f t="shared" ref="J43" si="7">J11+J27</f>
        <v>4880390.7999999989</v>
      </c>
      <c r="K43" s="123"/>
      <c r="L43" s="125">
        <f>'2013 R|C Ratio Adj.'!H7</f>
        <v>4647757</v>
      </c>
      <c r="M43" s="131">
        <f>'2013 Rate Design'!D14</f>
        <v>232633.8</v>
      </c>
      <c r="N43" s="132">
        <f t="shared" si="2"/>
        <v>4880390.8</v>
      </c>
      <c r="O43" s="133">
        <f t="shared" si="3"/>
        <v>0</v>
      </c>
    </row>
    <row r="44" spans="2:15" x14ac:dyDescent="0.25">
      <c r="B44" s="124" t="s">
        <v>13</v>
      </c>
      <c r="C44" s="124" t="s">
        <v>136</v>
      </c>
      <c r="D44" s="125">
        <f t="shared" si="4"/>
        <v>39</v>
      </c>
      <c r="E44" s="125">
        <f t="shared" si="4"/>
        <v>1527929</v>
      </c>
      <c r="F44" s="125"/>
      <c r="G44" s="128"/>
      <c r="H44" s="129"/>
      <c r="I44" s="129"/>
      <c r="J44" s="125">
        <f t="shared" ref="J44" si="8">J12+J28</f>
        <v>80912.888600000006</v>
      </c>
      <c r="K44" s="123"/>
      <c r="L44" s="125">
        <f>'2013 R|C Ratio Adj.'!H8</f>
        <v>80912.888600000006</v>
      </c>
      <c r="M44" s="131"/>
      <c r="N44" s="132">
        <f t="shared" si="2"/>
        <v>80912.888600000006</v>
      </c>
      <c r="O44" s="133">
        <f t="shared" si="3"/>
        <v>0</v>
      </c>
    </row>
    <row r="45" spans="2:15" x14ac:dyDescent="0.25">
      <c r="B45" s="124" t="s">
        <v>14</v>
      </c>
      <c r="C45" s="124" t="s">
        <v>137</v>
      </c>
      <c r="D45" s="125">
        <f t="shared" si="4"/>
        <v>961</v>
      </c>
      <c r="E45" s="125">
        <f t="shared" si="4"/>
        <v>761037</v>
      </c>
      <c r="F45" s="125">
        <f t="shared" ref="F45" si="9">F13+F29</f>
        <v>2334</v>
      </c>
      <c r="G45" s="128"/>
      <c r="H45" s="129"/>
      <c r="I45" s="129"/>
      <c r="J45" s="125">
        <f t="shared" ref="J45" si="10">J13+J29</f>
        <v>70144.320800000001</v>
      </c>
      <c r="K45" s="123"/>
      <c r="L45" s="125">
        <f>'2013 R|C Ratio Adj.'!H9</f>
        <v>70144.320800000001</v>
      </c>
      <c r="M45" s="131"/>
      <c r="N45" s="132">
        <f t="shared" si="2"/>
        <v>70144.320800000001</v>
      </c>
      <c r="O45" s="133">
        <f t="shared" si="3"/>
        <v>0</v>
      </c>
    </row>
    <row r="46" spans="2:15" x14ac:dyDescent="0.25">
      <c r="B46" s="124" t="s">
        <v>15</v>
      </c>
      <c r="C46" s="124" t="s">
        <v>137</v>
      </c>
      <c r="D46" s="125">
        <f t="shared" si="4"/>
        <v>5696</v>
      </c>
      <c r="E46" s="125">
        <f t="shared" si="4"/>
        <v>4475403</v>
      </c>
      <c r="F46" s="125">
        <f t="shared" ref="F46" si="11">F14+F30</f>
        <v>11789</v>
      </c>
      <c r="G46" s="128"/>
      <c r="H46" s="129"/>
      <c r="I46" s="129"/>
      <c r="J46" s="125">
        <f t="shared" ref="J46" si="12">J14+J30</f>
        <v>451374</v>
      </c>
      <c r="K46" s="123"/>
      <c r="L46" s="125">
        <f>'2013 R|C Ratio Adj.'!H10</f>
        <v>451374</v>
      </c>
      <c r="M46" s="131"/>
      <c r="N46" s="132">
        <f t="shared" si="2"/>
        <v>451374</v>
      </c>
      <c r="O46" s="133">
        <f t="shared" si="3"/>
        <v>0</v>
      </c>
    </row>
    <row r="47" spans="2:15" ht="15.75" thickBot="1" x14ac:dyDescent="0.3">
      <c r="B47" s="134"/>
      <c r="C47" s="134"/>
      <c r="D47" s="135"/>
      <c r="E47" s="126"/>
      <c r="F47" s="127"/>
      <c r="G47" s="128"/>
      <c r="H47" s="129"/>
      <c r="I47" s="129"/>
      <c r="J47" s="136"/>
      <c r="K47" s="123"/>
      <c r="L47" s="131"/>
      <c r="M47" s="131"/>
      <c r="N47" s="137"/>
      <c r="O47" s="137"/>
    </row>
    <row r="48" spans="2:15" ht="15.75" thickTop="1" x14ac:dyDescent="0.25">
      <c r="B48" s="121"/>
      <c r="C48" s="121"/>
      <c r="D48" s="121"/>
      <c r="E48" s="134"/>
      <c r="F48" s="138"/>
      <c r="G48" s="134"/>
      <c r="H48" s="134"/>
      <c r="I48" s="134"/>
      <c r="J48" s="139"/>
      <c r="K48" s="123"/>
      <c r="L48" s="140"/>
      <c r="M48" s="140"/>
      <c r="N48" s="121"/>
      <c r="O48" s="122"/>
    </row>
    <row r="49" spans="2:15" ht="15.75" thickBot="1" x14ac:dyDescent="0.3">
      <c r="B49" s="141" t="s">
        <v>27</v>
      </c>
      <c r="C49" s="142"/>
      <c r="D49" s="143">
        <f>SUM(D41:D46)</f>
        <v>35134</v>
      </c>
      <c r="E49" s="143">
        <f>SUM(E41:E46)</f>
        <v>511807638</v>
      </c>
      <c r="F49" s="143">
        <f>SUM(F41:F46)</f>
        <v>705489</v>
      </c>
      <c r="G49" s="144"/>
      <c r="H49" s="144"/>
      <c r="I49" s="144"/>
      <c r="J49" s="147">
        <f>SUM(J41:J46)</f>
        <v>17945714.799999997</v>
      </c>
      <c r="K49" s="146"/>
      <c r="L49" s="147">
        <f>SUM(L41:L47)</f>
        <v>17713081</v>
      </c>
      <c r="M49" s="147">
        <f>SUM(M41:M47)</f>
        <v>232633.8</v>
      </c>
      <c r="N49" s="147">
        <f>L49+M49</f>
        <v>17945714.800000001</v>
      </c>
      <c r="O49" s="148">
        <f>N49-J49</f>
        <v>0</v>
      </c>
    </row>
  </sheetData>
  <mergeCells count="28">
    <mergeCell ref="O37:O38"/>
    <mergeCell ref="H38:I38"/>
    <mergeCell ref="N21:N22"/>
    <mergeCell ref="O21:O22"/>
    <mergeCell ref="H22:I22"/>
    <mergeCell ref="M37:M38"/>
    <mergeCell ref="N37:N38"/>
    <mergeCell ref="M21:M22"/>
    <mergeCell ref="C37:C38"/>
    <mergeCell ref="E37:F37"/>
    <mergeCell ref="G37:I37"/>
    <mergeCell ref="J37:J38"/>
    <mergeCell ref="L37:L38"/>
    <mergeCell ref="C21:C22"/>
    <mergeCell ref="E21:F21"/>
    <mergeCell ref="G21:I21"/>
    <mergeCell ref="J21:J22"/>
    <mergeCell ref="L21:L22"/>
    <mergeCell ref="B3:O3"/>
    <mergeCell ref="C5:C6"/>
    <mergeCell ref="E5:F5"/>
    <mergeCell ref="G5:I5"/>
    <mergeCell ref="J5:J6"/>
    <mergeCell ref="L5:L6"/>
    <mergeCell ref="M5:M6"/>
    <mergeCell ref="N5:N6"/>
    <mergeCell ref="O5:O6"/>
    <mergeCell ref="H6:I6"/>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4"/>
  <sheetViews>
    <sheetView workbookViewId="0">
      <selection activeCell="H5" sqref="H5:H10"/>
    </sheetView>
  </sheetViews>
  <sheetFormatPr defaultRowHeight="15" x14ac:dyDescent="0.25"/>
  <cols>
    <col min="1" max="1" width="2.7109375" customWidth="1"/>
    <col min="2" max="2" width="21.85546875" customWidth="1"/>
    <col min="3" max="3" width="14.42578125" customWidth="1"/>
    <col min="4" max="5" width="13.5703125" customWidth="1"/>
    <col min="6" max="6" width="13.85546875" bestFit="1" customWidth="1"/>
    <col min="7" max="7" width="11.140625" customWidth="1"/>
    <col min="8" max="8" width="14" bestFit="1" customWidth="1"/>
  </cols>
  <sheetData>
    <row r="1" spans="2:8" ht="15.75" thickBot="1" x14ac:dyDescent="0.3"/>
    <row r="2" spans="2:8" ht="18" x14ac:dyDescent="0.25">
      <c r="B2" s="220" t="s">
        <v>140</v>
      </c>
      <c r="C2" s="221"/>
      <c r="D2" s="221"/>
      <c r="E2" s="221"/>
      <c r="F2" s="221"/>
      <c r="G2" s="221"/>
      <c r="H2" s="222"/>
    </row>
    <row r="3" spans="2:8" x14ac:dyDescent="0.25">
      <c r="B3" s="20"/>
      <c r="C3" s="21"/>
      <c r="D3" s="21"/>
      <c r="E3" s="21"/>
      <c r="F3" s="21"/>
      <c r="G3" s="21"/>
      <c r="H3" s="11"/>
    </row>
    <row r="4" spans="2:8" ht="85.5" x14ac:dyDescent="0.25">
      <c r="B4" s="160" t="s">
        <v>21</v>
      </c>
      <c r="C4" s="32" t="s">
        <v>36</v>
      </c>
      <c r="D4" s="32" t="s">
        <v>39</v>
      </c>
      <c r="E4" s="32" t="s">
        <v>55</v>
      </c>
      <c r="F4" s="32" t="s">
        <v>38</v>
      </c>
      <c r="G4" s="32" t="s">
        <v>51</v>
      </c>
      <c r="H4" s="33" t="s">
        <v>52</v>
      </c>
    </row>
    <row r="5" spans="2:8" x14ac:dyDescent="0.25">
      <c r="B5" s="19" t="s">
        <v>8</v>
      </c>
      <c r="C5" s="34">
        <f>'R|C Ratio'!C$8</f>
        <v>11959720</v>
      </c>
      <c r="D5" s="34">
        <f>'R|C Ratio'!F$8</f>
        <v>887427</v>
      </c>
      <c r="E5" s="34">
        <f>C5-D5</f>
        <v>11072293</v>
      </c>
      <c r="F5" s="34">
        <f>'R|C Ratio'!E$8</f>
        <v>10012615</v>
      </c>
      <c r="G5" s="67">
        <f t="shared" ref="G5:G10" si="0">(H5+D5)/C5</f>
        <v>0.91278162143428099</v>
      </c>
      <c r="H5" s="63">
        <f>H12-(H6+H7+H8+H9+H10)</f>
        <v>10029185.613499999</v>
      </c>
    </row>
    <row r="6" spans="2:8" x14ac:dyDescent="0.25">
      <c r="B6" s="19" t="s">
        <v>10</v>
      </c>
      <c r="C6" s="34">
        <f>'R|C Ratio'!C$9</f>
        <v>2395011</v>
      </c>
      <c r="D6" s="34">
        <f>'R|C Ratio'!F$9</f>
        <v>171803</v>
      </c>
      <c r="E6" s="34">
        <f t="shared" ref="E6:E10" si="1">C6-D6</f>
        <v>2223208</v>
      </c>
      <c r="F6" s="34">
        <f>'R|C Ratio'!E$9</f>
        <v>2446814</v>
      </c>
      <c r="G6" s="62">
        <f t="shared" si="0"/>
        <v>1.0933632455132773</v>
      </c>
      <c r="H6" s="63">
        <v>2446814</v>
      </c>
    </row>
    <row r="7" spans="2:8" x14ac:dyDescent="0.25">
      <c r="B7" s="19" t="s">
        <v>11</v>
      </c>
      <c r="C7" s="34">
        <f>'R|C Ratio'!C$10</f>
        <v>4132293</v>
      </c>
      <c r="D7" s="34">
        <f>'R|C Ratio'!F$10</f>
        <v>297618</v>
      </c>
      <c r="E7" s="34">
        <f t="shared" si="1"/>
        <v>3834675</v>
      </c>
      <c r="F7" s="34">
        <f>'R|C Ratio'!E$10</f>
        <v>4647757</v>
      </c>
      <c r="G7" s="62">
        <f t="shared" si="0"/>
        <v>1.1967629110520479</v>
      </c>
      <c r="H7" s="63">
        <v>4647757</v>
      </c>
    </row>
    <row r="8" spans="2:8" x14ac:dyDescent="0.25">
      <c r="B8" s="19" t="s">
        <v>13</v>
      </c>
      <c r="C8" s="34">
        <f>'R|C Ratio'!C$11</f>
        <v>37273</v>
      </c>
      <c r="D8" s="34">
        <f>'R|C Ratio'!F$11</f>
        <v>3257</v>
      </c>
      <c r="E8" s="34">
        <f t="shared" si="1"/>
        <v>34016</v>
      </c>
      <c r="F8" s="34">
        <f>'R|C Ratio'!E$11</f>
        <v>94061</v>
      </c>
      <c r="G8" s="171">
        <f t="shared" si="0"/>
        <v>1.9040999999999999</v>
      </c>
      <c r="H8" s="63">
        <v>67714.5193</v>
      </c>
    </row>
    <row r="9" spans="2:8" x14ac:dyDescent="0.25">
      <c r="B9" s="19" t="s">
        <v>14</v>
      </c>
      <c r="C9" s="34">
        <f>'R|C Ratio'!C$12</f>
        <v>83224</v>
      </c>
      <c r="D9" s="34">
        <f>'R|C Ratio'!F$12</f>
        <v>5731</v>
      </c>
      <c r="E9" s="34">
        <f t="shared" si="1"/>
        <v>77493</v>
      </c>
      <c r="F9" s="34">
        <f>'R|C Ratio'!E$12</f>
        <v>60460</v>
      </c>
      <c r="G9" s="67">
        <f t="shared" si="0"/>
        <v>0.91279999999999994</v>
      </c>
      <c r="H9" s="63">
        <v>70235.867199999993</v>
      </c>
    </row>
    <row r="10" spans="2:8" x14ac:dyDescent="0.25">
      <c r="B10" s="19" t="s">
        <v>15</v>
      </c>
      <c r="C10" s="34">
        <f>'R|C Ratio'!C$13</f>
        <v>508745</v>
      </c>
      <c r="D10" s="34">
        <f>'R|C Ratio'!F$13</f>
        <v>37349</v>
      </c>
      <c r="E10" s="34">
        <f t="shared" si="1"/>
        <v>471396</v>
      </c>
      <c r="F10" s="34">
        <f>'R|C Ratio'!E$13</f>
        <v>451374</v>
      </c>
      <c r="G10" s="62">
        <f t="shared" si="0"/>
        <v>0.96064433065681232</v>
      </c>
      <c r="H10" s="63">
        <v>451374</v>
      </c>
    </row>
    <row r="11" spans="2:8" x14ac:dyDescent="0.25">
      <c r="B11" s="19"/>
      <c r="C11" s="35"/>
      <c r="D11" s="35"/>
      <c r="E11" s="35"/>
      <c r="F11" s="35"/>
      <c r="G11" s="35"/>
      <c r="H11" s="57"/>
    </row>
    <row r="12" spans="2:8" ht="15.75" thickBot="1" x14ac:dyDescent="0.3">
      <c r="B12" s="22" t="s">
        <v>27</v>
      </c>
      <c r="C12" s="58">
        <f>SUM(C5:C10)</f>
        <v>19116266</v>
      </c>
      <c r="D12" s="58">
        <f>SUM(D5:D10)</f>
        <v>1403185</v>
      </c>
      <c r="E12" s="58">
        <f>SUM(E5:E10)</f>
        <v>17713081</v>
      </c>
      <c r="F12" s="58">
        <f>SUM(F5:F10)</f>
        <v>17713081</v>
      </c>
      <c r="G12" s="23"/>
      <c r="H12" s="64">
        <f>F12</f>
        <v>17713081</v>
      </c>
    </row>
    <row r="14" spans="2:8" x14ac:dyDescent="0.25">
      <c r="B14" s="65" t="s">
        <v>53</v>
      </c>
      <c r="C14" s="161" t="str">
        <f>IF((H5+H6+H7+H8+H9+H10)-F12&lt;1,"YES","NO")</f>
        <v>YES</v>
      </c>
    </row>
  </sheetData>
  <mergeCells count="1">
    <mergeCell ref="B2:H2"/>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28"/>
  <sheetViews>
    <sheetView workbookViewId="0">
      <selection activeCell="D5" sqref="D5"/>
    </sheetView>
  </sheetViews>
  <sheetFormatPr defaultRowHeight="14.25" x14ac:dyDescent="0.2"/>
  <cols>
    <col min="1" max="1" width="2.7109375" style="3" customWidth="1"/>
    <col min="2" max="2" width="21.85546875" style="3" customWidth="1"/>
    <col min="3" max="3" width="14" style="3" bestFit="1" customWidth="1"/>
    <col min="4" max="7" width="14.42578125" style="3" bestFit="1" customWidth="1"/>
    <col min="8" max="16384" width="9.140625" style="3"/>
  </cols>
  <sheetData>
    <row r="1" spans="2:7" ht="15" thickBot="1" x14ac:dyDescent="0.25"/>
    <row r="2" spans="2:7" ht="15" x14ac:dyDescent="0.25">
      <c r="B2" s="196" t="s">
        <v>152</v>
      </c>
      <c r="C2" s="197"/>
      <c r="D2" s="197"/>
      <c r="E2" s="197"/>
      <c r="F2" s="197"/>
      <c r="G2" s="198"/>
    </row>
    <row r="3" spans="2:7" x14ac:dyDescent="0.2">
      <c r="B3" s="20"/>
      <c r="C3" s="21"/>
      <c r="D3" s="21"/>
      <c r="E3" s="21"/>
      <c r="F3" s="21"/>
      <c r="G3" s="11"/>
    </row>
    <row r="4" spans="2:7" ht="57" x14ac:dyDescent="0.2">
      <c r="B4" s="160" t="s">
        <v>21</v>
      </c>
      <c r="C4" s="32" t="s">
        <v>86</v>
      </c>
      <c r="D4" s="32" t="s">
        <v>87</v>
      </c>
      <c r="E4" s="32" t="s">
        <v>88</v>
      </c>
      <c r="F4" s="32" t="s">
        <v>31</v>
      </c>
      <c r="G4" s="33" t="s">
        <v>23</v>
      </c>
    </row>
    <row r="5" spans="2:7" x14ac:dyDescent="0.2">
      <c r="B5" s="19" t="s">
        <v>8</v>
      </c>
      <c r="C5" s="34">
        <f>'2014 R|C Ratio Adj.'!H5</f>
        <v>10029185.613499999</v>
      </c>
      <c r="D5" s="34">
        <f>C5*'Existing F_V Ratios'!F74</f>
        <v>5992170.2805462619</v>
      </c>
      <c r="E5" s="34">
        <f>C5*'Existing F_V Ratios'!G74</f>
        <v>4037015.3329537376</v>
      </c>
      <c r="F5" s="90">
        <f>D5/'Existing Rates &amp; Forecast Vols'!F35/12</f>
        <v>19.438184568447785</v>
      </c>
      <c r="G5" s="91">
        <f>E5/'Existing Rates &amp; Forecast Vols'!G35</f>
        <v>1.9381893330960871E-2</v>
      </c>
    </row>
    <row r="6" spans="2:7" x14ac:dyDescent="0.2">
      <c r="B6" s="19" t="s">
        <v>10</v>
      </c>
      <c r="C6" s="34">
        <f>'2014 R|C Ratio Adj.'!H6</f>
        <v>2446814</v>
      </c>
      <c r="D6" s="34">
        <f>C6*'Existing F_V Ratios'!F75</f>
        <v>828258.02009730285</v>
      </c>
      <c r="E6" s="34">
        <f>C6*'Existing F_V Ratios'!G75</f>
        <v>1618555.979902697</v>
      </c>
      <c r="F6" s="90">
        <f>D6/'Existing Rates &amp; Forecast Vols'!F36/12</f>
        <v>27.378620259728379</v>
      </c>
      <c r="G6" s="91">
        <f>E6/'Existing Rates &amp; Forecast Vols'!G36</f>
        <v>2.2338898223506865E-2</v>
      </c>
    </row>
    <row r="7" spans="2:7" x14ac:dyDescent="0.2">
      <c r="B7" s="19" t="s">
        <v>11</v>
      </c>
      <c r="C7" s="34">
        <f>'2014 R|C Ratio Adj.'!H7</f>
        <v>4647757</v>
      </c>
      <c r="D7" s="34">
        <f>C7*'Existing F_V Ratios'!F76</f>
        <v>859161.41084480553</v>
      </c>
      <c r="E7" s="34">
        <f>C7*'Existing F_V Ratios'!G76</f>
        <v>3788595.5891551943</v>
      </c>
      <c r="F7" s="90">
        <f>D7/'Existing Rates &amp; Forecast Vols'!F37/12</f>
        <v>314.02098349590847</v>
      </c>
      <c r="G7" s="91">
        <f>E7/'Existing Rates &amp; Forecast Vols'!H37</f>
        <v>5.4798696915312499</v>
      </c>
    </row>
    <row r="8" spans="2:7" x14ac:dyDescent="0.2">
      <c r="B8" s="19" t="s">
        <v>13</v>
      </c>
      <c r="C8" s="34">
        <f>'2014 R|C Ratio Adj.'!H8</f>
        <v>67714.5193</v>
      </c>
      <c r="D8" s="34">
        <f>C8*'Existing F_V Ratios'!F77</f>
        <v>23917.520171182616</v>
      </c>
      <c r="E8" s="34">
        <f>C8*'Existing F_V Ratios'!G77</f>
        <v>43796.999128817384</v>
      </c>
      <c r="F8" s="90">
        <f>D8/'Existing Rates &amp; Forecast Vols'!F38/12</f>
        <v>51.105812331586783</v>
      </c>
      <c r="G8" s="91">
        <f>E8/'Existing Rates &amp; Forecast Vols'!G38</f>
        <v>2.8664289459011109E-2</v>
      </c>
    </row>
    <row r="9" spans="2:7" x14ac:dyDescent="0.2">
      <c r="B9" s="19" t="s">
        <v>14</v>
      </c>
      <c r="C9" s="34">
        <f>'2014 R|C Ratio Adj.'!H9</f>
        <v>70235.867199999993</v>
      </c>
      <c r="D9" s="34">
        <f>C9*'Existing F_V Ratios'!F78</f>
        <v>57132.799005450237</v>
      </c>
      <c r="E9" s="34">
        <f>C9*'Existing F_V Ratios'!G78</f>
        <v>13103.06819454976</v>
      </c>
      <c r="F9" s="90">
        <f>D9/'Existing Rates &amp; Forecast Vols'!F39/12</f>
        <v>4.9542836459807695</v>
      </c>
      <c r="G9" s="91">
        <f>E9/'Existing Rates &amp; Forecast Vols'!H39</f>
        <v>5.613996655762536</v>
      </c>
    </row>
    <row r="10" spans="2:7" x14ac:dyDescent="0.2">
      <c r="B10" s="19" t="s">
        <v>15</v>
      </c>
      <c r="C10" s="34">
        <f>'2014 R|C Ratio Adj.'!H10</f>
        <v>451374</v>
      </c>
      <c r="D10" s="34">
        <f>C10*'Existing F_V Ratios'!F79</f>
        <v>328066.94497750018</v>
      </c>
      <c r="E10" s="34">
        <f>C10*'Existing F_V Ratios'!G79</f>
        <v>123307.05502249982</v>
      </c>
      <c r="F10" s="90">
        <f>D10/'Existing Rates &amp; Forecast Vols'!F40/12</f>
        <v>4.7996685536268169</v>
      </c>
      <c r="G10" s="91">
        <f>E10/'Existing Rates &amp; Forecast Vols'!H40</f>
        <v>10.459500807744492</v>
      </c>
    </row>
    <row r="11" spans="2:7" x14ac:dyDescent="0.2">
      <c r="B11" s="20"/>
      <c r="C11" s="21"/>
      <c r="D11" s="21"/>
      <c r="E11" s="21"/>
      <c r="F11" s="21"/>
      <c r="G11" s="11"/>
    </row>
    <row r="12" spans="2:7" ht="15" thickBot="1" x14ac:dyDescent="0.25">
      <c r="B12" s="22" t="s">
        <v>27</v>
      </c>
      <c r="C12" s="58">
        <f>SUM(C5:C10)</f>
        <v>17713080.999999996</v>
      </c>
      <c r="D12" s="58">
        <f>SUM(D5:D10)</f>
        <v>8088706.9756425042</v>
      </c>
      <c r="E12" s="58">
        <f>SUM(E5:E10)</f>
        <v>9624374.0243574958</v>
      </c>
      <c r="F12" s="23"/>
      <c r="G12" s="60"/>
    </row>
    <row r="14" spans="2:7" x14ac:dyDescent="0.2">
      <c r="B14" s="3" t="s">
        <v>89</v>
      </c>
      <c r="D14" s="89">
        <f>'Existing Rates &amp; Forecast Vols'!D42*'Existing Rates &amp; Forecast Vols'!H42</f>
        <v>232633.8</v>
      </c>
      <c r="E14" s="3" t="s">
        <v>90</v>
      </c>
    </row>
    <row r="15" spans="2:7" ht="15" thickBot="1" x14ac:dyDescent="0.25">
      <c r="D15" s="89"/>
    </row>
    <row r="16" spans="2:7" ht="15" x14ac:dyDescent="0.25">
      <c r="B16" s="196" t="s">
        <v>153</v>
      </c>
      <c r="C16" s="197"/>
      <c r="D16" s="197"/>
      <c r="E16" s="197"/>
      <c r="F16" s="197"/>
      <c r="G16" s="198"/>
    </row>
    <row r="17" spans="2:7" x14ac:dyDescent="0.2">
      <c r="B17" s="20"/>
      <c r="C17" s="21"/>
      <c r="D17" s="21"/>
      <c r="E17" s="21"/>
      <c r="F17" s="21"/>
      <c r="G17" s="11"/>
    </row>
    <row r="18" spans="2:7" ht="57" x14ac:dyDescent="0.2">
      <c r="B18" s="160" t="s">
        <v>21</v>
      </c>
      <c r="C18" s="32" t="s">
        <v>92</v>
      </c>
      <c r="D18" s="32" t="s">
        <v>87</v>
      </c>
      <c r="E18" s="32" t="s">
        <v>88</v>
      </c>
      <c r="F18" s="32" t="s">
        <v>31</v>
      </c>
      <c r="G18" s="33" t="s">
        <v>23</v>
      </c>
    </row>
    <row r="19" spans="2:7" x14ac:dyDescent="0.2">
      <c r="B19" s="19" t="s">
        <v>8</v>
      </c>
      <c r="C19" s="34">
        <f>C5</f>
        <v>10029185.613499999</v>
      </c>
      <c r="D19" s="34">
        <f>D5</f>
        <v>5992170.2805462619</v>
      </c>
      <c r="E19" s="34">
        <f>E5</f>
        <v>4037015.3329537376</v>
      </c>
      <c r="F19" s="90">
        <f>D19/'Existing Rates &amp; Forecast Vols'!F35/12</f>
        <v>19.438184568447785</v>
      </c>
      <c r="G19" s="91">
        <f>E19/'Existing Rates &amp; Forecast Vols'!G35</f>
        <v>1.9381893330960871E-2</v>
      </c>
    </row>
    <row r="20" spans="2:7" x14ac:dyDescent="0.2">
      <c r="B20" s="19" t="s">
        <v>10</v>
      </c>
      <c r="C20" s="34">
        <f t="shared" ref="C20:E24" si="0">C6</f>
        <v>2446814</v>
      </c>
      <c r="D20" s="34">
        <f t="shared" si="0"/>
        <v>828258.02009730285</v>
      </c>
      <c r="E20" s="34">
        <f t="shared" si="0"/>
        <v>1618555.979902697</v>
      </c>
      <c r="F20" s="90">
        <f>D20/'Existing Rates &amp; Forecast Vols'!F36/12</f>
        <v>27.378620259728379</v>
      </c>
      <c r="G20" s="91">
        <f>E20/'Existing Rates &amp; Forecast Vols'!G36</f>
        <v>2.2338898223506865E-2</v>
      </c>
    </row>
    <row r="21" spans="2:7" x14ac:dyDescent="0.2">
      <c r="B21" s="19" t="s">
        <v>11</v>
      </c>
      <c r="C21" s="34">
        <f>C7+D14</f>
        <v>4880390.8</v>
      </c>
      <c r="D21" s="34">
        <f t="shared" si="0"/>
        <v>859161.41084480553</v>
      </c>
      <c r="E21" s="34">
        <f>E7+D14</f>
        <v>4021229.3891551942</v>
      </c>
      <c r="F21" s="90">
        <f>D21/'Existing Rates &amp; Forecast Vols'!F37/12</f>
        <v>314.02098349590847</v>
      </c>
      <c r="G21" s="91">
        <f>E21/'Existing Rates &amp; Forecast Vols'!H37</f>
        <v>5.8163539849445796</v>
      </c>
    </row>
    <row r="22" spans="2:7" x14ac:dyDescent="0.2">
      <c r="B22" s="19" t="s">
        <v>13</v>
      </c>
      <c r="C22" s="34">
        <f t="shared" si="0"/>
        <v>67714.5193</v>
      </c>
      <c r="D22" s="34">
        <f t="shared" si="0"/>
        <v>23917.520171182616</v>
      </c>
      <c r="E22" s="34">
        <f t="shared" si="0"/>
        <v>43796.999128817384</v>
      </c>
      <c r="F22" s="90">
        <f>D22/'Existing Rates &amp; Forecast Vols'!F38/12</f>
        <v>51.105812331586783</v>
      </c>
      <c r="G22" s="91">
        <f>E22/'Existing Rates &amp; Forecast Vols'!G38</f>
        <v>2.8664289459011109E-2</v>
      </c>
    </row>
    <row r="23" spans="2:7" x14ac:dyDescent="0.2">
      <c r="B23" s="19" t="s">
        <v>14</v>
      </c>
      <c r="C23" s="34">
        <f t="shared" si="0"/>
        <v>70235.867199999993</v>
      </c>
      <c r="D23" s="34">
        <f t="shared" si="0"/>
        <v>57132.799005450237</v>
      </c>
      <c r="E23" s="34">
        <f t="shared" si="0"/>
        <v>13103.06819454976</v>
      </c>
      <c r="F23" s="90">
        <f>D23/'Existing Rates &amp; Forecast Vols'!F39/12</f>
        <v>4.9542836459807695</v>
      </c>
      <c r="G23" s="91">
        <f>E23/'Existing Rates &amp; Forecast Vols'!H39</f>
        <v>5.613996655762536</v>
      </c>
    </row>
    <row r="24" spans="2:7" x14ac:dyDescent="0.2">
      <c r="B24" s="19" t="s">
        <v>15</v>
      </c>
      <c r="C24" s="34">
        <f t="shared" si="0"/>
        <v>451374</v>
      </c>
      <c r="D24" s="34">
        <f t="shared" si="0"/>
        <v>328066.94497750018</v>
      </c>
      <c r="E24" s="34">
        <f t="shared" si="0"/>
        <v>123307.05502249982</v>
      </c>
      <c r="F24" s="90">
        <f>D24/'Existing Rates &amp; Forecast Vols'!F40/12</f>
        <v>4.7996685536268169</v>
      </c>
      <c r="G24" s="91">
        <f>E24/'Existing Rates &amp; Forecast Vols'!H40</f>
        <v>10.459500807744492</v>
      </c>
    </row>
    <row r="25" spans="2:7" x14ac:dyDescent="0.2">
      <c r="B25" s="20"/>
      <c r="C25" s="21"/>
      <c r="D25" s="21"/>
      <c r="E25" s="21"/>
      <c r="F25" s="21"/>
      <c r="G25" s="11"/>
    </row>
    <row r="26" spans="2:7" ht="15" thickBot="1" x14ac:dyDescent="0.25">
      <c r="B26" s="22" t="s">
        <v>27</v>
      </c>
      <c r="C26" s="58">
        <f>SUM(C19:C24)</f>
        <v>17945714.799999997</v>
      </c>
      <c r="D26" s="58">
        <f>SUM(D19:D24)</f>
        <v>8088706.9756425042</v>
      </c>
      <c r="E26" s="58">
        <f>SUM(E19:E24)</f>
        <v>9857007.8243574966</v>
      </c>
      <c r="F26" s="23"/>
      <c r="G26" s="60"/>
    </row>
    <row r="28" spans="2:7" ht="15" x14ac:dyDescent="0.25">
      <c r="B28" s="65" t="s">
        <v>93</v>
      </c>
      <c r="C28" s="161" t="str">
        <f>IF(C26-(D26+E26)&lt;1,"YES","NO")</f>
        <v>YES</v>
      </c>
    </row>
  </sheetData>
  <mergeCells count="2">
    <mergeCell ref="B2:G2"/>
    <mergeCell ref="B16:G16"/>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Q32"/>
  <sheetViews>
    <sheetView workbookViewId="0">
      <selection activeCell="L29" sqref="L29"/>
    </sheetView>
  </sheetViews>
  <sheetFormatPr defaultRowHeight="14.25" x14ac:dyDescent="0.2"/>
  <cols>
    <col min="1" max="1" width="2.7109375" style="3" customWidth="1"/>
    <col min="2" max="2" width="36.5703125" style="3" bestFit="1" customWidth="1"/>
    <col min="3" max="3" width="1.7109375" style="3" customWidth="1"/>
    <col min="4" max="5" width="9.85546875" style="3" bestFit="1" customWidth="1"/>
    <col min="6" max="6" width="9.85546875" style="3" customWidth="1"/>
    <col min="7" max="7" width="9.85546875" style="3" bestFit="1" customWidth="1"/>
    <col min="8" max="8" width="14.7109375" style="3" customWidth="1"/>
    <col min="9" max="9" width="12.140625" style="3" customWidth="1"/>
    <col min="10" max="10" width="11.5703125" style="3" bestFit="1" customWidth="1"/>
    <col min="11" max="13" width="11.140625" style="3" customWidth="1"/>
    <col min="14" max="14" width="14.5703125" style="3" bestFit="1" customWidth="1"/>
    <col min="15" max="15" width="2.7109375" style="3" customWidth="1"/>
    <col min="16" max="17" width="9.85546875" style="3" bestFit="1" customWidth="1"/>
    <col min="18" max="16384" width="9.140625" style="3"/>
  </cols>
  <sheetData>
    <row r="3" spans="2:17" ht="15" x14ac:dyDescent="0.25">
      <c r="D3" s="224" t="s">
        <v>142</v>
      </c>
      <c r="E3" s="224"/>
      <c r="F3" s="224"/>
      <c r="G3" s="224"/>
      <c r="H3" s="224"/>
      <c r="I3" s="224"/>
      <c r="J3" s="224"/>
      <c r="K3" s="224"/>
      <c r="L3" s="224"/>
      <c r="M3" s="224"/>
      <c r="N3" s="224"/>
      <c r="P3" s="225" t="s">
        <v>145</v>
      </c>
      <c r="Q3" s="225"/>
    </row>
    <row r="4" spans="2:17" ht="57" x14ac:dyDescent="0.2">
      <c r="D4" s="1" t="s">
        <v>119</v>
      </c>
      <c r="E4" s="1" t="s">
        <v>112</v>
      </c>
      <c r="F4" s="1" t="s">
        <v>73</v>
      </c>
      <c r="G4" s="1" t="s">
        <v>144</v>
      </c>
      <c r="H4" s="1" t="s">
        <v>141</v>
      </c>
      <c r="I4" s="1" t="s">
        <v>116</v>
      </c>
      <c r="J4" s="1" t="s">
        <v>117</v>
      </c>
      <c r="K4" s="1" t="s">
        <v>120</v>
      </c>
      <c r="L4" s="1" t="s">
        <v>121</v>
      </c>
      <c r="M4" s="1" t="s">
        <v>147</v>
      </c>
      <c r="N4" s="1" t="s">
        <v>122</v>
      </c>
      <c r="P4" s="167" t="s">
        <v>144</v>
      </c>
      <c r="Q4" s="167" t="s">
        <v>146</v>
      </c>
    </row>
    <row r="5" spans="2:17" ht="15" x14ac:dyDescent="0.25">
      <c r="B5" s="65" t="s">
        <v>21</v>
      </c>
      <c r="P5" s="168"/>
      <c r="Q5" s="168"/>
    </row>
    <row r="6" spans="2:17" x14ac:dyDescent="0.2">
      <c r="B6" s="3" t="s">
        <v>94</v>
      </c>
      <c r="D6" s="96">
        <f>'Existing Rates &amp; Forecast Vols'!D7</f>
        <v>1.52E-2</v>
      </c>
      <c r="E6" s="4">
        <f>'Existing Rates &amp; Forecast Vols'!C7</f>
        <v>18.170000000000002</v>
      </c>
      <c r="F6" s="165">
        <f>'Target MSC Change'!D6</f>
        <v>19.405315643733587</v>
      </c>
      <c r="G6" s="4">
        <f>E6+((F6-E6)/4)+((F6-E6)/4)</f>
        <v>18.787657821866794</v>
      </c>
      <c r="H6" s="93">
        <f>H8*'Existing F_V Ratios'!C89</f>
        <v>6740334.5546642747</v>
      </c>
      <c r="I6" s="93">
        <f>G6*'Existing Rates &amp; Forecast Vols'!F7*12</f>
        <v>3953749.8626649356</v>
      </c>
      <c r="J6" s="94">
        <f>H6-I6</f>
        <v>2786584.691999339</v>
      </c>
      <c r="K6" s="96">
        <f>J6/'Existing Rates &amp; Forecast Vols'!G7</f>
        <v>1.9334359245534404E-2</v>
      </c>
      <c r="L6" s="96">
        <f>K8-K6</f>
        <v>1.6208739651851906E-3</v>
      </c>
      <c r="M6" s="96">
        <f>K6+(0.5*L6)</f>
        <v>2.0144796228126999E-2</v>
      </c>
      <c r="N6" s="101">
        <f>M6*'Existing Rates &amp; Forecast Vols'!G7</f>
        <v>2903389.7674012696</v>
      </c>
      <c r="P6" s="169">
        <f>G6</f>
        <v>18.787657821866794</v>
      </c>
      <c r="Q6" s="170">
        <f>M6</f>
        <v>2.0144796228126999E-2</v>
      </c>
    </row>
    <row r="7" spans="2:17" x14ac:dyDescent="0.2">
      <c r="B7" s="3" t="s">
        <v>95</v>
      </c>
      <c r="D7" s="96">
        <f>'Existing Rates &amp; Forecast Vols'!D21</f>
        <v>2.1999999999999999E-2</v>
      </c>
      <c r="E7" s="4">
        <f>'Existing Rates &amp; Forecast Vols'!C21</f>
        <v>15.57</v>
      </c>
      <c r="F7" s="165">
        <f>'Target MSC Change'!D14</f>
        <v>19.405315643733587</v>
      </c>
      <c r="G7" s="4">
        <f>E7+((F7-E7)/4)+((F7-E7)/4)</f>
        <v>17.487657821866797</v>
      </c>
      <c r="H7" s="94">
        <f>H8-H6</f>
        <v>3288851.0588357244</v>
      </c>
      <c r="I7" s="93">
        <f>G7*'Existing Rates &amp; Forecast Vols'!F21*12</f>
        <v>1710712.6387662976</v>
      </c>
      <c r="J7" s="94">
        <f>H7-I7</f>
        <v>1578138.4200694268</v>
      </c>
      <c r="K7" s="96">
        <f>J7/'Existing Rates &amp; Forecast Vols'!G21</f>
        <v>2.4596179483392853E-2</v>
      </c>
      <c r="L7" s="96">
        <f>K8-K7</f>
        <v>-3.640946272673258E-3</v>
      </c>
      <c r="M7" s="96">
        <f>N7/'Existing Rates &amp; Forecast Vols'!G21</f>
        <v>2.2775706347056224E-2</v>
      </c>
      <c r="N7" s="94">
        <f>N8-N6</f>
        <v>1461333.3446674962</v>
      </c>
      <c r="P7" s="169">
        <f>G7</f>
        <v>17.487657821866797</v>
      </c>
      <c r="Q7" s="170">
        <f>M7</f>
        <v>2.2775706347056224E-2</v>
      </c>
    </row>
    <row r="8" spans="2:17" x14ac:dyDescent="0.2">
      <c r="B8" s="3" t="s">
        <v>105</v>
      </c>
      <c r="F8" s="166"/>
      <c r="G8" s="99">
        <f>I8/'Existing Rates &amp; Forecast Vols'!F35/12</f>
        <v>18.375123274005844</v>
      </c>
      <c r="H8" s="100">
        <f>'2014 Rate Design'!C19</f>
        <v>10029185.613499999</v>
      </c>
      <c r="I8" s="101">
        <f>I6+I7</f>
        <v>5664462.5014312332</v>
      </c>
      <c r="J8" s="101">
        <f>H8-I8</f>
        <v>4364723.1120687658</v>
      </c>
      <c r="K8" s="102">
        <f>J8/'Existing Rates &amp; Forecast Vols'!G35</f>
        <v>2.0955233210719595E-2</v>
      </c>
      <c r="L8" s="104"/>
      <c r="N8" s="94">
        <f>J8</f>
        <v>4364723.1120687658</v>
      </c>
      <c r="P8" s="168"/>
      <c r="Q8" s="168"/>
    </row>
    <row r="9" spans="2:17" x14ac:dyDescent="0.2">
      <c r="F9" s="166"/>
      <c r="G9" s="4"/>
      <c r="H9" s="87"/>
      <c r="L9" s="105"/>
      <c r="P9" s="168"/>
      <c r="Q9" s="168"/>
    </row>
    <row r="10" spans="2:17" x14ac:dyDescent="0.2">
      <c r="B10" s="3" t="s">
        <v>96</v>
      </c>
      <c r="D10" s="96">
        <f>'Existing Rates &amp; Forecast Vols'!D8</f>
        <v>2.2599999999999999E-2</v>
      </c>
      <c r="E10" s="4">
        <f>'Existing Rates &amp; Forecast Vols'!C8</f>
        <v>20.98</v>
      </c>
      <c r="F10" s="165">
        <f>'Target MSC Change'!D7</f>
        <v>27.378620259728379</v>
      </c>
      <c r="G10" s="4">
        <f>E10+((F10-E10)/4)+((F10-E10)/4)</f>
        <v>24.179310129864188</v>
      </c>
      <c r="H10" s="93">
        <f>H12*'Existing F_V Ratios'!C90</f>
        <v>1696338.5150742384</v>
      </c>
      <c r="I10" s="93">
        <f>G10*'Existing Rates &amp; Forecast Vols'!F8*12</f>
        <v>473817.76130481862</v>
      </c>
      <c r="J10" s="94">
        <f>H10-I10</f>
        <v>1222520.7537694199</v>
      </c>
      <c r="K10" s="96">
        <f>J10/'Existing Rates &amp; Forecast Vols'!G8</f>
        <v>2.5002581588162379E-2</v>
      </c>
      <c r="L10" s="96">
        <f>K12-K10</f>
        <v>-2.0566128841820776E-3</v>
      </c>
      <c r="M10" s="96">
        <f>N10/'Existing Rates &amp; Forecast Vols'!G8</f>
        <v>2.3974275146071342E-2</v>
      </c>
      <c r="N10" s="107">
        <f>N12-N11</f>
        <v>1172240.9071760473</v>
      </c>
      <c r="P10" s="169">
        <f>G10</f>
        <v>24.179310129864188</v>
      </c>
      <c r="Q10" s="170">
        <f>M10</f>
        <v>2.3974275146071342E-2</v>
      </c>
    </row>
    <row r="11" spans="2:17" x14ac:dyDescent="0.2">
      <c r="B11" s="3" t="s">
        <v>97</v>
      </c>
      <c r="D11" s="96">
        <f>'Existing Rates &amp; Forecast Vols'!D22</f>
        <v>1.4500000000000001E-2</v>
      </c>
      <c r="E11" s="4">
        <f>'Existing Rates &amp; Forecast Vols'!C22</f>
        <v>30.89</v>
      </c>
      <c r="F11" s="165">
        <f>'Target MSC Change'!D15</f>
        <v>27.378620259728379</v>
      </c>
      <c r="G11" s="4">
        <f>E11+((F11-E11)/4)+((F11-E11)/4)</f>
        <v>29.13431012986419</v>
      </c>
      <c r="H11" s="94">
        <f>H12-H10</f>
        <v>750475.48492576159</v>
      </c>
      <c r="I11" s="93">
        <f>G11*'Existing Rates &amp; Forecast Vols'!F22*12</f>
        <v>310455.20874383277</v>
      </c>
      <c r="J11" s="94">
        <f>H11-I11</f>
        <v>440020.27618192881</v>
      </c>
      <c r="K11" s="96">
        <f>J11/'Existing Rates &amp; Forecast Vols'!G22</f>
        <v>1.8677516849503157E-2</v>
      </c>
      <c r="L11" s="96">
        <f>K12-K11</f>
        <v>4.2684518544771448E-3</v>
      </c>
      <c r="M11" s="96">
        <f>K11+(0.5*L11)</f>
        <v>2.0811742776741728E-2</v>
      </c>
      <c r="N11" s="101">
        <f>M11*'Existing Rates &amp; Forecast Vols'!G22</f>
        <v>490300.12277530134</v>
      </c>
      <c r="P11" s="169">
        <f>G11</f>
        <v>29.13431012986419</v>
      </c>
      <c r="Q11" s="170">
        <f>M11</f>
        <v>2.0811742776741728E-2</v>
      </c>
    </row>
    <row r="12" spans="2:17" x14ac:dyDescent="0.2">
      <c r="B12" s="3" t="s">
        <v>106</v>
      </c>
      <c r="F12" s="166"/>
      <c r="G12" s="99">
        <f>I12/'Existing Rates &amp; Forecast Vols'!F36/12</f>
        <v>25.924665147714247</v>
      </c>
      <c r="H12" s="100">
        <f>'2014 Rate Design'!C20</f>
        <v>2446814</v>
      </c>
      <c r="I12" s="101">
        <f>I10+I11</f>
        <v>784272.97004865133</v>
      </c>
      <c r="J12" s="101">
        <f>H12-I12</f>
        <v>1662541.0299513487</v>
      </c>
      <c r="K12" s="102">
        <f>J12/'Existing Rates &amp; Forecast Vols'!G36</f>
        <v>2.2945968703980302E-2</v>
      </c>
      <c r="L12" s="104"/>
      <c r="N12" s="94">
        <f>J12</f>
        <v>1662541.0299513487</v>
      </c>
      <c r="P12" s="168"/>
      <c r="Q12" s="168"/>
    </row>
    <row r="13" spans="2:17" x14ac:dyDescent="0.2">
      <c r="F13" s="166"/>
      <c r="G13" s="4"/>
      <c r="L13" s="105"/>
      <c r="P13" s="168"/>
      <c r="Q13" s="168"/>
    </row>
    <row r="14" spans="2:17" x14ac:dyDescent="0.2">
      <c r="B14" s="3" t="s">
        <v>98</v>
      </c>
      <c r="D14" s="3">
        <f>'Existing Rates &amp; Forecast Vols'!D9</f>
        <v>7.2561</v>
      </c>
      <c r="E14" s="4">
        <f>'Existing Rates &amp; Forecast Vols'!C9</f>
        <v>133.68</v>
      </c>
      <c r="F14" s="165">
        <f>'Target MSC Change'!D8</f>
        <v>145.84</v>
      </c>
      <c r="G14" s="4">
        <f>E14+((F14-E14)/3)+((F14-E14)/3)</f>
        <v>141.78666666666669</v>
      </c>
      <c r="H14" s="93">
        <f>H16*'Existing F_V Ratios'!C91</f>
        <v>3331111.4920349168</v>
      </c>
      <c r="I14" s="94">
        <f>G14*'Existing Rates &amp; Forecast Vols'!F9*12</f>
        <v>253514.56000000006</v>
      </c>
      <c r="J14" s="94">
        <f>H14-I14</f>
        <v>3077596.9320349167</v>
      </c>
      <c r="K14" s="96">
        <f>J14/'Existing Rates &amp; Forecast Vols'!H9</f>
        <v>8.1052955529202286</v>
      </c>
      <c r="L14" s="96">
        <f>K16-K14</f>
        <v>-1.8012410289777732</v>
      </c>
      <c r="M14" s="96">
        <f>N14/'Existing Rates &amp; Forecast Vols'!H9</f>
        <v>6.8984640635051209</v>
      </c>
      <c r="N14" s="94">
        <f>N16-N15</f>
        <v>2619360.6018410213</v>
      </c>
      <c r="P14" s="169">
        <f>G14</f>
        <v>141.78666666666669</v>
      </c>
      <c r="Q14" s="170">
        <f>M14</f>
        <v>6.8984640635051209</v>
      </c>
    </row>
    <row r="15" spans="2:17" x14ac:dyDescent="0.2">
      <c r="B15" s="3" t="s">
        <v>108</v>
      </c>
      <c r="D15" s="3">
        <f>'Existing Rates &amp; Forecast Vols'!D23</f>
        <v>2.7711999999999999</v>
      </c>
      <c r="E15" s="4">
        <f>'Existing Rates &amp; Forecast Vols'!C23</f>
        <v>557.9</v>
      </c>
      <c r="F15" s="165">
        <f>'Target MSC Change'!D16</f>
        <v>145.84</v>
      </c>
      <c r="G15" s="4">
        <f>E15+((F15-E15)/3)+((F15-E15)/3)</f>
        <v>283.19333333333327</v>
      </c>
      <c r="H15" s="94">
        <f>H16-H14</f>
        <v>1549279.307965083</v>
      </c>
      <c r="I15" s="94">
        <f>G15*'Existing Rates &amp; Forecast Vols'!F23*12</f>
        <v>268467.27999999991</v>
      </c>
      <c r="J15" s="94">
        <f>H15-I15</f>
        <v>1280812.0279650833</v>
      </c>
      <c r="K15" s="96">
        <f>J15/'Existing Rates &amp; Forecast Vols'!H23</f>
        <v>4.1095924712674012</v>
      </c>
      <c r="L15" s="96">
        <f>K16-K15</f>
        <v>2.1944620526750542</v>
      </c>
      <c r="M15" s="96">
        <f>K15+(0.67*L15)</f>
        <v>5.5798820465596872</v>
      </c>
      <c r="N15" s="101">
        <f>M15*'Existing Rates &amp; Forecast Vols'!H23</f>
        <v>1739048.3581589784</v>
      </c>
      <c r="P15" s="169">
        <f>G15</f>
        <v>283.19333333333327</v>
      </c>
      <c r="Q15" s="170">
        <f>M15</f>
        <v>5.5798820465596872</v>
      </c>
    </row>
    <row r="16" spans="2:17" x14ac:dyDescent="0.2">
      <c r="B16" s="3" t="s">
        <v>107</v>
      </c>
      <c r="F16" s="166"/>
      <c r="G16" s="99">
        <f>I16/'Existing Rates &amp; Forecast Vols'!F37/12</f>
        <v>190.78283625730992</v>
      </c>
      <c r="H16" s="100">
        <f>'2014 Rate Design'!C21</f>
        <v>4880390.8</v>
      </c>
      <c r="I16" s="101">
        <f>I14+I15</f>
        <v>521981.83999999997</v>
      </c>
      <c r="J16" s="101">
        <f>H16-I16</f>
        <v>4358408.96</v>
      </c>
      <c r="K16" s="102">
        <f>J16/'Existing Rates &amp; Forecast Vols'!H37</f>
        <v>6.3040545239424555</v>
      </c>
      <c r="L16" s="104"/>
      <c r="N16" s="94">
        <f>J16</f>
        <v>4358408.96</v>
      </c>
      <c r="P16" s="168"/>
      <c r="Q16" s="168"/>
    </row>
    <row r="17" spans="2:17" x14ac:dyDescent="0.2">
      <c r="F17" s="166"/>
      <c r="G17" s="4"/>
      <c r="L17" s="105"/>
      <c r="P17" s="168"/>
      <c r="Q17" s="168"/>
    </row>
    <row r="18" spans="2:17" x14ac:dyDescent="0.2">
      <c r="B18" s="3" t="s">
        <v>99</v>
      </c>
      <c r="D18" s="96">
        <f>'Existing Rates &amp; Forecast Vols'!D10</f>
        <v>4.1300000000000003E-2</v>
      </c>
      <c r="E18" s="4">
        <f>'Existing Rates &amp; Forecast Vols'!C10</f>
        <v>70.069999999999993</v>
      </c>
      <c r="F18" s="165">
        <v>32</v>
      </c>
      <c r="G18" s="4">
        <f>E18+((F18-E18)/4)+((F18-E18)/4)</f>
        <v>51.034999999999997</v>
      </c>
      <c r="H18" s="93">
        <f>H20*'Existing F_V Ratios'!C92</f>
        <v>48403.545180609508</v>
      </c>
      <c r="I18" s="93">
        <f>G18*'Existing Rates &amp; Forecast Vols'!F10*12</f>
        <v>15310.5</v>
      </c>
      <c r="J18" s="94">
        <f>H18-I18</f>
        <v>33093.045180609508</v>
      </c>
      <c r="K18" s="96">
        <f>J18/'Existing Rates &amp; Forecast Vols'!G10</f>
        <v>3.4977862266713636E-2</v>
      </c>
      <c r="L18" s="96">
        <f>K20-K18</f>
        <v>-5.2781188231373968E-3</v>
      </c>
      <c r="M18" s="96">
        <f>N18/'Existing Rates &amp; Forecast Vols'!G10</f>
        <v>3.2338802855144941E-2</v>
      </c>
      <c r="N18" s="94">
        <f>N20-N19</f>
        <v>30596.194124492602</v>
      </c>
      <c r="P18" s="169">
        <f>G18</f>
        <v>51.034999999999997</v>
      </c>
      <c r="Q18" s="170">
        <f>M18</f>
        <v>3.2338802855144941E-2</v>
      </c>
    </row>
    <row r="19" spans="2:17" x14ac:dyDescent="0.2">
      <c r="B19" s="3" t="s">
        <v>102</v>
      </c>
      <c r="D19" s="96">
        <f>'Existing Rates &amp; Forecast Vols'!D24</f>
        <v>2.63E-2</v>
      </c>
      <c r="E19" s="4">
        <f>'Existing Rates &amp; Forecast Vols'!C24</f>
        <v>51.63</v>
      </c>
      <c r="F19" s="165">
        <v>32</v>
      </c>
      <c r="G19" s="4">
        <f>E19+((F19-E19)/4)+((F19-E19)/4)</f>
        <v>41.815000000000005</v>
      </c>
      <c r="H19" s="94">
        <f>H20-H18</f>
        <v>19310.974119390492</v>
      </c>
      <c r="I19" s="93">
        <f>G19*'Existing Rates &amp; Forecast Vols'!F24*12</f>
        <v>7024.920000000001</v>
      </c>
      <c r="J19" s="94">
        <f>H19-I19</f>
        <v>12286.05411939049</v>
      </c>
      <c r="K19" s="96">
        <f>J19/'Existing Rates &amp; Forecast Vols'!G24</f>
        <v>2.1116771000043812E-2</v>
      </c>
      <c r="L19" s="96">
        <f>K20-K19</f>
        <v>8.5829724435324273E-3</v>
      </c>
      <c r="M19" s="96">
        <f>K19+(0.5*L19)</f>
        <v>2.5408257221810025E-2</v>
      </c>
      <c r="N19" s="101">
        <f>M19*'Existing Rates &amp; Forecast Vols'!G24</f>
        <v>14782.9051755074</v>
      </c>
      <c r="P19" s="169">
        <f>G19</f>
        <v>41.815000000000005</v>
      </c>
      <c r="Q19" s="170">
        <f>M19</f>
        <v>2.5408257221810025E-2</v>
      </c>
    </row>
    <row r="20" spans="2:17" x14ac:dyDescent="0.2">
      <c r="B20" s="3" t="s">
        <v>109</v>
      </c>
      <c r="F20" s="166"/>
      <c r="G20" s="99">
        <f>I20/'Existing Rates &amp; Forecast Vols'!F38/12</f>
        <v>47.725256410256414</v>
      </c>
      <c r="H20" s="100">
        <f>'2014 Rate Design'!C22</f>
        <v>67714.5193</v>
      </c>
      <c r="I20" s="101">
        <f>I18+I19</f>
        <v>22335.420000000002</v>
      </c>
      <c r="J20" s="101">
        <f>H20-I20</f>
        <v>45379.099300000002</v>
      </c>
      <c r="K20" s="102">
        <f>J20/'Existing Rates &amp; Forecast Vols'!G38</f>
        <v>2.9699743443576239E-2</v>
      </c>
      <c r="L20" s="104"/>
      <c r="N20" s="94">
        <f>J20</f>
        <v>45379.099300000002</v>
      </c>
      <c r="P20" s="168"/>
      <c r="Q20" s="168"/>
    </row>
    <row r="21" spans="2:17" x14ac:dyDescent="0.2">
      <c r="F21" s="166"/>
      <c r="G21" s="4"/>
      <c r="L21" s="105"/>
      <c r="P21" s="168"/>
      <c r="Q21" s="168"/>
    </row>
    <row r="22" spans="2:17" x14ac:dyDescent="0.2">
      <c r="B22" s="3" t="s">
        <v>100</v>
      </c>
      <c r="D22" s="96">
        <f>'Existing Rates &amp; Forecast Vols'!D11</f>
        <v>4.2721999999999998</v>
      </c>
      <c r="E22" s="4">
        <f>'Existing Rates &amp; Forecast Vols'!C11</f>
        <v>3.79</v>
      </c>
      <c r="F22" s="165">
        <f>'Target MSC Change'!D10</f>
        <v>4.9460650328130766</v>
      </c>
      <c r="G22" s="4">
        <v>5.0199999999999996</v>
      </c>
      <c r="H22" s="93">
        <f>H24*'Existing F_V Ratios'!C93</f>
        <v>67121.05269212948</v>
      </c>
      <c r="I22" s="94">
        <f>G22*'Existing Rates &amp; Forecast Vols'!F11*12</f>
        <v>55420.799999999996</v>
      </c>
      <c r="J22" s="94">
        <f>H22-I22</f>
        <v>11700.252692129485</v>
      </c>
      <c r="K22" s="95">
        <f>J22/'Existing Rates &amp; Forecast Vols'!H11</f>
        <v>5.1003717053746662</v>
      </c>
      <c r="L22" s="96">
        <f>K24-K22</f>
        <v>0.18892872307434594</v>
      </c>
      <c r="M22" s="173">
        <f>K24</f>
        <v>5.2893004284490122</v>
      </c>
      <c r="N22" s="101">
        <f>M22*'Existing Rates &amp; Forecast Vols'!H11</f>
        <v>12133.655182862034</v>
      </c>
      <c r="P22" s="169">
        <f>G22</f>
        <v>5.0199999999999996</v>
      </c>
      <c r="Q22" s="170">
        <f>M22</f>
        <v>5.2893004284490122</v>
      </c>
    </row>
    <row r="23" spans="2:17" x14ac:dyDescent="0.2">
      <c r="B23" s="3" t="s">
        <v>103</v>
      </c>
      <c r="D23" s="96">
        <f>'Existing Rates &amp; Forecast Vols'!D25</f>
        <v>7.0224000000000002</v>
      </c>
      <c r="E23" s="4">
        <f>'Existing Rates &amp; Forecast Vols'!C25</f>
        <v>4.3</v>
      </c>
      <c r="F23" s="165">
        <f>'Target MSC Change'!D18</f>
        <v>4.9460650328130766</v>
      </c>
      <c r="G23" s="4">
        <v>5.0199999999999996</v>
      </c>
      <c r="H23" s="94">
        <f>H24-H22</f>
        <v>3114.8145078705129</v>
      </c>
      <c r="I23" s="94">
        <f>G23*'Existing Rates &amp; Forecast Vols'!F25*12</f>
        <v>2469.84</v>
      </c>
      <c r="J23" s="94">
        <f>H23-I23</f>
        <v>644.97450787051275</v>
      </c>
      <c r="K23" s="95">
        <f>J23/'Existing Rates &amp; Forecast Vols'!H25</f>
        <v>16.12436269676282</v>
      </c>
      <c r="L23" s="96">
        <f>K24-K23</f>
        <v>-10.835062268313807</v>
      </c>
      <c r="M23" s="173">
        <f>N23/'Existing Rates &amp; Forecast Vols'!H25</f>
        <v>5.2893004284489962</v>
      </c>
      <c r="N23" s="94">
        <f>N24-N22</f>
        <v>211.57201713795985</v>
      </c>
      <c r="P23" s="169">
        <f>G23</f>
        <v>5.0199999999999996</v>
      </c>
      <c r="Q23" s="170">
        <f>M23</f>
        <v>5.2893004284489962</v>
      </c>
    </row>
    <row r="24" spans="2:17" x14ac:dyDescent="0.2">
      <c r="B24" s="3" t="s">
        <v>110</v>
      </c>
      <c r="F24" s="166"/>
      <c r="G24" s="99">
        <f>I24/'Existing Rates &amp; Forecast Vols'!F39/12</f>
        <v>5.0200000000000005</v>
      </c>
      <c r="H24" s="100">
        <f>'2014 Rate Design'!C23</f>
        <v>70235.867199999993</v>
      </c>
      <c r="I24" s="101">
        <f>I22+I23</f>
        <v>57890.64</v>
      </c>
      <c r="J24" s="101">
        <f>H24-I24</f>
        <v>12345.227199999994</v>
      </c>
      <c r="K24" s="102">
        <f>J24/'Existing Rates &amp; Forecast Vols'!H39</f>
        <v>5.2893004284490122</v>
      </c>
      <c r="L24" s="106"/>
      <c r="N24" s="94">
        <f>J24</f>
        <v>12345.227199999994</v>
      </c>
      <c r="P24" s="168"/>
      <c r="Q24" s="168"/>
    </row>
    <row r="25" spans="2:17" x14ac:dyDescent="0.2">
      <c r="F25" s="166"/>
      <c r="G25" s="4"/>
      <c r="I25" s="94"/>
      <c r="L25" s="105"/>
      <c r="P25" s="168"/>
      <c r="Q25" s="168"/>
    </row>
    <row r="26" spans="2:17" x14ac:dyDescent="0.2">
      <c r="B26" s="3" t="s">
        <v>101</v>
      </c>
      <c r="D26" s="104">
        <f>'Existing Rates &amp; Forecast Vols'!D12</f>
        <v>9.6593999999999998</v>
      </c>
      <c r="E26" s="163">
        <f>'Existing Rates &amp; Forecast Vols'!C12</f>
        <v>4.95</v>
      </c>
      <c r="F26" s="165">
        <f>'Target MSC Change'!D11</f>
        <v>4.7996685536268169</v>
      </c>
      <c r="G26" s="175">
        <f>'2013 Area Rate Design'!G26-('2013 Area Rate Design'!G26-'2014 Area Rate Design'!F26)*0.33</f>
        <v>5.2889906226968497</v>
      </c>
      <c r="H26" s="164">
        <f>H28*'Existing F_V Ratios'!C94</f>
        <v>310468.01913668768</v>
      </c>
      <c r="I26" s="107">
        <f>G26*'Existing Rates &amp; Forecast Vols'!F12*12</f>
        <v>234577.31209785069</v>
      </c>
      <c r="J26" s="107">
        <f>H26-I26</f>
        <v>75890.70703883699</v>
      </c>
      <c r="K26" s="106">
        <f>J26/'Existing Rates &amp; Forecast Vols'!H12</f>
        <v>9.8944859242290732</v>
      </c>
      <c r="L26" s="104">
        <f>K28-K26</f>
        <v>0.34679942291020183</v>
      </c>
      <c r="M26" s="104">
        <f>N26/'Existing Rates &amp; Forecast Vols'!H12</f>
        <v>10.241285347139275</v>
      </c>
      <c r="N26" s="107">
        <f>N28-N27</f>
        <v>78550.65861255824</v>
      </c>
      <c r="P26" s="169">
        <f>G26</f>
        <v>5.2889906226968497</v>
      </c>
      <c r="Q26" s="170">
        <f>M26</f>
        <v>10.241285347139275</v>
      </c>
    </row>
    <row r="27" spans="2:17" x14ac:dyDescent="0.2">
      <c r="B27" s="3" t="s">
        <v>104</v>
      </c>
      <c r="D27" s="104">
        <f>'Existing Rates &amp; Forecast Vols'!D26</f>
        <v>8.7698</v>
      </c>
      <c r="E27" s="163">
        <f>'Existing Rates &amp; Forecast Vols'!C26</f>
        <v>3.07</v>
      </c>
      <c r="F27" s="165">
        <f>'Target MSC Change'!D19</f>
        <v>4.7996685536268169</v>
      </c>
      <c r="G27" s="175">
        <f>'2013 Area Rate Design'!G27+('2014 Area Rate Design'!F27-'2013 Area Rate Design'!G27)*0.33</f>
        <v>4.0025906226968493</v>
      </c>
      <c r="H27" s="107">
        <f>H28-H26</f>
        <v>140905.98086331232</v>
      </c>
      <c r="I27" s="107">
        <f>G27*'Existing Rates &amp; Forecast Vols'!F26*12</f>
        <v>96062.174944724378</v>
      </c>
      <c r="J27" s="107">
        <f>H27-I27</f>
        <v>44843.805918587939</v>
      </c>
      <c r="K27" s="106">
        <f>J27/'Existing Rates &amp; Forecast Vols'!H26</f>
        <v>10.887061402910401</v>
      </c>
      <c r="L27" s="104">
        <f>K28-K27</f>
        <v>-0.64577605577112607</v>
      </c>
      <c r="M27" s="104">
        <f>K28</f>
        <v>10.241285347139275</v>
      </c>
      <c r="N27" s="101">
        <f>M27*'Existing Rates &amp; Forecast Vols'!H26</f>
        <v>42183.854344866675</v>
      </c>
      <c r="P27" s="169">
        <f>G27</f>
        <v>4.0025906226968493</v>
      </c>
      <c r="Q27" s="170">
        <f>M27</f>
        <v>10.241285347139275</v>
      </c>
    </row>
    <row r="28" spans="2:17" x14ac:dyDescent="0.2">
      <c r="B28" s="3" t="s">
        <v>111</v>
      </c>
      <c r="G28" s="103">
        <f>I28/'Existing Rates &amp; Forecast Vols'!F40/12</f>
        <v>4.8373052294384227</v>
      </c>
      <c r="H28" s="100">
        <f>'2014 Rate Design'!C24</f>
        <v>451374</v>
      </c>
      <c r="I28" s="101">
        <f>I26+I27</f>
        <v>330639.48704257509</v>
      </c>
      <c r="J28" s="101">
        <f>H28-I28</f>
        <v>120734.51295742491</v>
      </c>
      <c r="K28" s="102">
        <f>J28/'Existing Rates &amp; Forecast Vols'!H40</f>
        <v>10.241285347139275</v>
      </c>
      <c r="L28" s="106"/>
      <c r="N28" s="94">
        <f>J28</f>
        <v>120734.51295742491</v>
      </c>
    </row>
    <row r="30" spans="2:17" x14ac:dyDescent="0.2">
      <c r="B30" s="3" t="s">
        <v>178</v>
      </c>
      <c r="H30" s="94">
        <f>H8+H12+H16+H20+H24+H28</f>
        <v>17945714.799999997</v>
      </c>
    </row>
    <row r="32" spans="2:17" ht="15" x14ac:dyDescent="0.25">
      <c r="F32" s="223" t="s">
        <v>53</v>
      </c>
      <c r="G32" s="223"/>
      <c r="H32" s="161" t="str">
        <f>IF('2013 Rate Design'!C26-'2014 Area Rate Design'!H30&lt;1,"YES","NO")</f>
        <v>YES</v>
      </c>
    </row>
  </sheetData>
  <mergeCells count="3">
    <mergeCell ref="D3:N3"/>
    <mergeCell ref="P3:Q3"/>
    <mergeCell ref="F32:G32"/>
  </mergeCells>
  <pageMargins left="0.25" right="0.25" top="0.75" bottom="0.75" header="0.3" footer="0.3"/>
  <pageSetup scale="7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O49"/>
  <sheetViews>
    <sheetView topLeftCell="A19" workbookViewId="0">
      <selection activeCell="C51" sqref="C51"/>
    </sheetView>
  </sheetViews>
  <sheetFormatPr defaultRowHeight="15" x14ac:dyDescent="0.25"/>
  <cols>
    <col min="2" max="2" width="19.5703125" customWidth="1"/>
    <col min="3" max="3" width="12.7109375" customWidth="1"/>
    <col min="4" max="4" width="10.140625" customWidth="1"/>
    <col min="5" max="5" width="13.85546875" bestFit="1" customWidth="1"/>
    <col min="6" max="6" width="9.85546875" customWidth="1"/>
    <col min="7" max="7" width="10.140625" customWidth="1"/>
    <col min="8" max="8" width="9.7109375" customWidth="1"/>
    <col min="9" max="9" width="10" customWidth="1"/>
    <col min="10" max="10" width="15.85546875" customWidth="1"/>
    <col min="11" max="11" width="0.85546875" customWidth="1"/>
    <col min="12" max="12" width="13.5703125" customWidth="1"/>
    <col min="13" max="13" width="12.28515625" customWidth="1"/>
    <col min="14" max="14" width="12.28515625" bestFit="1" customWidth="1"/>
    <col min="15" max="15" width="10.28515625" bestFit="1" customWidth="1"/>
  </cols>
  <sheetData>
    <row r="3" spans="2:15" ht="18" x14ac:dyDescent="0.25">
      <c r="B3" s="226" t="s">
        <v>138</v>
      </c>
      <c r="C3" s="226"/>
      <c r="D3" s="226"/>
      <c r="E3" s="226"/>
      <c r="F3" s="226"/>
      <c r="G3" s="226"/>
      <c r="H3" s="226"/>
      <c r="I3" s="226"/>
      <c r="J3" s="226"/>
      <c r="K3" s="226"/>
      <c r="L3" s="226"/>
      <c r="M3" s="226"/>
      <c r="N3" s="226"/>
      <c r="O3" s="226"/>
    </row>
    <row r="4" spans="2:15" ht="15.75" thickBot="1" x14ac:dyDescent="0.3">
      <c r="B4" s="149" t="s">
        <v>139</v>
      </c>
    </row>
    <row r="5" spans="2:15" ht="15.75" thickBot="1" x14ac:dyDescent="0.3">
      <c r="B5" s="108" t="s">
        <v>125</v>
      </c>
      <c r="C5" s="227" t="s">
        <v>126</v>
      </c>
      <c r="D5" s="109"/>
      <c r="E5" s="229" t="s">
        <v>127</v>
      </c>
      <c r="F5" s="230"/>
      <c r="G5" s="229" t="s">
        <v>128</v>
      </c>
      <c r="H5" s="231"/>
      <c r="I5" s="230"/>
      <c r="J5" s="227" t="s">
        <v>129</v>
      </c>
      <c r="K5" s="150"/>
      <c r="L5" s="232"/>
      <c r="M5" s="232"/>
      <c r="N5" s="232"/>
      <c r="O5" s="232"/>
    </row>
    <row r="6" spans="2:15" ht="39" thickBot="1" x14ac:dyDescent="0.3">
      <c r="B6" s="111"/>
      <c r="C6" s="228"/>
      <c r="D6" s="162" t="s">
        <v>133</v>
      </c>
      <c r="E6" s="113" t="s">
        <v>9</v>
      </c>
      <c r="F6" s="114" t="s">
        <v>12</v>
      </c>
      <c r="G6" s="162" t="s">
        <v>134</v>
      </c>
      <c r="H6" s="229" t="s">
        <v>135</v>
      </c>
      <c r="I6" s="230"/>
      <c r="J6" s="228"/>
      <c r="K6" s="151"/>
      <c r="L6" s="232"/>
      <c r="M6" s="232"/>
      <c r="N6" s="232"/>
      <c r="O6" s="232"/>
    </row>
    <row r="7" spans="2:15" x14ac:dyDescent="0.25">
      <c r="B7" s="116"/>
      <c r="C7" s="116"/>
      <c r="D7" s="116"/>
      <c r="E7" s="116"/>
      <c r="F7" s="117"/>
      <c r="G7" s="116"/>
      <c r="H7" s="118" t="s">
        <v>9</v>
      </c>
      <c r="I7" s="118" t="s">
        <v>12</v>
      </c>
      <c r="J7" s="119"/>
      <c r="K7" s="152"/>
      <c r="L7" s="155"/>
      <c r="M7" s="155"/>
      <c r="N7" s="155"/>
      <c r="O7" s="155"/>
    </row>
    <row r="8" spans="2:15" x14ac:dyDescent="0.25">
      <c r="B8" s="121"/>
      <c r="C8" s="121"/>
      <c r="D8" s="121"/>
      <c r="E8" s="121"/>
      <c r="F8" s="122"/>
      <c r="G8" s="121"/>
      <c r="H8" s="121"/>
      <c r="I8" s="121"/>
      <c r="J8" s="121"/>
      <c r="K8" s="153"/>
      <c r="L8" s="155"/>
      <c r="M8" s="155"/>
      <c r="N8" s="155"/>
      <c r="O8" s="155"/>
    </row>
    <row r="9" spans="2:15" x14ac:dyDescent="0.25">
      <c r="B9" s="124" t="s">
        <v>8</v>
      </c>
      <c r="C9" s="124" t="s">
        <v>136</v>
      </c>
      <c r="D9" s="125">
        <f>'Existing Rates &amp; Forecast Vols'!F7</f>
        <v>17537</v>
      </c>
      <c r="E9" s="126">
        <f>'Existing Rates &amp; Forecast Vols'!G7</f>
        <v>144126043</v>
      </c>
      <c r="F9" s="127"/>
      <c r="G9" s="128">
        <f>'2014 Area Rate Design'!P6</f>
        <v>18.787657821866794</v>
      </c>
      <c r="H9" s="129">
        <f>'2014 Area Rate Design'!Q6</f>
        <v>2.0144796228126999E-2</v>
      </c>
      <c r="I9" s="129"/>
      <c r="J9" s="130">
        <f t="shared" ref="J9:J14" si="0">G9*D9*12+H9*E9+I9*F9</f>
        <v>6857139.6300662048</v>
      </c>
      <c r="K9" s="153"/>
      <c r="L9" s="156"/>
      <c r="M9" s="156"/>
      <c r="N9" s="157"/>
      <c r="O9" s="157"/>
    </row>
    <row r="10" spans="2:15" x14ac:dyDescent="0.25">
      <c r="B10" s="124" t="s">
        <v>10</v>
      </c>
      <c r="C10" s="124" t="s">
        <v>136</v>
      </c>
      <c r="D10" s="125">
        <f>'Existing Rates &amp; Forecast Vols'!F8</f>
        <v>1633</v>
      </c>
      <c r="E10" s="126">
        <f>'Existing Rates &amp; Forecast Vols'!G8</f>
        <v>48895781</v>
      </c>
      <c r="F10" s="127"/>
      <c r="G10" s="128">
        <f>'2014 Area Rate Design'!P10</f>
        <v>24.179310129864188</v>
      </c>
      <c r="H10" s="129">
        <f>'2014 Area Rate Design'!Q10</f>
        <v>2.3974275146071342E-2</v>
      </c>
      <c r="I10" s="129"/>
      <c r="J10" s="130">
        <f t="shared" si="0"/>
        <v>1646058.6684808659</v>
      </c>
      <c r="K10" s="153"/>
      <c r="L10" s="156"/>
      <c r="M10" s="156"/>
      <c r="N10" s="157"/>
      <c r="O10" s="157"/>
    </row>
    <row r="11" spans="2:15" x14ac:dyDescent="0.25">
      <c r="B11" s="124" t="s">
        <v>11</v>
      </c>
      <c r="C11" s="124" t="s">
        <v>136</v>
      </c>
      <c r="D11" s="125">
        <f>'Existing Rates &amp; Forecast Vols'!F9</f>
        <v>149</v>
      </c>
      <c r="E11" s="126">
        <f>'Existing Rates &amp; Forecast Vols'!G9</f>
        <v>135605948</v>
      </c>
      <c r="F11" s="127">
        <f>'Existing Rates &amp; Forecast Vols'!H9</f>
        <v>379702</v>
      </c>
      <c r="G11" s="128">
        <f>'2014 Area Rate Design'!P14</f>
        <v>141.78666666666669</v>
      </c>
      <c r="H11" s="129"/>
      <c r="I11" s="129">
        <f>'2014 Area Rate Design'!Q14</f>
        <v>6.8984640635051209</v>
      </c>
      <c r="J11" s="130">
        <f t="shared" si="0"/>
        <v>2872875.1618410214</v>
      </c>
      <c r="K11" s="153"/>
      <c r="L11" s="156"/>
      <c r="M11" s="156"/>
      <c r="N11" s="157"/>
      <c r="O11" s="157"/>
    </row>
    <row r="12" spans="2:15" x14ac:dyDescent="0.25">
      <c r="B12" s="124" t="s">
        <v>13</v>
      </c>
      <c r="C12" s="124" t="s">
        <v>136</v>
      </c>
      <c r="D12" s="125">
        <f>'Existing Rates &amp; Forecast Vols'!F10</f>
        <v>25</v>
      </c>
      <c r="E12" s="126">
        <f>'Existing Rates &amp; Forecast Vols'!G10</f>
        <v>946114</v>
      </c>
      <c r="F12" s="127"/>
      <c r="G12" s="128">
        <f>'2014 Area Rate Design'!P18</f>
        <v>51.034999999999997</v>
      </c>
      <c r="H12" s="129">
        <f>'2014 Area Rate Design'!Q18</f>
        <v>3.2338802855144941E-2</v>
      </c>
      <c r="I12" s="129"/>
      <c r="J12" s="130">
        <f t="shared" si="0"/>
        <v>45906.694124492598</v>
      </c>
      <c r="K12" s="153"/>
      <c r="L12" s="156"/>
      <c r="M12" s="156"/>
      <c r="N12" s="157"/>
      <c r="O12" s="157"/>
    </row>
    <row r="13" spans="2:15" x14ac:dyDescent="0.25">
      <c r="B13" s="124" t="s">
        <v>14</v>
      </c>
      <c r="C13" s="124" t="s">
        <v>137</v>
      </c>
      <c r="D13" s="125">
        <f>'Existing Rates &amp; Forecast Vols'!F11</f>
        <v>920</v>
      </c>
      <c r="E13" s="126">
        <f>'Existing Rates &amp; Forecast Vols'!G11</f>
        <v>747706</v>
      </c>
      <c r="F13" s="127">
        <f>'Existing Rates &amp; Forecast Vols'!H11</f>
        <v>2294</v>
      </c>
      <c r="G13" s="128">
        <f>'2014 Area Rate Design'!P22</f>
        <v>5.0199999999999996</v>
      </c>
      <c r="H13" s="129"/>
      <c r="I13" s="129">
        <f>'2014 Area Rate Design'!Q22</f>
        <v>5.2893004284490122</v>
      </c>
      <c r="J13" s="130">
        <f t="shared" si="0"/>
        <v>67554.455182862032</v>
      </c>
      <c r="K13" s="153"/>
      <c r="L13" s="156"/>
      <c r="M13" s="156"/>
      <c r="N13" s="157"/>
      <c r="O13" s="157"/>
    </row>
    <row r="14" spans="2:15" x14ac:dyDescent="0.25">
      <c r="B14" s="124" t="s">
        <v>15</v>
      </c>
      <c r="C14" s="124" t="s">
        <v>137</v>
      </c>
      <c r="D14" s="125">
        <f>'Existing Rates &amp; Forecast Vols'!F12</f>
        <v>3696</v>
      </c>
      <c r="E14" s="126">
        <f>'Existing Rates &amp; Forecast Vols'!G12</f>
        <v>2687821</v>
      </c>
      <c r="F14" s="127">
        <f>'Existing Rates &amp; Forecast Vols'!H12</f>
        <v>7670</v>
      </c>
      <c r="G14" s="128">
        <f>'2014 Area Rate Design'!P26</f>
        <v>5.2889906226968497</v>
      </c>
      <c r="H14" s="129"/>
      <c r="I14" s="129">
        <f>'2014 Area Rate Design'!Q26</f>
        <v>10.241285347139275</v>
      </c>
      <c r="J14" s="130">
        <f t="shared" si="0"/>
        <v>313127.97071040893</v>
      </c>
      <c r="K14" s="153"/>
      <c r="L14" s="156"/>
      <c r="M14" s="156"/>
      <c r="N14" s="157"/>
      <c r="O14" s="157"/>
    </row>
    <row r="15" spans="2:15" ht="15.75" thickBot="1" x14ac:dyDescent="0.3">
      <c r="B15" s="134"/>
      <c r="C15" s="134"/>
      <c r="D15" s="135"/>
      <c r="E15" s="126"/>
      <c r="F15" s="127"/>
      <c r="G15" s="128"/>
      <c r="H15" s="129"/>
      <c r="I15" s="129"/>
      <c r="J15" s="136"/>
      <c r="K15" s="153"/>
      <c r="L15" s="156"/>
      <c r="M15" s="156"/>
      <c r="N15" s="157"/>
      <c r="O15" s="157"/>
    </row>
    <row r="16" spans="2:15" ht="15.75" thickTop="1" x14ac:dyDescent="0.25">
      <c r="B16" s="121"/>
      <c r="C16" s="121"/>
      <c r="D16" s="121"/>
      <c r="E16" s="134"/>
      <c r="F16" s="138"/>
      <c r="G16" s="134"/>
      <c r="H16" s="134"/>
      <c r="I16" s="134"/>
      <c r="J16" s="139"/>
      <c r="K16" s="153"/>
      <c r="L16" s="155"/>
      <c r="M16" s="155"/>
      <c r="N16" s="155"/>
      <c r="O16" s="155"/>
    </row>
    <row r="17" spans="2:15" ht="15.75" thickBot="1" x14ac:dyDescent="0.3">
      <c r="B17" s="141" t="s">
        <v>27</v>
      </c>
      <c r="C17" s="142"/>
      <c r="D17" s="143">
        <f>SUM(D9:D14)</f>
        <v>23960</v>
      </c>
      <c r="E17" s="143">
        <f>SUM(E9:E14)</f>
        <v>333009413</v>
      </c>
      <c r="F17" s="143">
        <f>SUM(F9:F14)</f>
        <v>389666</v>
      </c>
      <c r="G17" s="144"/>
      <c r="H17" s="144"/>
      <c r="I17" s="144"/>
      <c r="J17" s="145">
        <f>SUM(J9:J14)</f>
        <v>11802662.580405856</v>
      </c>
      <c r="K17" s="154"/>
      <c r="L17" s="158"/>
      <c r="M17" s="158"/>
      <c r="N17" s="158"/>
      <c r="O17" s="159"/>
    </row>
    <row r="20" spans="2:15" ht="15.75" thickBot="1" x14ac:dyDescent="0.3">
      <c r="B20" s="149" t="s">
        <v>17</v>
      </c>
    </row>
    <row r="21" spans="2:15" ht="15.75" thickBot="1" x14ac:dyDescent="0.3">
      <c r="B21" s="108" t="s">
        <v>125</v>
      </c>
      <c r="C21" s="227" t="s">
        <v>126</v>
      </c>
      <c r="D21" s="109"/>
      <c r="E21" s="229" t="s">
        <v>127</v>
      </c>
      <c r="F21" s="230"/>
      <c r="G21" s="229" t="s">
        <v>128</v>
      </c>
      <c r="H21" s="231"/>
      <c r="I21" s="230"/>
      <c r="J21" s="227" t="s">
        <v>129</v>
      </c>
      <c r="K21" s="150"/>
      <c r="L21" s="232"/>
      <c r="M21" s="232"/>
      <c r="N21" s="232"/>
      <c r="O21" s="232"/>
    </row>
    <row r="22" spans="2:15" ht="39" thickBot="1" x14ac:dyDescent="0.3">
      <c r="B22" s="111"/>
      <c r="C22" s="228"/>
      <c r="D22" s="162" t="s">
        <v>133</v>
      </c>
      <c r="E22" s="113" t="s">
        <v>9</v>
      </c>
      <c r="F22" s="114" t="s">
        <v>12</v>
      </c>
      <c r="G22" s="162" t="s">
        <v>134</v>
      </c>
      <c r="H22" s="229" t="s">
        <v>135</v>
      </c>
      <c r="I22" s="230"/>
      <c r="J22" s="228"/>
      <c r="K22" s="151"/>
      <c r="L22" s="232"/>
      <c r="M22" s="232"/>
      <c r="N22" s="232"/>
      <c r="O22" s="232"/>
    </row>
    <row r="23" spans="2:15" x14ac:dyDescent="0.25">
      <c r="B23" s="116"/>
      <c r="C23" s="116"/>
      <c r="D23" s="116"/>
      <c r="E23" s="116"/>
      <c r="F23" s="117"/>
      <c r="G23" s="116"/>
      <c r="H23" s="118" t="s">
        <v>9</v>
      </c>
      <c r="I23" s="118" t="s">
        <v>12</v>
      </c>
      <c r="J23" s="119"/>
      <c r="K23" s="152"/>
      <c r="L23" s="155"/>
      <c r="M23" s="155"/>
      <c r="N23" s="155"/>
      <c r="O23" s="155"/>
    </row>
    <row r="24" spans="2:15" x14ac:dyDescent="0.25">
      <c r="B24" s="121"/>
      <c r="C24" s="121"/>
      <c r="D24" s="121"/>
      <c r="E24" s="121"/>
      <c r="F24" s="122"/>
      <c r="G24" s="121"/>
      <c r="H24" s="121"/>
      <c r="I24" s="121"/>
      <c r="J24" s="121"/>
      <c r="K24" s="153"/>
      <c r="L24" s="155"/>
      <c r="M24" s="155"/>
      <c r="N24" s="155"/>
      <c r="O24" s="155"/>
    </row>
    <row r="25" spans="2:15" x14ac:dyDescent="0.25">
      <c r="B25" s="124" t="s">
        <v>8</v>
      </c>
      <c r="C25" s="124" t="s">
        <v>136</v>
      </c>
      <c r="D25" s="125">
        <f>'Existing Rates &amp; Forecast Vols'!F21</f>
        <v>8152</v>
      </c>
      <c r="E25" s="126">
        <f>'Existing Rates &amp; Forecast Vols'!G21</f>
        <v>64161933</v>
      </c>
      <c r="F25" s="127"/>
      <c r="G25" s="128">
        <f>'2014 Area Rate Design'!P7</f>
        <v>17.487657821866797</v>
      </c>
      <c r="H25" s="129">
        <f>'2014 Area Rate Design'!Q7</f>
        <v>2.2775706347056224E-2</v>
      </c>
      <c r="I25" s="129"/>
      <c r="J25" s="130">
        <f t="shared" ref="J25:J30" si="1">G25*D25*12+H25*E25+I25*F25</f>
        <v>3172045.9834337938</v>
      </c>
      <c r="K25" s="153"/>
      <c r="L25" s="156"/>
      <c r="M25" s="156"/>
      <c r="N25" s="157"/>
      <c r="O25" s="157"/>
    </row>
    <row r="26" spans="2:15" x14ac:dyDescent="0.25">
      <c r="B26" s="124" t="s">
        <v>10</v>
      </c>
      <c r="C26" s="124" t="s">
        <v>136</v>
      </c>
      <c r="D26" s="125">
        <f>'Existing Rates &amp; Forecast Vols'!F22</f>
        <v>888</v>
      </c>
      <c r="E26" s="126">
        <f>'Existing Rates &amp; Forecast Vols'!G22</f>
        <v>23558821</v>
      </c>
      <c r="F26" s="127"/>
      <c r="G26" s="128">
        <f>'2014 Area Rate Design'!P11</f>
        <v>29.13431012986419</v>
      </c>
      <c r="H26" s="129">
        <f>'2014 Area Rate Design'!Q11</f>
        <v>2.0811742776741728E-2</v>
      </c>
      <c r="I26" s="129"/>
      <c r="J26" s="130">
        <f t="shared" si="1"/>
        <v>800755.33151913411</v>
      </c>
      <c r="K26" s="153"/>
      <c r="L26" s="156"/>
      <c r="M26" s="156"/>
      <c r="N26" s="157"/>
      <c r="O26" s="157"/>
    </row>
    <row r="27" spans="2:15" x14ac:dyDescent="0.25">
      <c r="B27" s="124" t="s">
        <v>11</v>
      </c>
      <c r="C27" s="124" t="s">
        <v>136</v>
      </c>
      <c r="D27" s="125">
        <f>'Existing Rates &amp; Forecast Vols'!F23</f>
        <v>79</v>
      </c>
      <c r="E27" s="126">
        <f>'Existing Rates &amp; Forecast Vols'!G23</f>
        <v>88694743</v>
      </c>
      <c r="F27" s="127">
        <f>'Existing Rates &amp; Forecast Vols'!H23</f>
        <v>311664</v>
      </c>
      <c r="G27" s="128">
        <f>'2014 Area Rate Design'!P15</f>
        <v>283.19333333333327</v>
      </c>
      <c r="H27" s="129"/>
      <c r="I27" s="129">
        <f>'2014 Area Rate Design'!Q15</f>
        <v>5.5798820465596872</v>
      </c>
      <c r="J27" s="130">
        <f t="shared" si="1"/>
        <v>2007515.6381589784</v>
      </c>
      <c r="K27" s="153"/>
      <c r="L27" s="156"/>
      <c r="M27" s="156"/>
      <c r="N27" s="157"/>
      <c r="O27" s="157"/>
    </row>
    <row r="28" spans="2:15" x14ac:dyDescent="0.25">
      <c r="B28" s="124" t="s">
        <v>13</v>
      </c>
      <c r="C28" s="124" t="s">
        <v>136</v>
      </c>
      <c r="D28" s="125">
        <f>'Existing Rates &amp; Forecast Vols'!F24</f>
        <v>14</v>
      </c>
      <c r="E28" s="126">
        <f>'Existing Rates &amp; Forecast Vols'!G24</f>
        <v>581815</v>
      </c>
      <c r="F28" s="127"/>
      <c r="G28" s="128">
        <f>'2014 Area Rate Design'!P19</f>
        <v>41.815000000000005</v>
      </c>
      <c r="H28" s="129">
        <f>'2014 Area Rate Design'!Q19</f>
        <v>2.5408257221810025E-2</v>
      </c>
      <c r="I28" s="129"/>
      <c r="J28" s="130">
        <f t="shared" si="1"/>
        <v>21807.825175507402</v>
      </c>
      <c r="K28" s="153"/>
      <c r="L28" s="156"/>
      <c r="M28" s="156"/>
      <c r="N28" s="157"/>
      <c r="O28" s="157"/>
    </row>
    <row r="29" spans="2:15" x14ac:dyDescent="0.25">
      <c r="B29" s="124" t="s">
        <v>14</v>
      </c>
      <c r="C29" s="124" t="s">
        <v>137</v>
      </c>
      <c r="D29" s="125">
        <f>'Existing Rates &amp; Forecast Vols'!F25</f>
        <v>41</v>
      </c>
      <c r="E29" s="126">
        <f>'Existing Rates &amp; Forecast Vols'!G25</f>
        <v>13331</v>
      </c>
      <c r="F29" s="127">
        <f>'Existing Rates &amp; Forecast Vols'!H25</f>
        <v>40</v>
      </c>
      <c r="G29" s="128">
        <f>'2014 Area Rate Design'!P23</f>
        <v>5.0199999999999996</v>
      </c>
      <c r="H29" s="129"/>
      <c r="I29" s="129">
        <f>'2014 Area Rate Design'!Q23</f>
        <v>5.2893004284489962</v>
      </c>
      <c r="J29" s="130">
        <f t="shared" si="1"/>
        <v>2681.41201713796</v>
      </c>
      <c r="K29" s="153"/>
      <c r="L29" s="156"/>
      <c r="M29" s="156"/>
      <c r="N29" s="157"/>
      <c r="O29" s="157"/>
    </row>
    <row r="30" spans="2:15" x14ac:dyDescent="0.25">
      <c r="B30" s="124" t="s">
        <v>15</v>
      </c>
      <c r="C30" s="124" t="s">
        <v>137</v>
      </c>
      <c r="D30" s="125">
        <f>'Existing Rates &amp; Forecast Vols'!F26</f>
        <v>2000</v>
      </c>
      <c r="E30" s="126">
        <f>'Existing Rates &amp; Forecast Vols'!G26</f>
        <v>1787582</v>
      </c>
      <c r="F30" s="127">
        <f>'Existing Rates &amp; Forecast Vols'!H26</f>
        <v>4119</v>
      </c>
      <c r="G30" s="128">
        <f>'2014 Area Rate Design'!P27</f>
        <v>4.0025906226968493</v>
      </c>
      <c r="H30" s="129"/>
      <c r="I30" s="129">
        <f>'2014 Area Rate Design'!Q27</f>
        <v>10.241285347139275</v>
      </c>
      <c r="J30" s="130">
        <f t="shared" si="1"/>
        <v>138246.02928959107</v>
      </c>
      <c r="K30" s="153"/>
      <c r="L30" s="156"/>
      <c r="M30" s="156"/>
      <c r="N30" s="157"/>
      <c r="O30" s="157"/>
    </row>
    <row r="31" spans="2:15" ht="15.75" thickBot="1" x14ac:dyDescent="0.3">
      <c r="B31" s="134"/>
      <c r="C31" s="134"/>
      <c r="D31" s="135"/>
      <c r="E31" s="126"/>
      <c r="F31" s="127"/>
      <c r="G31" s="128"/>
      <c r="H31" s="129"/>
      <c r="I31" s="129"/>
      <c r="J31" s="136"/>
      <c r="K31" s="153"/>
      <c r="L31" s="156"/>
      <c r="M31" s="156"/>
      <c r="N31" s="157"/>
      <c r="O31" s="157"/>
    </row>
    <row r="32" spans="2:15" ht="15.75" thickTop="1" x14ac:dyDescent="0.25">
      <c r="B32" s="121"/>
      <c r="C32" s="121"/>
      <c r="D32" s="121"/>
      <c r="E32" s="134"/>
      <c r="F32" s="138"/>
      <c r="G32" s="134"/>
      <c r="H32" s="134"/>
      <c r="I32" s="134"/>
      <c r="J32" s="139"/>
      <c r="K32" s="153"/>
      <c r="L32" s="155"/>
      <c r="M32" s="155"/>
      <c r="N32" s="155"/>
      <c r="O32" s="155"/>
    </row>
    <row r="33" spans="2:15" ht="15.75" thickBot="1" x14ac:dyDescent="0.3">
      <c r="B33" s="141" t="s">
        <v>27</v>
      </c>
      <c r="C33" s="142"/>
      <c r="D33" s="143">
        <f>SUM(D25:D30)</f>
        <v>11174</v>
      </c>
      <c r="E33" s="143">
        <f>SUM(E25:E30)</f>
        <v>178798225</v>
      </c>
      <c r="F33" s="143">
        <f>SUM(F25:F30)</f>
        <v>315823</v>
      </c>
      <c r="G33" s="144"/>
      <c r="H33" s="144"/>
      <c r="I33" s="144"/>
      <c r="J33" s="145">
        <f>SUM(J25:J30)</f>
        <v>6143052.2195941415</v>
      </c>
      <c r="K33" s="154"/>
      <c r="L33" s="158"/>
      <c r="M33" s="158"/>
      <c r="N33" s="158"/>
      <c r="O33" s="159"/>
    </row>
    <row r="36" spans="2:15" ht="15.75" thickBot="1" x14ac:dyDescent="0.3">
      <c r="B36" s="149" t="s">
        <v>181</v>
      </c>
    </row>
    <row r="37" spans="2:15" ht="15.75" thickBot="1" x14ac:dyDescent="0.3">
      <c r="B37" s="108" t="s">
        <v>125</v>
      </c>
      <c r="C37" s="227" t="s">
        <v>126</v>
      </c>
      <c r="D37" s="109"/>
      <c r="E37" s="229" t="s">
        <v>127</v>
      </c>
      <c r="F37" s="230"/>
      <c r="G37" s="229" t="s">
        <v>128</v>
      </c>
      <c r="H37" s="231"/>
      <c r="I37" s="230"/>
      <c r="J37" s="227" t="s">
        <v>129</v>
      </c>
      <c r="K37" s="110"/>
      <c r="L37" s="227" t="s">
        <v>130</v>
      </c>
      <c r="M37" s="227" t="s">
        <v>131</v>
      </c>
      <c r="N37" s="227" t="s">
        <v>27</v>
      </c>
      <c r="O37" s="227" t="s">
        <v>132</v>
      </c>
    </row>
    <row r="38" spans="2:15" ht="39" thickBot="1" x14ac:dyDescent="0.3">
      <c r="B38" s="111"/>
      <c r="C38" s="228"/>
      <c r="D38" s="162" t="s">
        <v>133</v>
      </c>
      <c r="E38" s="113" t="s">
        <v>9</v>
      </c>
      <c r="F38" s="114" t="s">
        <v>12</v>
      </c>
      <c r="G38" s="162" t="s">
        <v>134</v>
      </c>
      <c r="H38" s="229" t="s">
        <v>135</v>
      </c>
      <c r="I38" s="230"/>
      <c r="J38" s="228"/>
      <c r="K38" s="115"/>
      <c r="L38" s="228"/>
      <c r="M38" s="228"/>
      <c r="N38" s="228"/>
      <c r="O38" s="228"/>
    </row>
    <row r="39" spans="2:15" x14ac:dyDescent="0.25">
      <c r="B39" s="116"/>
      <c r="C39" s="116"/>
      <c r="D39" s="116"/>
      <c r="E39" s="116"/>
      <c r="F39" s="117"/>
      <c r="G39" s="116"/>
      <c r="H39" s="118" t="s">
        <v>9</v>
      </c>
      <c r="I39" s="118" t="s">
        <v>12</v>
      </c>
      <c r="J39" s="119"/>
      <c r="K39" s="120"/>
      <c r="L39" s="119"/>
      <c r="M39" s="119"/>
      <c r="N39" s="119"/>
      <c r="O39" s="117"/>
    </row>
    <row r="40" spans="2:15" x14ac:dyDescent="0.25">
      <c r="B40" s="121"/>
      <c r="C40" s="121"/>
      <c r="D40" s="121"/>
      <c r="E40" s="121"/>
      <c r="F40" s="122"/>
      <c r="G40" s="121"/>
      <c r="H40" s="121"/>
      <c r="I40" s="121"/>
      <c r="J40" s="121"/>
      <c r="K40" s="123"/>
      <c r="L40" s="121"/>
      <c r="M40" s="121"/>
      <c r="N40" s="121"/>
      <c r="O40" s="122"/>
    </row>
    <row r="41" spans="2:15" x14ac:dyDescent="0.25">
      <c r="B41" s="124" t="s">
        <v>8</v>
      </c>
      <c r="C41" s="124" t="s">
        <v>136</v>
      </c>
      <c r="D41" s="125">
        <f>D9+D25</f>
        <v>25689</v>
      </c>
      <c r="E41" s="125">
        <f>E9+E25</f>
        <v>208287976</v>
      </c>
      <c r="F41" s="125"/>
      <c r="G41" s="128"/>
      <c r="H41" s="129"/>
      <c r="I41" s="129"/>
      <c r="J41" s="125">
        <f>J9+J25</f>
        <v>10029185.613499999</v>
      </c>
      <c r="K41" s="123"/>
      <c r="L41" s="125">
        <f>'2014 R|C Ratio Adj.'!H5</f>
        <v>10029185.613499999</v>
      </c>
      <c r="M41" s="131"/>
      <c r="N41" s="132">
        <f t="shared" ref="N41:N46" si="2">SUM(L41:M41)</f>
        <v>10029185.613499999</v>
      </c>
      <c r="O41" s="133">
        <f t="shared" ref="O41:O46" si="3">N41-J41</f>
        <v>0</v>
      </c>
    </row>
    <row r="42" spans="2:15" x14ac:dyDescent="0.25">
      <c r="B42" s="124" t="s">
        <v>10</v>
      </c>
      <c r="C42" s="124" t="s">
        <v>136</v>
      </c>
      <c r="D42" s="125">
        <f t="shared" ref="D42:F46" si="4">D10+D26</f>
        <v>2521</v>
      </c>
      <c r="E42" s="125">
        <f t="shared" si="4"/>
        <v>72454602</v>
      </c>
      <c r="F42" s="125"/>
      <c r="G42" s="128"/>
      <c r="H42" s="129"/>
      <c r="I42" s="129"/>
      <c r="J42" s="125">
        <f t="shared" ref="J42:J46" si="5">J10+J26</f>
        <v>2446814</v>
      </c>
      <c r="K42" s="123"/>
      <c r="L42" s="125">
        <f>'2014 R|C Ratio Adj.'!H6</f>
        <v>2446814</v>
      </c>
      <c r="M42" s="131"/>
      <c r="N42" s="132">
        <f t="shared" si="2"/>
        <v>2446814</v>
      </c>
      <c r="O42" s="133">
        <f t="shared" si="3"/>
        <v>0</v>
      </c>
    </row>
    <row r="43" spans="2:15" x14ac:dyDescent="0.25">
      <c r="B43" s="124" t="s">
        <v>11</v>
      </c>
      <c r="C43" s="124" t="s">
        <v>136</v>
      </c>
      <c r="D43" s="125">
        <f t="shared" si="4"/>
        <v>228</v>
      </c>
      <c r="E43" s="125">
        <f t="shared" si="4"/>
        <v>224300691</v>
      </c>
      <c r="F43" s="125">
        <f t="shared" si="4"/>
        <v>691366</v>
      </c>
      <c r="G43" s="128"/>
      <c r="H43" s="129"/>
      <c r="I43" s="129"/>
      <c r="J43" s="125">
        <f t="shared" si="5"/>
        <v>4880390.8</v>
      </c>
      <c r="K43" s="123"/>
      <c r="L43" s="125">
        <f>'2014 R|C Ratio Adj.'!H7</f>
        <v>4647757</v>
      </c>
      <c r="M43" s="131">
        <f>'2014 Rate Design'!D14</f>
        <v>232633.8</v>
      </c>
      <c r="N43" s="132">
        <f t="shared" si="2"/>
        <v>4880390.8</v>
      </c>
      <c r="O43" s="133">
        <f t="shared" si="3"/>
        <v>0</v>
      </c>
    </row>
    <row r="44" spans="2:15" x14ac:dyDescent="0.25">
      <c r="B44" s="124" t="s">
        <v>13</v>
      </c>
      <c r="C44" s="124" t="s">
        <v>136</v>
      </c>
      <c r="D44" s="125">
        <f t="shared" si="4"/>
        <v>39</v>
      </c>
      <c r="E44" s="125">
        <f t="shared" si="4"/>
        <v>1527929</v>
      </c>
      <c r="F44" s="125"/>
      <c r="G44" s="128"/>
      <c r="H44" s="129"/>
      <c r="I44" s="129"/>
      <c r="J44" s="125">
        <f t="shared" si="5"/>
        <v>67714.5193</v>
      </c>
      <c r="K44" s="123"/>
      <c r="L44" s="125">
        <f>'2014 R|C Ratio Adj.'!H8</f>
        <v>67714.5193</v>
      </c>
      <c r="M44" s="131"/>
      <c r="N44" s="132">
        <f t="shared" si="2"/>
        <v>67714.5193</v>
      </c>
      <c r="O44" s="133">
        <f t="shared" si="3"/>
        <v>0</v>
      </c>
    </row>
    <row r="45" spans="2:15" x14ac:dyDescent="0.25">
      <c r="B45" s="124" t="s">
        <v>14</v>
      </c>
      <c r="C45" s="124" t="s">
        <v>137</v>
      </c>
      <c r="D45" s="125">
        <f t="shared" si="4"/>
        <v>961</v>
      </c>
      <c r="E45" s="125">
        <f t="shared" si="4"/>
        <v>761037</v>
      </c>
      <c r="F45" s="125">
        <f t="shared" si="4"/>
        <v>2334</v>
      </c>
      <c r="G45" s="128"/>
      <c r="H45" s="129"/>
      <c r="I45" s="129"/>
      <c r="J45" s="125">
        <f t="shared" si="5"/>
        <v>70235.867199999993</v>
      </c>
      <c r="K45" s="123"/>
      <c r="L45" s="125">
        <f>'2014 R|C Ratio Adj.'!H9</f>
        <v>70235.867199999993</v>
      </c>
      <c r="M45" s="131"/>
      <c r="N45" s="132">
        <f t="shared" si="2"/>
        <v>70235.867199999993</v>
      </c>
      <c r="O45" s="133">
        <f t="shared" si="3"/>
        <v>0</v>
      </c>
    </row>
    <row r="46" spans="2:15" x14ac:dyDescent="0.25">
      <c r="B46" s="124" t="s">
        <v>15</v>
      </c>
      <c r="C46" s="124" t="s">
        <v>137</v>
      </c>
      <c r="D46" s="125">
        <f t="shared" si="4"/>
        <v>5696</v>
      </c>
      <c r="E46" s="125">
        <f t="shared" si="4"/>
        <v>4475403</v>
      </c>
      <c r="F46" s="125">
        <f t="shared" si="4"/>
        <v>11789</v>
      </c>
      <c r="G46" s="128"/>
      <c r="H46" s="129"/>
      <c r="I46" s="129"/>
      <c r="J46" s="125">
        <f t="shared" si="5"/>
        <v>451374</v>
      </c>
      <c r="K46" s="123"/>
      <c r="L46" s="125">
        <f>'2014 R|C Ratio Adj.'!H10</f>
        <v>451374</v>
      </c>
      <c r="M46" s="131"/>
      <c r="N46" s="132">
        <f t="shared" si="2"/>
        <v>451374</v>
      </c>
      <c r="O46" s="133">
        <f t="shared" si="3"/>
        <v>0</v>
      </c>
    </row>
    <row r="47" spans="2:15" ht="15.75" thickBot="1" x14ac:dyDescent="0.3">
      <c r="B47" s="134"/>
      <c r="C47" s="134"/>
      <c r="D47" s="135"/>
      <c r="E47" s="126"/>
      <c r="F47" s="127"/>
      <c r="G47" s="128"/>
      <c r="H47" s="129"/>
      <c r="I47" s="129"/>
      <c r="J47" s="136"/>
      <c r="K47" s="123"/>
      <c r="L47" s="131"/>
      <c r="M47" s="131"/>
      <c r="N47" s="137"/>
      <c r="O47" s="137"/>
    </row>
    <row r="48" spans="2:15" ht="15.75" thickTop="1" x14ac:dyDescent="0.25">
      <c r="B48" s="121"/>
      <c r="C48" s="121"/>
      <c r="D48" s="121"/>
      <c r="E48" s="134"/>
      <c r="F48" s="138"/>
      <c r="G48" s="134"/>
      <c r="H48" s="134"/>
      <c r="I48" s="134"/>
      <c r="J48" s="139"/>
      <c r="K48" s="123"/>
      <c r="L48" s="140"/>
      <c r="M48" s="140"/>
      <c r="N48" s="121"/>
      <c r="O48" s="122"/>
    </row>
    <row r="49" spans="2:15" ht="15.75" thickBot="1" x14ac:dyDescent="0.3">
      <c r="B49" s="141" t="s">
        <v>27</v>
      </c>
      <c r="C49" s="142"/>
      <c r="D49" s="143">
        <f>SUM(D41:D46)</f>
        <v>35134</v>
      </c>
      <c r="E49" s="143">
        <f>SUM(E41:E46)</f>
        <v>511807638</v>
      </c>
      <c r="F49" s="143">
        <f>SUM(F41:F46)</f>
        <v>705489</v>
      </c>
      <c r="G49" s="144"/>
      <c r="H49" s="144"/>
      <c r="I49" s="144"/>
      <c r="J49" s="147">
        <f>SUM(J41:J46)</f>
        <v>17945714.799999997</v>
      </c>
      <c r="K49" s="146"/>
      <c r="L49" s="147">
        <f>SUM(L41:L47)</f>
        <v>17713080.999999996</v>
      </c>
      <c r="M49" s="147">
        <f>SUM(M41:M47)</f>
        <v>232633.8</v>
      </c>
      <c r="N49" s="147">
        <f>L49+M49</f>
        <v>17945714.799999997</v>
      </c>
      <c r="O49" s="148">
        <f>N49-J49</f>
        <v>0</v>
      </c>
    </row>
  </sheetData>
  <mergeCells count="28">
    <mergeCell ref="O37:O38"/>
    <mergeCell ref="H38:I38"/>
    <mergeCell ref="N21:N22"/>
    <mergeCell ref="O21:O22"/>
    <mergeCell ref="H22:I22"/>
    <mergeCell ref="M37:M38"/>
    <mergeCell ref="N37:N38"/>
    <mergeCell ref="M21:M22"/>
    <mergeCell ref="C37:C38"/>
    <mergeCell ref="E37:F37"/>
    <mergeCell ref="G37:I37"/>
    <mergeCell ref="J37:J38"/>
    <mergeCell ref="L37:L38"/>
    <mergeCell ref="C21:C22"/>
    <mergeCell ref="E21:F21"/>
    <mergeCell ref="G21:I21"/>
    <mergeCell ref="J21:J22"/>
    <mergeCell ref="L21:L22"/>
    <mergeCell ref="B3:O3"/>
    <mergeCell ref="C5:C6"/>
    <mergeCell ref="E5:F5"/>
    <mergeCell ref="G5:I5"/>
    <mergeCell ref="J5:J6"/>
    <mergeCell ref="L5:L6"/>
    <mergeCell ref="M5:M6"/>
    <mergeCell ref="N5:N6"/>
    <mergeCell ref="O5:O6"/>
    <mergeCell ref="H6:I6"/>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4"/>
  <sheetViews>
    <sheetView workbookViewId="0">
      <selection activeCell="H5" sqref="H5:H10"/>
    </sheetView>
  </sheetViews>
  <sheetFormatPr defaultRowHeight="15" x14ac:dyDescent="0.25"/>
  <cols>
    <col min="1" max="1" width="2.7109375" customWidth="1"/>
    <col min="2" max="2" width="21.85546875" customWidth="1"/>
    <col min="3" max="3" width="14.42578125" customWidth="1"/>
    <col min="4" max="5" width="13.5703125" customWidth="1"/>
    <col min="6" max="6" width="13.85546875" bestFit="1" customWidth="1"/>
    <col min="7" max="7" width="11.140625" customWidth="1"/>
    <col min="8" max="8" width="14" bestFit="1" customWidth="1"/>
  </cols>
  <sheetData>
    <row r="1" spans="2:8" ht="15.75" thickBot="1" x14ac:dyDescent="0.3"/>
    <row r="2" spans="2:8" ht="18" x14ac:dyDescent="0.25">
      <c r="B2" s="220" t="s">
        <v>151</v>
      </c>
      <c r="C2" s="221"/>
      <c r="D2" s="221"/>
      <c r="E2" s="221"/>
      <c r="F2" s="221"/>
      <c r="G2" s="221"/>
      <c r="H2" s="222"/>
    </row>
    <row r="3" spans="2:8" x14ac:dyDescent="0.25">
      <c r="B3" s="20"/>
      <c r="C3" s="21"/>
      <c r="D3" s="21"/>
      <c r="E3" s="21"/>
      <c r="F3" s="21"/>
      <c r="G3" s="21"/>
      <c r="H3" s="11"/>
    </row>
    <row r="4" spans="2:8" ht="85.5" x14ac:dyDescent="0.25">
      <c r="B4" s="160" t="s">
        <v>21</v>
      </c>
      <c r="C4" s="32" t="s">
        <v>36</v>
      </c>
      <c r="D4" s="32" t="s">
        <v>39</v>
      </c>
      <c r="E4" s="32" t="s">
        <v>55</v>
      </c>
      <c r="F4" s="32" t="s">
        <v>38</v>
      </c>
      <c r="G4" s="32" t="s">
        <v>51</v>
      </c>
      <c r="H4" s="33" t="s">
        <v>52</v>
      </c>
    </row>
    <row r="5" spans="2:8" x14ac:dyDescent="0.25">
      <c r="B5" s="19" t="s">
        <v>8</v>
      </c>
      <c r="C5" s="34">
        <f>'R|C Ratio'!C$8</f>
        <v>11959720</v>
      </c>
      <c r="D5" s="34">
        <f>'R|C Ratio'!F$8</f>
        <v>887427</v>
      </c>
      <c r="E5" s="34">
        <f>C5-D5</f>
        <v>11072293</v>
      </c>
      <c r="F5" s="34">
        <f>'R|C Ratio'!E$8</f>
        <v>10012615</v>
      </c>
      <c r="G5" s="67">
        <f t="shared" ref="G5:G10" si="0">(H5+D5)/C5</f>
        <v>0.91387099054994603</v>
      </c>
      <c r="H5" s="63">
        <f>H12-(H6+H7+H8+H9+H10)</f>
        <v>10042214.1631</v>
      </c>
    </row>
    <row r="6" spans="2:8" x14ac:dyDescent="0.25">
      <c r="B6" s="19" t="s">
        <v>10</v>
      </c>
      <c r="C6" s="34">
        <f>'R|C Ratio'!C$9</f>
        <v>2395011</v>
      </c>
      <c r="D6" s="34">
        <f>'R|C Ratio'!F$9</f>
        <v>171803</v>
      </c>
      <c r="E6" s="34">
        <f t="shared" ref="E6:E10" si="1">C6-D6</f>
        <v>2223208</v>
      </c>
      <c r="F6" s="34">
        <f>'R|C Ratio'!E$9</f>
        <v>2446814</v>
      </c>
      <c r="G6" s="62">
        <f t="shared" si="0"/>
        <v>1.0933632455132773</v>
      </c>
      <c r="H6" s="63">
        <v>2446814</v>
      </c>
    </row>
    <row r="7" spans="2:8" x14ac:dyDescent="0.25">
      <c r="B7" s="19" t="s">
        <v>11</v>
      </c>
      <c r="C7" s="34">
        <f>'R|C Ratio'!C$10</f>
        <v>4132293</v>
      </c>
      <c r="D7" s="34">
        <f>'R|C Ratio'!F$10</f>
        <v>297618</v>
      </c>
      <c r="E7" s="34">
        <f t="shared" si="1"/>
        <v>3834675</v>
      </c>
      <c r="F7" s="34">
        <f>'R|C Ratio'!E$10</f>
        <v>4647757</v>
      </c>
      <c r="G7" s="62">
        <f t="shared" si="0"/>
        <v>1.1967629110520479</v>
      </c>
      <c r="H7" s="63">
        <v>4647757</v>
      </c>
    </row>
    <row r="8" spans="2:8" x14ac:dyDescent="0.25">
      <c r="B8" s="19" t="s">
        <v>13</v>
      </c>
      <c r="C8" s="34">
        <f>'R|C Ratio'!C$11</f>
        <v>37273</v>
      </c>
      <c r="D8" s="34">
        <f>'R|C Ratio'!F$11</f>
        <v>3257</v>
      </c>
      <c r="E8" s="34">
        <f t="shared" si="1"/>
        <v>34016</v>
      </c>
      <c r="F8" s="34">
        <f>'R|C Ratio'!E$11</f>
        <v>94061</v>
      </c>
      <c r="G8" s="171">
        <f t="shared" si="0"/>
        <v>1.5521</v>
      </c>
      <c r="H8" s="63">
        <v>54594.423300000002</v>
      </c>
    </row>
    <row r="9" spans="2:8" x14ac:dyDescent="0.25">
      <c r="B9" s="19" t="s">
        <v>14</v>
      </c>
      <c r="C9" s="34">
        <f>'R|C Ratio'!C$12</f>
        <v>83224</v>
      </c>
      <c r="D9" s="34">
        <f>'R|C Ratio'!F$12</f>
        <v>5731</v>
      </c>
      <c r="E9" s="34">
        <f t="shared" si="1"/>
        <v>77493</v>
      </c>
      <c r="F9" s="34">
        <f>'R|C Ratio'!E$12</f>
        <v>60460</v>
      </c>
      <c r="G9" s="67">
        <f t="shared" si="0"/>
        <v>0.91390000000000005</v>
      </c>
      <c r="H9" s="63">
        <v>70327.4136</v>
      </c>
    </row>
    <row r="10" spans="2:8" x14ac:dyDescent="0.25">
      <c r="B10" s="19" t="s">
        <v>15</v>
      </c>
      <c r="C10" s="34">
        <f>'R|C Ratio'!C$13</f>
        <v>508745</v>
      </c>
      <c r="D10" s="34">
        <f>'R|C Ratio'!F$13</f>
        <v>37349</v>
      </c>
      <c r="E10" s="34">
        <f t="shared" si="1"/>
        <v>471396</v>
      </c>
      <c r="F10" s="34">
        <f>'R|C Ratio'!E$13</f>
        <v>451374</v>
      </c>
      <c r="G10" s="62">
        <f t="shared" si="0"/>
        <v>0.96064433065681232</v>
      </c>
      <c r="H10" s="63">
        <v>451374</v>
      </c>
    </row>
    <row r="11" spans="2:8" x14ac:dyDescent="0.25">
      <c r="B11" s="19"/>
      <c r="C11" s="35"/>
      <c r="D11" s="35"/>
      <c r="E11" s="35"/>
      <c r="F11" s="35"/>
      <c r="G11" s="35"/>
      <c r="H11" s="57"/>
    </row>
    <row r="12" spans="2:8" ht="15.75" thickBot="1" x14ac:dyDescent="0.3">
      <c r="B12" s="22" t="s">
        <v>27</v>
      </c>
      <c r="C12" s="58">
        <f>SUM(C5:C10)</f>
        <v>19116266</v>
      </c>
      <c r="D12" s="58">
        <f>SUM(D5:D10)</f>
        <v>1403185</v>
      </c>
      <c r="E12" s="58">
        <f>SUM(E5:E10)</f>
        <v>17713081</v>
      </c>
      <c r="F12" s="58">
        <f>SUM(F5:F10)</f>
        <v>17713081</v>
      </c>
      <c r="G12" s="23"/>
      <c r="H12" s="64">
        <f>F12</f>
        <v>17713081</v>
      </c>
    </row>
    <row r="14" spans="2:8" x14ac:dyDescent="0.25">
      <c r="B14" s="65" t="s">
        <v>53</v>
      </c>
      <c r="C14" s="161" t="str">
        <f>IF((H5+H6+H7+H8+H9+H10)-F12&lt;1,"YES","NO")</f>
        <v>YES</v>
      </c>
    </row>
  </sheetData>
  <mergeCells count="1">
    <mergeCell ref="B2:H2"/>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28"/>
  <sheetViews>
    <sheetView workbookViewId="0">
      <selection activeCell="C5" sqref="C5"/>
    </sheetView>
  </sheetViews>
  <sheetFormatPr defaultRowHeight="14.25" x14ac:dyDescent="0.2"/>
  <cols>
    <col min="1" max="1" width="2.7109375" style="3" customWidth="1"/>
    <col min="2" max="2" width="21.85546875" style="3" customWidth="1"/>
    <col min="3" max="3" width="14" style="3" bestFit="1" customWidth="1"/>
    <col min="4" max="7" width="14.42578125" style="3" bestFit="1" customWidth="1"/>
    <col min="8" max="16384" width="9.140625" style="3"/>
  </cols>
  <sheetData>
    <row r="1" spans="2:7" ht="15" thickBot="1" x14ac:dyDescent="0.25"/>
    <row r="2" spans="2:7" ht="15" x14ac:dyDescent="0.25">
      <c r="B2" s="196" t="s">
        <v>154</v>
      </c>
      <c r="C2" s="197"/>
      <c r="D2" s="197"/>
      <c r="E2" s="197"/>
      <c r="F2" s="197"/>
      <c r="G2" s="198"/>
    </row>
    <row r="3" spans="2:7" x14ac:dyDescent="0.2">
      <c r="B3" s="20"/>
      <c r="C3" s="21"/>
      <c r="D3" s="21"/>
      <c r="E3" s="21"/>
      <c r="F3" s="21"/>
      <c r="G3" s="11"/>
    </row>
    <row r="4" spans="2:7" ht="57" x14ac:dyDescent="0.2">
      <c r="B4" s="160" t="s">
        <v>21</v>
      </c>
      <c r="C4" s="32" t="s">
        <v>86</v>
      </c>
      <c r="D4" s="32" t="s">
        <v>87</v>
      </c>
      <c r="E4" s="32" t="s">
        <v>88</v>
      </c>
      <c r="F4" s="32" t="s">
        <v>31</v>
      </c>
      <c r="G4" s="33" t="s">
        <v>23</v>
      </c>
    </row>
    <row r="5" spans="2:7" x14ac:dyDescent="0.2">
      <c r="B5" s="19" t="s">
        <v>8</v>
      </c>
      <c r="C5" s="34">
        <f>'2015 R|C Ratio Adj.'!H5</f>
        <v>10042214.1631</v>
      </c>
      <c r="D5" s="34">
        <f>C5*'Existing F_V Ratios'!F74</f>
        <v>5999954.4906227672</v>
      </c>
      <c r="E5" s="34">
        <f>C5*'Existing F_V Ratios'!G74</f>
        <v>4042259.6724772332</v>
      </c>
      <c r="F5" s="90">
        <f>D5/'Existing Rates &amp; Forecast Vols'!F35/12</f>
        <v>19.46343600575722</v>
      </c>
      <c r="G5" s="91">
        <f>E5/'Existing Rates &amp; Forecast Vols'!G35</f>
        <v>1.9407071642374752E-2</v>
      </c>
    </row>
    <row r="6" spans="2:7" x14ac:dyDescent="0.2">
      <c r="B6" s="19" t="s">
        <v>10</v>
      </c>
      <c r="C6" s="34">
        <f>'2015 R|C Ratio Adj.'!H6</f>
        <v>2446814</v>
      </c>
      <c r="D6" s="34">
        <f>C6*'Existing F_V Ratios'!F75</f>
        <v>828258.02009730285</v>
      </c>
      <c r="E6" s="34">
        <f>C6*'Existing F_V Ratios'!G75</f>
        <v>1618555.979902697</v>
      </c>
      <c r="F6" s="90">
        <f>D6/'Existing Rates &amp; Forecast Vols'!F36/12</f>
        <v>27.378620259728379</v>
      </c>
      <c r="G6" s="91">
        <f>E6/'Existing Rates &amp; Forecast Vols'!G36</f>
        <v>2.2338898223506865E-2</v>
      </c>
    </row>
    <row r="7" spans="2:7" x14ac:dyDescent="0.2">
      <c r="B7" s="19" t="s">
        <v>11</v>
      </c>
      <c r="C7" s="34">
        <f>'2015 R|C Ratio Adj.'!H7</f>
        <v>4647757</v>
      </c>
      <c r="D7" s="34">
        <f>C7*'Existing F_V Ratios'!F76</f>
        <v>859161.41084480553</v>
      </c>
      <c r="E7" s="34">
        <f>C7*'Existing F_V Ratios'!G76</f>
        <v>3788595.5891551943</v>
      </c>
      <c r="F7" s="90">
        <f>D7/'Existing Rates &amp; Forecast Vols'!F37/12</f>
        <v>314.02098349590847</v>
      </c>
      <c r="G7" s="91">
        <f>E7/'Existing Rates &amp; Forecast Vols'!H37</f>
        <v>5.4798696915312499</v>
      </c>
    </row>
    <row r="8" spans="2:7" x14ac:dyDescent="0.2">
      <c r="B8" s="19" t="s">
        <v>13</v>
      </c>
      <c r="C8" s="34">
        <f>'2015 R|C Ratio Adj.'!H8</f>
        <v>54594.423300000002</v>
      </c>
      <c r="D8" s="34">
        <f>C8*'Existing F_V Ratios'!F77</f>
        <v>19283.356568283758</v>
      </c>
      <c r="E8" s="34">
        <f>C8*'Existing F_V Ratios'!G77</f>
        <v>35311.066731716244</v>
      </c>
      <c r="F8" s="90">
        <f>D8/'Existing Rates &amp; Forecast Vols'!F38/12</f>
        <v>41.203753351033669</v>
      </c>
      <c r="G8" s="91">
        <f>E8/'Existing Rates &amp; Forecast Vols'!G38</f>
        <v>2.3110410713924695E-2</v>
      </c>
    </row>
    <row r="9" spans="2:7" x14ac:dyDescent="0.2">
      <c r="B9" s="19" t="s">
        <v>14</v>
      </c>
      <c r="C9" s="34">
        <f>'2015 R|C Ratio Adj.'!H9</f>
        <v>70327.4136</v>
      </c>
      <c r="D9" s="34">
        <f>C9*'Existing F_V Ratios'!F78</f>
        <v>57207.266685275121</v>
      </c>
      <c r="E9" s="34">
        <f>C9*'Existing F_V Ratios'!G78</f>
        <v>13120.146914724879</v>
      </c>
      <c r="F9" s="90">
        <f>D9/'Existing Rates &amp; Forecast Vols'!F39/12</f>
        <v>4.9607411277553863</v>
      </c>
      <c r="G9" s="91">
        <f>E9/'Existing Rates &amp; Forecast Vols'!H39</f>
        <v>5.6213140165916364</v>
      </c>
    </row>
    <row r="10" spans="2:7" x14ac:dyDescent="0.2">
      <c r="B10" s="19" t="s">
        <v>15</v>
      </c>
      <c r="C10" s="34">
        <f>'2015 R|C Ratio Adj.'!H10</f>
        <v>451374</v>
      </c>
      <c r="D10" s="34">
        <f>C10*'Existing F_V Ratios'!F79</f>
        <v>328066.94497750018</v>
      </c>
      <c r="E10" s="34">
        <f>C10*'Existing F_V Ratios'!G79</f>
        <v>123307.05502249982</v>
      </c>
      <c r="F10" s="90">
        <f>D10/'Existing Rates &amp; Forecast Vols'!F40/12</f>
        <v>4.7996685536268169</v>
      </c>
      <c r="G10" s="91">
        <f>E10/'Existing Rates &amp; Forecast Vols'!H40</f>
        <v>10.459500807744492</v>
      </c>
    </row>
    <row r="11" spans="2:7" x14ac:dyDescent="0.2">
      <c r="B11" s="20"/>
      <c r="C11" s="21"/>
      <c r="D11" s="21"/>
      <c r="E11" s="21"/>
      <c r="F11" s="21"/>
      <c r="G11" s="11"/>
    </row>
    <row r="12" spans="2:7" ht="15" thickBot="1" x14ac:dyDescent="0.25">
      <c r="B12" s="22" t="s">
        <v>27</v>
      </c>
      <c r="C12" s="58">
        <f>SUM(C5:C10)</f>
        <v>17713081.000000004</v>
      </c>
      <c r="D12" s="58">
        <f>SUM(D5:D10)</f>
        <v>8091931.4897959353</v>
      </c>
      <c r="E12" s="58">
        <f>SUM(E5:E10)</f>
        <v>9621149.5102040637</v>
      </c>
      <c r="F12" s="23"/>
      <c r="G12" s="60"/>
    </row>
    <row r="14" spans="2:7" x14ac:dyDescent="0.2">
      <c r="B14" s="3" t="s">
        <v>89</v>
      </c>
      <c r="D14" s="89">
        <f>'Existing Rates &amp; Forecast Vols'!D42*'Existing Rates &amp; Forecast Vols'!H42</f>
        <v>232633.8</v>
      </c>
      <c r="E14" s="3" t="s">
        <v>90</v>
      </c>
    </row>
    <row r="15" spans="2:7" ht="15" thickBot="1" x14ac:dyDescent="0.25">
      <c r="D15" s="89"/>
    </row>
    <row r="16" spans="2:7" ht="15" x14ac:dyDescent="0.25">
      <c r="B16" s="196" t="s">
        <v>155</v>
      </c>
      <c r="C16" s="197"/>
      <c r="D16" s="197"/>
      <c r="E16" s="197"/>
      <c r="F16" s="197"/>
      <c r="G16" s="198"/>
    </row>
    <row r="17" spans="2:7" x14ac:dyDescent="0.2">
      <c r="B17" s="20"/>
      <c r="C17" s="21"/>
      <c r="D17" s="21"/>
      <c r="E17" s="21"/>
      <c r="F17" s="21"/>
      <c r="G17" s="11"/>
    </row>
    <row r="18" spans="2:7" ht="57" x14ac:dyDescent="0.2">
      <c r="B18" s="160" t="s">
        <v>21</v>
      </c>
      <c r="C18" s="32" t="s">
        <v>92</v>
      </c>
      <c r="D18" s="32" t="s">
        <v>87</v>
      </c>
      <c r="E18" s="32" t="s">
        <v>88</v>
      </c>
      <c r="F18" s="32" t="s">
        <v>31</v>
      </c>
      <c r="G18" s="33" t="s">
        <v>23</v>
      </c>
    </row>
    <row r="19" spans="2:7" x14ac:dyDescent="0.2">
      <c r="B19" s="19" t="s">
        <v>8</v>
      </c>
      <c r="C19" s="34">
        <f>C5</f>
        <v>10042214.1631</v>
      </c>
      <c r="D19" s="34">
        <f>D5</f>
        <v>5999954.4906227672</v>
      </c>
      <c r="E19" s="34">
        <f>E5</f>
        <v>4042259.6724772332</v>
      </c>
      <c r="F19" s="90">
        <f>D19/'Existing Rates &amp; Forecast Vols'!F35/12</f>
        <v>19.46343600575722</v>
      </c>
      <c r="G19" s="91">
        <f>E19/'Existing Rates &amp; Forecast Vols'!G35</f>
        <v>1.9407071642374752E-2</v>
      </c>
    </row>
    <row r="20" spans="2:7" x14ac:dyDescent="0.2">
      <c r="B20" s="19" t="s">
        <v>10</v>
      </c>
      <c r="C20" s="34">
        <f t="shared" ref="C20:E24" si="0">C6</f>
        <v>2446814</v>
      </c>
      <c r="D20" s="34">
        <f t="shared" si="0"/>
        <v>828258.02009730285</v>
      </c>
      <c r="E20" s="34">
        <f t="shared" si="0"/>
        <v>1618555.979902697</v>
      </c>
      <c r="F20" s="90">
        <f>D20/'Existing Rates &amp; Forecast Vols'!F36/12</f>
        <v>27.378620259728379</v>
      </c>
      <c r="G20" s="91">
        <f>E20/'Existing Rates &amp; Forecast Vols'!G36</f>
        <v>2.2338898223506865E-2</v>
      </c>
    </row>
    <row r="21" spans="2:7" x14ac:dyDescent="0.2">
      <c r="B21" s="19" t="s">
        <v>11</v>
      </c>
      <c r="C21" s="34">
        <f>C7+D14</f>
        <v>4880390.8</v>
      </c>
      <c r="D21" s="34">
        <f t="shared" si="0"/>
        <v>859161.41084480553</v>
      </c>
      <c r="E21" s="34">
        <f>E7+D14</f>
        <v>4021229.3891551942</v>
      </c>
      <c r="F21" s="90">
        <f>D21/'Existing Rates &amp; Forecast Vols'!F37/12</f>
        <v>314.02098349590847</v>
      </c>
      <c r="G21" s="91">
        <f>E21/'Existing Rates &amp; Forecast Vols'!H37</f>
        <v>5.8163539849445796</v>
      </c>
    </row>
    <row r="22" spans="2:7" x14ac:dyDescent="0.2">
      <c r="B22" s="19" t="s">
        <v>13</v>
      </c>
      <c r="C22" s="34">
        <f t="shared" si="0"/>
        <v>54594.423300000002</v>
      </c>
      <c r="D22" s="34">
        <f t="shared" si="0"/>
        <v>19283.356568283758</v>
      </c>
      <c r="E22" s="34">
        <f t="shared" si="0"/>
        <v>35311.066731716244</v>
      </c>
      <c r="F22" s="90">
        <f>D22/'Existing Rates &amp; Forecast Vols'!F38/12</f>
        <v>41.203753351033669</v>
      </c>
      <c r="G22" s="91">
        <f>E22/'Existing Rates &amp; Forecast Vols'!G38</f>
        <v>2.3110410713924695E-2</v>
      </c>
    </row>
    <row r="23" spans="2:7" x14ac:dyDescent="0.2">
      <c r="B23" s="19" t="s">
        <v>14</v>
      </c>
      <c r="C23" s="34">
        <f t="shared" si="0"/>
        <v>70327.4136</v>
      </c>
      <c r="D23" s="34">
        <f t="shared" si="0"/>
        <v>57207.266685275121</v>
      </c>
      <c r="E23" s="34">
        <f t="shared" si="0"/>
        <v>13120.146914724879</v>
      </c>
      <c r="F23" s="90">
        <f>D23/'Existing Rates &amp; Forecast Vols'!F39/12</f>
        <v>4.9607411277553863</v>
      </c>
      <c r="G23" s="91">
        <f>E23/'Existing Rates &amp; Forecast Vols'!H39</f>
        <v>5.6213140165916364</v>
      </c>
    </row>
    <row r="24" spans="2:7" x14ac:dyDescent="0.2">
      <c r="B24" s="19" t="s">
        <v>15</v>
      </c>
      <c r="C24" s="34">
        <f t="shared" si="0"/>
        <v>451374</v>
      </c>
      <c r="D24" s="34">
        <f t="shared" si="0"/>
        <v>328066.94497750018</v>
      </c>
      <c r="E24" s="34">
        <f t="shared" si="0"/>
        <v>123307.05502249982</v>
      </c>
      <c r="F24" s="90">
        <f>D24/'Existing Rates &amp; Forecast Vols'!F40/12</f>
        <v>4.7996685536268169</v>
      </c>
      <c r="G24" s="91">
        <f>E24/'Existing Rates &amp; Forecast Vols'!H40</f>
        <v>10.459500807744492</v>
      </c>
    </row>
    <row r="25" spans="2:7" x14ac:dyDescent="0.2">
      <c r="B25" s="20"/>
      <c r="C25" s="21"/>
      <c r="D25" s="21"/>
      <c r="E25" s="21"/>
      <c r="F25" s="21"/>
      <c r="G25" s="11"/>
    </row>
    <row r="26" spans="2:7" ht="15" thickBot="1" x14ac:dyDescent="0.25">
      <c r="B26" s="22" t="s">
        <v>27</v>
      </c>
      <c r="C26" s="58">
        <f>SUM(C19:C24)</f>
        <v>17945714.800000004</v>
      </c>
      <c r="D26" s="58">
        <f>SUM(D19:D24)</f>
        <v>8091931.4897959353</v>
      </c>
      <c r="E26" s="58">
        <f>SUM(E19:E24)</f>
        <v>9853783.3102040645</v>
      </c>
      <c r="F26" s="23"/>
      <c r="G26" s="60"/>
    </row>
    <row r="28" spans="2:7" ht="15" x14ac:dyDescent="0.25">
      <c r="B28" s="65" t="s">
        <v>93</v>
      </c>
      <c r="C28" s="161" t="str">
        <f>IF(C26-(D26+E26)&lt;1,"YES","NO")</f>
        <v>YES</v>
      </c>
    </row>
  </sheetData>
  <mergeCells count="2">
    <mergeCell ref="B2:G2"/>
    <mergeCell ref="B16:G16"/>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Q32"/>
  <sheetViews>
    <sheetView workbookViewId="0">
      <selection activeCell="M15" sqref="M15"/>
    </sheetView>
  </sheetViews>
  <sheetFormatPr defaultRowHeight="14.25" x14ac:dyDescent="0.2"/>
  <cols>
    <col min="1" max="1" width="2.7109375" style="3" customWidth="1"/>
    <col min="2" max="2" width="36.5703125" style="3" bestFit="1" customWidth="1"/>
    <col min="3" max="3" width="1.7109375" style="3" customWidth="1"/>
    <col min="4" max="5" width="9.85546875" style="3" bestFit="1" customWidth="1"/>
    <col min="6" max="6" width="9.85546875" style="3" customWidth="1"/>
    <col min="7" max="7" width="9.85546875" style="3" bestFit="1" customWidth="1"/>
    <col min="8" max="8" width="14.7109375" style="3" customWidth="1"/>
    <col min="9" max="9" width="12.140625" style="3" customWidth="1"/>
    <col min="10" max="10" width="11.5703125" style="3" bestFit="1" customWidth="1"/>
    <col min="11" max="13" width="11.140625" style="3" customWidth="1"/>
    <col min="14" max="14" width="14.5703125" style="3" bestFit="1" customWidth="1"/>
    <col min="15" max="15" width="2.7109375" style="3" customWidth="1"/>
    <col min="16" max="17" width="9.85546875" style="3" bestFit="1" customWidth="1"/>
    <col min="18" max="16384" width="9.140625" style="3"/>
  </cols>
  <sheetData>
    <row r="3" spans="2:17" ht="15" x14ac:dyDescent="0.25">
      <c r="D3" s="224" t="s">
        <v>156</v>
      </c>
      <c r="E3" s="224"/>
      <c r="F3" s="224"/>
      <c r="G3" s="224"/>
      <c r="H3" s="224"/>
      <c r="I3" s="224"/>
      <c r="J3" s="224"/>
      <c r="K3" s="224"/>
      <c r="L3" s="224"/>
      <c r="M3" s="224"/>
      <c r="N3" s="224"/>
      <c r="P3" s="225" t="s">
        <v>160</v>
      </c>
      <c r="Q3" s="225"/>
    </row>
    <row r="4" spans="2:17" ht="57" x14ac:dyDescent="0.2">
      <c r="D4" s="1" t="s">
        <v>119</v>
      </c>
      <c r="E4" s="1" t="s">
        <v>112</v>
      </c>
      <c r="F4" s="1" t="s">
        <v>73</v>
      </c>
      <c r="G4" s="1" t="s">
        <v>159</v>
      </c>
      <c r="H4" s="1" t="s">
        <v>157</v>
      </c>
      <c r="I4" s="1" t="s">
        <v>116</v>
      </c>
      <c r="J4" s="1" t="s">
        <v>117</v>
      </c>
      <c r="K4" s="1" t="s">
        <v>120</v>
      </c>
      <c r="L4" s="1" t="s">
        <v>121</v>
      </c>
      <c r="M4" s="1" t="s">
        <v>158</v>
      </c>
      <c r="N4" s="1" t="s">
        <v>122</v>
      </c>
      <c r="P4" s="167" t="s">
        <v>159</v>
      </c>
      <c r="Q4" s="167" t="s">
        <v>163</v>
      </c>
    </row>
    <row r="5" spans="2:17" ht="15" x14ac:dyDescent="0.25">
      <c r="B5" s="65" t="s">
        <v>21</v>
      </c>
      <c r="P5" s="168"/>
      <c r="Q5" s="168"/>
    </row>
    <row r="6" spans="2:17" x14ac:dyDescent="0.2">
      <c r="B6" s="3" t="s">
        <v>94</v>
      </c>
      <c r="D6" s="96">
        <f>'Existing Rates &amp; Forecast Vols'!D7</f>
        <v>1.52E-2</v>
      </c>
      <c r="E6" s="4">
        <f>'Existing Rates &amp; Forecast Vols'!C7</f>
        <v>18.170000000000002</v>
      </c>
      <c r="F6" s="165">
        <f>'Target MSC Change'!D6</f>
        <v>19.405315643733587</v>
      </c>
      <c r="G6" s="4">
        <f>E6+((F6-E6)/4)+((F6-E6)/4)+((F6-E6)/4)</f>
        <v>19.096486732800191</v>
      </c>
      <c r="H6" s="93">
        <f>H8*'Existing F_V Ratios'!C89</f>
        <v>6749090.6776886443</v>
      </c>
      <c r="I6" s="93">
        <f>G6*'Existing Rates &amp; Forecast Vols'!F7*12</f>
        <v>4018741.053997403</v>
      </c>
      <c r="J6" s="94">
        <f>H6-I6</f>
        <v>2730349.6236912413</v>
      </c>
      <c r="K6" s="96">
        <f>J6/'Existing Rates &amp; Forecast Vols'!G7</f>
        <v>1.8944179461662186E-2</v>
      </c>
      <c r="L6" s="96">
        <f>K8-K6</f>
        <v>1.3112576114464002E-3</v>
      </c>
      <c r="M6" s="96">
        <f>K6+(0.75*L6)</f>
        <v>1.9927622670246985E-2</v>
      </c>
      <c r="N6" s="101">
        <f>M6*'Existing Rates &amp; Forecast Vols'!G7</f>
        <v>2872089.4018597919</v>
      </c>
      <c r="P6" s="169">
        <f>G6</f>
        <v>19.096486732800191</v>
      </c>
      <c r="Q6" s="170">
        <f>M6</f>
        <v>1.9927622670246985E-2</v>
      </c>
    </row>
    <row r="7" spans="2:17" x14ac:dyDescent="0.2">
      <c r="B7" s="3" t="s">
        <v>95</v>
      </c>
      <c r="D7" s="96">
        <f>'Existing Rates &amp; Forecast Vols'!D21</f>
        <v>2.1999999999999999E-2</v>
      </c>
      <c r="E7" s="4">
        <f>'Existing Rates &amp; Forecast Vols'!C21</f>
        <v>15.57</v>
      </c>
      <c r="F7" s="165">
        <f>'Target MSC Change'!D14</f>
        <v>19.405315643733587</v>
      </c>
      <c r="G7" s="4">
        <f>E7+((F7-E7)/4)+((F7-E7)/4)+((F7-E7)/4)</f>
        <v>18.446486732800196</v>
      </c>
      <c r="H7" s="94">
        <f>H8-H6</f>
        <v>3293123.4854113562</v>
      </c>
      <c r="I7" s="93">
        <f>G7*'Existing Rates &amp; Forecast Vols'!F21*12</f>
        <v>1804509.1181494463</v>
      </c>
      <c r="J7" s="94">
        <f>H7-I7</f>
        <v>1488614.3672619099</v>
      </c>
      <c r="K7" s="96">
        <f>J7/'Existing Rates &amp; Forecast Vols'!G21</f>
        <v>2.3200896507620958E-2</v>
      </c>
      <c r="L7" s="96">
        <f>K8-K7</f>
        <v>-2.9454594345123715E-3</v>
      </c>
      <c r="M7" s="96">
        <f>N7/'Existing Rates &amp; Forecast Vols'!G21</f>
        <v>2.0991801931736675E-2</v>
      </c>
      <c r="N7" s="94">
        <f>N8-N6</f>
        <v>1346874.5890933592</v>
      </c>
      <c r="P7" s="169">
        <f>G7</f>
        <v>18.446486732800196</v>
      </c>
      <c r="Q7" s="170">
        <f>M7</f>
        <v>2.0991801931736675E-2</v>
      </c>
    </row>
    <row r="8" spans="2:17" x14ac:dyDescent="0.2">
      <c r="B8" s="3" t="s">
        <v>105</v>
      </c>
      <c r="F8" s="166"/>
      <c r="G8" s="99">
        <f>I8/'Existing Rates &amp; Forecast Vols'!F35/12</f>
        <v>18.890219458869716</v>
      </c>
      <c r="H8" s="100">
        <f>'2015 Rate Design'!C19</f>
        <v>10042214.1631</v>
      </c>
      <c r="I8" s="101">
        <f>I6+I7</f>
        <v>5823250.1721468493</v>
      </c>
      <c r="J8" s="101">
        <f>H8-I8</f>
        <v>4218963.9909531511</v>
      </c>
      <c r="K8" s="102">
        <f>J8/'Existing Rates &amp; Forecast Vols'!G35</f>
        <v>2.0255437073108586E-2</v>
      </c>
      <c r="L8" s="104"/>
      <c r="N8" s="94">
        <f>J8</f>
        <v>4218963.9909531511</v>
      </c>
      <c r="P8" s="168"/>
      <c r="Q8" s="168"/>
    </row>
    <row r="9" spans="2:17" x14ac:dyDescent="0.2">
      <c r="F9" s="166"/>
      <c r="G9" s="4"/>
      <c r="H9" s="87"/>
      <c r="L9" s="105"/>
      <c r="P9" s="168"/>
      <c r="Q9" s="168"/>
    </row>
    <row r="10" spans="2:17" x14ac:dyDescent="0.2">
      <c r="B10" s="3" t="s">
        <v>96</v>
      </c>
      <c r="D10" s="96">
        <f>'Existing Rates &amp; Forecast Vols'!D8</f>
        <v>2.2599999999999999E-2</v>
      </c>
      <c r="E10" s="4">
        <f>'Existing Rates &amp; Forecast Vols'!C8</f>
        <v>20.98</v>
      </c>
      <c r="F10" s="165">
        <f>'Target MSC Change'!D7</f>
        <v>27.378620259728379</v>
      </c>
      <c r="G10" s="4">
        <f>E10+((F10-E10)/4)+((F10-E10)/4)+((F10-E10)/4)</f>
        <v>25.778965194796282</v>
      </c>
      <c r="H10" s="93">
        <f>H12*'Existing F_V Ratios'!C90</f>
        <v>1696338.5150742384</v>
      </c>
      <c r="I10" s="93">
        <f>G10*'Existing Rates &amp; Forecast Vols'!F8*12</f>
        <v>505164.60195722792</v>
      </c>
      <c r="J10" s="94">
        <f>H10-I10</f>
        <v>1191173.9131170106</v>
      </c>
      <c r="K10" s="96">
        <f>J10/'Existing Rates &amp; Forecast Vols'!G8</f>
        <v>2.436148658954871E-2</v>
      </c>
      <c r="L10" s="96">
        <f>K12-K10</f>
        <v>-1.7190531258051249E-3</v>
      </c>
      <c r="M10" s="96">
        <f>N10/'Existing Rates &amp; Forecast Vols'!G8</f>
        <v>2.307219674519486E-2</v>
      </c>
      <c r="N10" s="107">
        <f>N12-N11</f>
        <v>1128133.0792419608</v>
      </c>
      <c r="P10" s="169">
        <f>G10</f>
        <v>25.778965194796282</v>
      </c>
      <c r="Q10" s="170">
        <f>M10</f>
        <v>2.307219674519486E-2</v>
      </c>
    </row>
    <row r="11" spans="2:17" x14ac:dyDescent="0.2">
      <c r="B11" s="3" t="s">
        <v>97</v>
      </c>
      <c r="D11" s="96">
        <f>'Existing Rates &amp; Forecast Vols'!D22</f>
        <v>1.4500000000000001E-2</v>
      </c>
      <c r="E11" s="4">
        <f>'Existing Rates &amp; Forecast Vols'!C22</f>
        <v>30.89</v>
      </c>
      <c r="F11" s="165">
        <f>'Target MSC Change'!D15</f>
        <v>27.378620259728379</v>
      </c>
      <c r="G11" s="4">
        <f>E11+((F11-E11)/4)+((F11-E11)/4)+((F11-E11)/4)</f>
        <v>28.256465194796284</v>
      </c>
      <c r="H11" s="94">
        <f>H12-H10</f>
        <v>750475.48492576159</v>
      </c>
      <c r="I11" s="93">
        <f>G11*'Existing Rates &amp; Forecast Vols'!F22*12</f>
        <v>301100.89311574923</v>
      </c>
      <c r="J11" s="94">
        <f>H11-I11</f>
        <v>449374.59181001235</v>
      </c>
      <c r="K11" s="96">
        <f>J11/'Existing Rates &amp; Forecast Vols'!G22</f>
        <v>1.9074578978719368E-2</v>
      </c>
      <c r="L11" s="96">
        <f>K12-K11</f>
        <v>3.5678544850242175E-3</v>
      </c>
      <c r="M11" s="96">
        <f>K11+(0.75*L11)</f>
        <v>2.1750469842487533E-2</v>
      </c>
      <c r="N11" s="101">
        <f>M11*'Existing Rates &amp; Forecast Vols'!G22</f>
        <v>512415.42568506196</v>
      </c>
      <c r="P11" s="169">
        <f>G11</f>
        <v>28.256465194796284</v>
      </c>
      <c r="Q11" s="170">
        <f>M11</f>
        <v>2.1750469842487533E-2</v>
      </c>
    </row>
    <row r="12" spans="2:17" x14ac:dyDescent="0.2">
      <c r="B12" s="3" t="s">
        <v>106</v>
      </c>
      <c r="F12" s="166"/>
      <c r="G12" s="99">
        <f>I12/'Existing Rates &amp; Forecast Vols'!F36/12</f>
        <v>26.651642703721311</v>
      </c>
      <c r="H12" s="100">
        <f>'2015 Rate Design'!C20</f>
        <v>2446814</v>
      </c>
      <c r="I12" s="101">
        <f>I10+I11</f>
        <v>806265.49507297715</v>
      </c>
      <c r="J12" s="101">
        <f>H12-I12</f>
        <v>1640548.5049270228</v>
      </c>
      <c r="K12" s="102">
        <f>J12/'Existing Rates &amp; Forecast Vols'!G36</f>
        <v>2.2642433463743585E-2</v>
      </c>
      <c r="L12" s="104"/>
      <c r="N12" s="94">
        <f>J12</f>
        <v>1640548.5049270228</v>
      </c>
      <c r="P12" s="168"/>
      <c r="Q12" s="168"/>
    </row>
    <row r="13" spans="2:17" x14ac:dyDescent="0.2">
      <c r="F13" s="166"/>
      <c r="G13" s="4"/>
      <c r="L13" s="105"/>
      <c r="P13" s="168"/>
      <c r="Q13" s="168"/>
    </row>
    <row r="14" spans="2:17" x14ac:dyDescent="0.2">
      <c r="B14" s="3" t="s">
        <v>98</v>
      </c>
      <c r="D14" s="3">
        <f>'Existing Rates &amp; Forecast Vols'!D9</f>
        <v>7.2561</v>
      </c>
      <c r="E14" s="4">
        <f>'Existing Rates &amp; Forecast Vols'!C9</f>
        <v>133.68</v>
      </c>
      <c r="F14" s="165">
        <f>'Target MSC Change'!D8</f>
        <v>145.84</v>
      </c>
      <c r="G14" s="4">
        <f>E14+((F14-E14)/3)+((F14-E14)/3)+((F14-E14)/3)</f>
        <v>145.84000000000003</v>
      </c>
      <c r="H14" s="93">
        <f>H16*'Existing F_V Ratios'!C91</f>
        <v>3331111.4920349168</v>
      </c>
      <c r="I14" s="94">
        <f>G14*'Existing Rates &amp; Forecast Vols'!F9*12</f>
        <v>260761.92000000004</v>
      </c>
      <c r="J14" s="94">
        <f>H14-I14</f>
        <v>3070349.5720349168</v>
      </c>
      <c r="K14" s="96">
        <f>J14/'Existing Rates &amp; Forecast Vols'!H9</f>
        <v>8.0862085847188503</v>
      </c>
      <c r="L14" s="96">
        <f>K16-K14</f>
        <v>-1.6042980481868261</v>
      </c>
      <c r="M14" s="96">
        <f>K16</f>
        <v>6.4819105365320242</v>
      </c>
      <c r="N14" s="94">
        <f>N16-N15</f>
        <v>2461194.3945422829</v>
      </c>
      <c r="P14" s="169">
        <f>G14</f>
        <v>145.84000000000003</v>
      </c>
      <c r="Q14" s="170">
        <f>M14</f>
        <v>6.4819105365320242</v>
      </c>
    </row>
    <row r="15" spans="2:17" x14ac:dyDescent="0.2">
      <c r="B15" s="3" t="s">
        <v>108</v>
      </c>
      <c r="D15" s="3">
        <f>'Existing Rates &amp; Forecast Vols'!D23</f>
        <v>2.7711999999999999</v>
      </c>
      <c r="E15" s="4">
        <f>'Existing Rates &amp; Forecast Vols'!C23</f>
        <v>557.9</v>
      </c>
      <c r="F15" s="165">
        <f>'Target MSC Change'!D16</f>
        <v>145.84</v>
      </c>
      <c r="G15" s="4">
        <f>E15+((F15-E15)/3)+((F15-E15)/3)+((F15-E15)/3)</f>
        <v>145.83999999999995</v>
      </c>
      <c r="H15" s="94">
        <f>H16-H14</f>
        <v>1549279.307965083</v>
      </c>
      <c r="I15" s="94">
        <f>G15*'Existing Rates &amp; Forecast Vols'!F23*12</f>
        <v>138256.31999999995</v>
      </c>
      <c r="J15" s="94">
        <f>H15-I15</f>
        <v>1411022.9879650832</v>
      </c>
      <c r="K15" s="96">
        <f>J15/'Existing Rates &amp; Forecast Vols'!H23</f>
        <v>4.527385222435325</v>
      </c>
      <c r="L15" s="96">
        <f>K16-K15</f>
        <v>1.9545253140966992</v>
      </c>
      <c r="M15" s="96">
        <f>K16</f>
        <v>6.4819105365320242</v>
      </c>
      <c r="N15" s="101">
        <f>M15*'Existing Rates &amp; Forecast Vols'!H23</f>
        <v>2020178.1654577167</v>
      </c>
      <c r="P15" s="169">
        <f>G15</f>
        <v>145.83999999999995</v>
      </c>
      <c r="Q15" s="170">
        <f>M15</f>
        <v>6.4819105365320242</v>
      </c>
    </row>
    <row r="16" spans="2:17" x14ac:dyDescent="0.2">
      <c r="B16" s="3" t="s">
        <v>107</v>
      </c>
      <c r="F16" s="166"/>
      <c r="G16" s="99">
        <f>I16/'Existing Rates &amp; Forecast Vols'!F37/12</f>
        <v>145.84</v>
      </c>
      <c r="H16" s="100">
        <f>'2015 Rate Design'!C21</f>
        <v>4880390.8</v>
      </c>
      <c r="I16" s="101">
        <f>I14+I15</f>
        <v>399018.23999999999</v>
      </c>
      <c r="J16" s="101">
        <f>H16-I16</f>
        <v>4481372.5599999996</v>
      </c>
      <c r="K16" s="102">
        <f>J16/'Existing Rates &amp; Forecast Vols'!H37</f>
        <v>6.4819105365320242</v>
      </c>
      <c r="L16" s="104"/>
      <c r="N16" s="94">
        <f>J16</f>
        <v>4481372.5599999996</v>
      </c>
      <c r="P16" s="168"/>
      <c r="Q16" s="168"/>
    </row>
    <row r="17" spans="2:17" x14ac:dyDescent="0.2">
      <c r="F17" s="166"/>
      <c r="G17" s="4"/>
      <c r="L17" s="105"/>
      <c r="P17" s="168"/>
      <c r="Q17" s="168"/>
    </row>
    <row r="18" spans="2:17" x14ac:dyDescent="0.2">
      <c r="B18" s="3" t="s">
        <v>99</v>
      </c>
      <c r="D18" s="96">
        <f>'Existing Rates &amp; Forecast Vols'!D10</f>
        <v>4.1300000000000003E-2</v>
      </c>
      <c r="E18" s="4">
        <f>'Existing Rates &amp; Forecast Vols'!C10</f>
        <v>70.069999999999993</v>
      </c>
      <c r="F18" s="165">
        <v>32</v>
      </c>
      <c r="G18" s="4">
        <f>E18+((F18-E18)/4)+((F18-E18)/4)+((F18-E18)/4)</f>
        <v>41.517499999999998</v>
      </c>
      <c r="H18" s="93">
        <f>H20*'Existing F_V Ratios'!C92</f>
        <v>39025.066737952468</v>
      </c>
      <c r="I18" s="93">
        <f>G18*'Existing Rates &amp; Forecast Vols'!F10*12</f>
        <v>12455.25</v>
      </c>
      <c r="J18" s="94">
        <f>H18-I18</f>
        <v>26569.816737952468</v>
      </c>
      <c r="K18" s="96">
        <f>J18/'Existing Rates &amp; Forecast Vols'!G10</f>
        <v>2.808310281631227E-2</v>
      </c>
      <c r="L18" s="96">
        <f>K20-K18</f>
        <v>-4.5619095540598981E-3</v>
      </c>
      <c r="M18" s="96">
        <f>N18/'Existing Rates &amp; Forecast Vols'!G10</f>
        <v>2.4638861102997046E-2</v>
      </c>
      <c r="N18" s="94">
        <f>N20-N19</f>
        <v>23311.171433600946</v>
      </c>
      <c r="P18" s="169">
        <f>G18</f>
        <v>41.517499999999998</v>
      </c>
      <c r="Q18" s="170">
        <f>M18</f>
        <v>2.4638861102997046E-2</v>
      </c>
    </row>
    <row r="19" spans="2:17" x14ac:dyDescent="0.2">
      <c r="B19" s="3" t="s">
        <v>102</v>
      </c>
      <c r="D19" s="96">
        <f>'Existing Rates &amp; Forecast Vols'!D24</f>
        <v>2.63E-2</v>
      </c>
      <c r="E19" s="4">
        <f>'Existing Rates &amp; Forecast Vols'!C24</f>
        <v>51.63</v>
      </c>
      <c r="F19" s="165">
        <v>32</v>
      </c>
      <c r="G19" s="4">
        <f>E19+((F19-E19)/4)+((F19-E19)/4)+((F19-E19)/4)</f>
        <v>36.907500000000006</v>
      </c>
      <c r="H19" s="94">
        <f>H20-H18</f>
        <v>15569.356562047535</v>
      </c>
      <c r="I19" s="93">
        <f>G19*'Existing Rates &amp; Forecast Vols'!F24*12</f>
        <v>6200.4600000000009</v>
      </c>
      <c r="J19" s="94">
        <f>H19-I19</f>
        <v>9368.8965620475337</v>
      </c>
      <c r="K19" s="96">
        <f>J19/'Existing Rates &amp; Forecast Vols'!G24</f>
        <v>1.6102879028638887E-2</v>
      </c>
      <c r="L19" s="96">
        <f>K20-K19</f>
        <v>7.418314233613485E-3</v>
      </c>
      <c r="M19" s="96">
        <f>K19+(0.755*L19)</f>
        <v>2.1703706275017068E-2</v>
      </c>
      <c r="N19" s="101">
        <f>M19*'Existing Rates &amp; Forecast Vols'!G24</f>
        <v>12627.541866399055</v>
      </c>
      <c r="P19" s="169">
        <f>G19</f>
        <v>36.907500000000006</v>
      </c>
      <c r="Q19" s="170">
        <f>M19</f>
        <v>2.1703706275017068E-2</v>
      </c>
    </row>
    <row r="20" spans="2:17" x14ac:dyDescent="0.2">
      <c r="B20" s="3" t="s">
        <v>109</v>
      </c>
      <c r="F20" s="166"/>
      <c r="G20" s="99">
        <f>I20/'Existing Rates &amp; Forecast Vols'!F38/12</f>
        <v>39.862628205128203</v>
      </c>
      <c r="H20" s="100">
        <f>'2015 Rate Design'!C22</f>
        <v>54594.423300000002</v>
      </c>
      <c r="I20" s="101">
        <f>I18+I19</f>
        <v>18655.71</v>
      </c>
      <c r="J20" s="101">
        <f>H20-I20</f>
        <v>35938.713300000003</v>
      </c>
      <c r="K20" s="102">
        <f>J20/'Existing Rates &amp; Forecast Vols'!G38</f>
        <v>2.3521193262252372E-2</v>
      </c>
      <c r="L20" s="104"/>
      <c r="N20" s="94">
        <f>J20</f>
        <v>35938.713300000003</v>
      </c>
      <c r="P20" s="168"/>
      <c r="Q20" s="168"/>
    </row>
    <row r="21" spans="2:17" x14ac:dyDescent="0.2">
      <c r="F21" s="166"/>
      <c r="G21" s="4"/>
      <c r="L21" s="105"/>
      <c r="P21" s="168"/>
      <c r="Q21" s="168"/>
    </row>
    <row r="22" spans="2:17" x14ac:dyDescent="0.2">
      <c r="B22" s="3" t="s">
        <v>100</v>
      </c>
      <c r="D22" s="96">
        <f>'Existing Rates &amp; Forecast Vols'!D11</f>
        <v>4.2721999999999998</v>
      </c>
      <c r="E22" s="4">
        <f>'Existing Rates &amp; Forecast Vols'!C11</f>
        <v>3.79</v>
      </c>
      <c r="F22" s="165">
        <f>'Target MSC Change'!D10</f>
        <v>4.9460650328130766</v>
      </c>
      <c r="G22" s="4">
        <v>5.05</v>
      </c>
      <c r="H22" s="93">
        <f>H24*'Existing F_V Ratios'!C93</f>
        <v>67208.539199851788</v>
      </c>
      <c r="I22" s="94">
        <f>G22*'Existing Rates &amp; Forecast Vols'!F11*12</f>
        <v>55752</v>
      </c>
      <c r="J22" s="94">
        <f>H22-I22</f>
        <v>11456.539199851788</v>
      </c>
      <c r="K22" s="95">
        <f>J22/'Existing Rates &amp; Forecast Vols'!H11</f>
        <v>4.9941321708159494</v>
      </c>
      <c r="L22" s="96">
        <f>K24-K22</f>
        <v>0.18616500142055514</v>
      </c>
      <c r="M22" s="173">
        <f>K24</f>
        <v>5.1802971722365045</v>
      </c>
      <c r="N22" s="101">
        <f>M22*'Existing Rates &amp; Forecast Vols'!H11</f>
        <v>11883.601713110542</v>
      </c>
      <c r="P22" s="169">
        <f>G22</f>
        <v>5.05</v>
      </c>
      <c r="Q22" s="170">
        <f>M22</f>
        <v>5.1802971722365045</v>
      </c>
    </row>
    <row r="23" spans="2:17" x14ac:dyDescent="0.2">
      <c r="B23" s="3" t="s">
        <v>103</v>
      </c>
      <c r="D23" s="96">
        <f>'Existing Rates &amp; Forecast Vols'!D25</f>
        <v>7.0224000000000002</v>
      </c>
      <c r="E23" s="4">
        <f>'Existing Rates &amp; Forecast Vols'!C25</f>
        <v>4.3</v>
      </c>
      <c r="F23" s="165">
        <f>'Target MSC Change'!D18</f>
        <v>4.9460650328130766</v>
      </c>
      <c r="G23" s="4">
        <v>5.05</v>
      </c>
      <c r="H23" s="94">
        <f>H24-H22</f>
        <v>3118.8744001482119</v>
      </c>
      <c r="I23" s="94">
        <f>G23*'Existing Rates &amp; Forecast Vols'!F25*12</f>
        <v>2484.6</v>
      </c>
      <c r="J23" s="94">
        <f>H23-I23</f>
        <v>634.27440014821195</v>
      </c>
      <c r="K23" s="95">
        <f>J23/'Existing Rates &amp; Forecast Vols'!H25</f>
        <v>15.856860003705298</v>
      </c>
      <c r="L23" s="96">
        <f>K24-K23</f>
        <v>-10.676562831468793</v>
      </c>
      <c r="M23" s="173">
        <f>N23/'Existing Rates &amp; Forecast Vols'!H25</f>
        <v>5.1802971722364877</v>
      </c>
      <c r="N23" s="94">
        <f>N24-N22</f>
        <v>207.21188688945949</v>
      </c>
      <c r="P23" s="169">
        <f>G23</f>
        <v>5.05</v>
      </c>
      <c r="Q23" s="170">
        <f>M23</f>
        <v>5.1802971722364877</v>
      </c>
    </row>
    <row r="24" spans="2:17" x14ac:dyDescent="0.2">
      <c r="B24" s="3" t="s">
        <v>110</v>
      </c>
      <c r="F24" s="166"/>
      <c r="G24" s="99">
        <f>I24/'Existing Rates &amp; Forecast Vols'!F39/12</f>
        <v>5.05</v>
      </c>
      <c r="H24" s="100">
        <f>'2015 Rate Design'!C23</f>
        <v>70327.4136</v>
      </c>
      <c r="I24" s="101">
        <f>I22+I23</f>
        <v>58236.6</v>
      </c>
      <c r="J24" s="101">
        <f>H24-I24</f>
        <v>12090.813600000001</v>
      </c>
      <c r="K24" s="102">
        <f>J24/'Existing Rates &amp; Forecast Vols'!H39</f>
        <v>5.1802971722365045</v>
      </c>
      <c r="L24" s="106"/>
      <c r="N24" s="94">
        <f>J24</f>
        <v>12090.813600000001</v>
      </c>
      <c r="P24" s="168"/>
      <c r="Q24" s="168"/>
    </row>
    <row r="25" spans="2:17" x14ac:dyDescent="0.2">
      <c r="F25" s="166"/>
      <c r="G25" s="4"/>
      <c r="I25" s="94"/>
      <c r="L25" s="105"/>
      <c r="P25" s="168"/>
      <c r="Q25" s="168"/>
    </row>
    <row r="26" spans="2:17" x14ac:dyDescent="0.2">
      <c r="B26" s="3" t="s">
        <v>101</v>
      </c>
      <c r="D26" s="104">
        <f>'Existing Rates &amp; Forecast Vols'!D12</f>
        <v>9.6593999999999998</v>
      </c>
      <c r="E26" s="163">
        <f>'Existing Rates &amp; Forecast Vols'!C12</f>
        <v>4.95</v>
      </c>
      <c r="F26" s="165">
        <f>'Target MSC Change'!D11</f>
        <v>4.7996685536268169</v>
      </c>
      <c r="G26" s="175">
        <f>'2014 Area Rate Design'!G26-('2014 Area Rate Design'!G26-'2014 Area Rate Design'!F26)*0.67</f>
        <v>4.961144836419928</v>
      </c>
      <c r="H26" s="164">
        <f>H28*'Existing F_V Ratios'!C94</f>
        <v>310468.01913668768</v>
      </c>
      <c r="I26" s="107">
        <f>G26*'Existing Rates &amp; Forecast Vols'!F12*12</f>
        <v>220036.69578489667</v>
      </c>
      <c r="J26" s="107">
        <f>H26-I26</f>
        <v>90431.323351791012</v>
      </c>
      <c r="K26" s="106">
        <f>J26/'Existing Rates &amp; Forecast Vols'!H12</f>
        <v>11.790263800755021</v>
      </c>
      <c r="L26" s="104">
        <f>K28-K26</f>
        <v>-1.4027740950102512</v>
      </c>
      <c r="M26" s="104">
        <f>N26/'Existing Rates &amp; Forecast Vols'!H12</f>
        <v>10.38748970574477</v>
      </c>
      <c r="N26" s="107">
        <f>N28-N27</f>
        <v>79672.046043062379</v>
      </c>
      <c r="P26" s="169">
        <f>G26</f>
        <v>4.961144836419928</v>
      </c>
      <c r="Q26" s="170">
        <f>M26</f>
        <v>10.38748970574477</v>
      </c>
    </row>
    <row r="27" spans="2:17" x14ac:dyDescent="0.2">
      <c r="B27" s="3" t="s">
        <v>104</v>
      </c>
      <c r="D27" s="104">
        <f>'Existing Rates &amp; Forecast Vols'!D26</f>
        <v>8.7698</v>
      </c>
      <c r="E27" s="163">
        <f>'Existing Rates &amp; Forecast Vols'!C26</f>
        <v>3.07</v>
      </c>
      <c r="F27" s="165">
        <f>'Target MSC Change'!D19</f>
        <v>4.7996685536268169</v>
      </c>
      <c r="G27" s="175">
        <f>'2014 Area Rate Design'!G27+('2014 Area Rate Design'!F27-'2014 Area Rate Design'!G27)*0.67</f>
        <v>4.536632836419928</v>
      </c>
      <c r="H27" s="107">
        <f>H28-H26</f>
        <v>140905.98086331232</v>
      </c>
      <c r="I27" s="107">
        <f>G27*'Existing Rates &amp; Forecast Vols'!F26*12</f>
        <v>108879.18807407827</v>
      </c>
      <c r="J27" s="107">
        <f>H27-I27</f>
        <v>32026.792789234052</v>
      </c>
      <c r="K27" s="106">
        <f>J27/'Existing Rates &amp; Forecast Vols'!H26</f>
        <v>7.7753806237518939</v>
      </c>
      <c r="L27" s="104">
        <f>K28-K27</f>
        <v>2.6121090819928758</v>
      </c>
      <c r="M27" s="104">
        <f>K28</f>
        <v>10.38748970574477</v>
      </c>
      <c r="N27" s="101">
        <f>M27*'Existing Rates &amp; Forecast Vols'!H26</f>
        <v>42786.070097962707</v>
      </c>
      <c r="P27" s="169">
        <f>G27</f>
        <v>4.536632836419928</v>
      </c>
      <c r="Q27" s="170">
        <f>M27</f>
        <v>10.38748970574477</v>
      </c>
    </row>
    <row r="28" spans="2:17" x14ac:dyDescent="0.2">
      <c r="B28" s="3" t="s">
        <v>111</v>
      </c>
      <c r="G28" s="103">
        <f>I28/'Existing Rates &amp; Forecast Vols'!F40/12</f>
        <v>4.8120886566446464</v>
      </c>
      <c r="H28" s="100">
        <f>'2015 Rate Design'!C24</f>
        <v>451374</v>
      </c>
      <c r="I28" s="101">
        <f>I26+I27</f>
        <v>328915.88385897491</v>
      </c>
      <c r="J28" s="101">
        <f>H28-I28</f>
        <v>122458.11614102509</v>
      </c>
      <c r="K28" s="102">
        <f>J28/'Existing Rates &amp; Forecast Vols'!H40</f>
        <v>10.38748970574477</v>
      </c>
      <c r="L28" s="106"/>
      <c r="N28" s="94">
        <f>J28</f>
        <v>122458.11614102509</v>
      </c>
    </row>
    <row r="30" spans="2:17" x14ac:dyDescent="0.2">
      <c r="B30" s="3" t="s">
        <v>178</v>
      </c>
      <c r="H30" s="94">
        <f>H8+H12+H16+H20+H24+H28</f>
        <v>17945714.800000004</v>
      </c>
    </row>
    <row r="32" spans="2:17" ht="15" x14ac:dyDescent="0.25">
      <c r="F32" s="223" t="s">
        <v>53</v>
      </c>
      <c r="G32" s="223"/>
      <c r="H32" s="161" t="str">
        <f>IF('2013 Rate Design'!C26-'2015 Area Rate Design'!H30&lt;1,"YES","NO")</f>
        <v>YES</v>
      </c>
    </row>
  </sheetData>
  <mergeCells count="3">
    <mergeCell ref="D3:N3"/>
    <mergeCell ref="P3:Q3"/>
    <mergeCell ref="F32:G32"/>
  </mergeCells>
  <pageMargins left="0.25" right="0.25" top="0.75" bottom="0.75" header="0.3" footer="0.3"/>
  <pageSetup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H42"/>
  <sheetViews>
    <sheetView workbookViewId="0">
      <selection activeCell="H42" sqref="H42"/>
    </sheetView>
  </sheetViews>
  <sheetFormatPr defaultRowHeight="15" x14ac:dyDescent="0.25"/>
  <cols>
    <col min="1" max="1" width="2.7109375" customWidth="1"/>
    <col min="2" max="2" width="23.42578125" customWidth="1"/>
    <col min="3" max="3" width="12.5703125" customWidth="1"/>
    <col min="4" max="4" width="11.28515625" customWidth="1"/>
    <col min="5" max="5" width="6.42578125" customWidth="1"/>
    <col min="6" max="6" width="12.7109375" customWidth="1"/>
    <col min="7" max="7" width="14" bestFit="1" customWidth="1"/>
    <col min="8" max="8" width="9.85546875" bestFit="1" customWidth="1"/>
  </cols>
  <sheetData>
    <row r="2" spans="2:8" ht="30" x14ac:dyDescent="0.25">
      <c r="B2" s="61" t="s">
        <v>0</v>
      </c>
      <c r="C2" s="1"/>
      <c r="D2" s="2"/>
      <c r="E2" s="1"/>
      <c r="F2" s="1"/>
      <c r="G2" s="1"/>
      <c r="H2" s="3"/>
    </row>
    <row r="3" spans="2:8" ht="15.75" thickBot="1" x14ac:dyDescent="0.3">
      <c r="B3" s="4"/>
      <c r="C3" s="5"/>
      <c r="D3" s="2"/>
      <c r="E3" s="6"/>
      <c r="F3" s="6"/>
      <c r="G3" s="2"/>
      <c r="H3" s="3"/>
    </row>
    <row r="4" spans="2:8" x14ac:dyDescent="0.25">
      <c r="B4" s="189" t="s">
        <v>1</v>
      </c>
      <c r="C4" s="190"/>
      <c r="D4" s="190"/>
      <c r="E4" s="190"/>
      <c r="F4" s="190"/>
      <c r="G4" s="190"/>
      <c r="H4" s="191"/>
    </row>
    <row r="5" spans="2:8" x14ac:dyDescent="0.25">
      <c r="B5" s="7"/>
      <c r="C5" s="8"/>
      <c r="D5" s="9"/>
      <c r="E5" s="10"/>
      <c r="F5" s="10"/>
      <c r="G5" s="10"/>
      <c r="H5" s="11"/>
    </row>
    <row r="6" spans="2:8" ht="57.75" x14ac:dyDescent="0.25">
      <c r="B6" s="12"/>
      <c r="C6" s="13" t="s">
        <v>2</v>
      </c>
      <c r="D6" s="13" t="s">
        <v>3</v>
      </c>
      <c r="E6" s="14" t="s">
        <v>4</v>
      </c>
      <c r="F6" s="13" t="s">
        <v>5</v>
      </c>
      <c r="G6" s="13" t="s">
        <v>6</v>
      </c>
      <c r="H6" s="15" t="s">
        <v>7</v>
      </c>
    </row>
    <row r="7" spans="2:8" x14ac:dyDescent="0.25">
      <c r="B7" s="12" t="s">
        <v>8</v>
      </c>
      <c r="C7" s="16">
        <v>18.170000000000002</v>
      </c>
      <c r="D7" s="17">
        <v>1.52E-2</v>
      </c>
      <c r="E7" s="14" t="s">
        <v>9</v>
      </c>
      <c r="F7" s="14">
        <v>17537</v>
      </c>
      <c r="G7" s="14">
        <v>144126043</v>
      </c>
      <c r="H7" s="18"/>
    </row>
    <row r="8" spans="2:8" x14ac:dyDescent="0.25">
      <c r="B8" s="19" t="s">
        <v>10</v>
      </c>
      <c r="C8" s="16">
        <v>20.98</v>
      </c>
      <c r="D8" s="17">
        <v>2.2599999999999999E-2</v>
      </c>
      <c r="E8" s="14" t="s">
        <v>9</v>
      </c>
      <c r="F8" s="14">
        <v>1633</v>
      </c>
      <c r="G8" s="14">
        <v>48895781</v>
      </c>
      <c r="H8" s="18"/>
    </row>
    <row r="9" spans="2:8" x14ac:dyDescent="0.25">
      <c r="B9" s="19" t="s">
        <v>11</v>
      </c>
      <c r="C9" s="16">
        <v>133.68</v>
      </c>
      <c r="D9" s="17">
        <v>7.2561</v>
      </c>
      <c r="E9" s="14" t="s">
        <v>12</v>
      </c>
      <c r="F9" s="14">
        <v>149</v>
      </c>
      <c r="G9" s="14">
        <v>135605948</v>
      </c>
      <c r="H9" s="18">
        <v>379702</v>
      </c>
    </row>
    <row r="10" spans="2:8" x14ac:dyDescent="0.25">
      <c r="B10" s="19" t="s">
        <v>13</v>
      </c>
      <c r="C10" s="16">
        <v>70.069999999999993</v>
      </c>
      <c r="D10" s="17">
        <v>4.1300000000000003E-2</v>
      </c>
      <c r="E10" s="14" t="s">
        <v>9</v>
      </c>
      <c r="F10" s="14">
        <v>25</v>
      </c>
      <c r="G10" s="14">
        <v>946114</v>
      </c>
      <c r="H10" s="18"/>
    </row>
    <row r="11" spans="2:8" x14ac:dyDescent="0.25">
      <c r="B11" s="19" t="s">
        <v>14</v>
      </c>
      <c r="C11" s="16">
        <v>3.79</v>
      </c>
      <c r="D11" s="17">
        <v>4.2721999999999998</v>
      </c>
      <c r="E11" s="14" t="s">
        <v>12</v>
      </c>
      <c r="F11" s="14">
        <v>920</v>
      </c>
      <c r="G11" s="14">
        <v>747706</v>
      </c>
      <c r="H11" s="18">
        <v>2294</v>
      </c>
    </row>
    <row r="12" spans="2:8" x14ac:dyDescent="0.25">
      <c r="B12" s="19" t="s">
        <v>15</v>
      </c>
      <c r="C12" s="16">
        <v>4.95</v>
      </c>
      <c r="D12" s="17">
        <v>9.6593999999999998</v>
      </c>
      <c r="E12" s="14" t="s">
        <v>12</v>
      </c>
      <c r="F12" s="14">
        <v>3696</v>
      </c>
      <c r="G12" s="14">
        <v>2687821</v>
      </c>
      <c r="H12" s="18">
        <v>7670</v>
      </c>
    </row>
    <row r="13" spans="2:8" x14ac:dyDescent="0.25">
      <c r="B13" s="20"/>
      <c r="C13" s="21"/>
      <c r="D13" s="21"/>
      <c r="E13" s="21"/>
      <c r="F13" s="21"/>
      <c r="G13" s="21"/>
      <c r="H13" s="11"/>
    </row>
    <row r="14" spans="2:8" ht="15.75" thickBot="1" x14ac:dyDescent="0.3">
      <c r="B14" s="22" t="s">
        <v>16</v>
      </c>
      <c r="C14" s="23"/>
      <c r="D14" s="24">
        <v>0.6</v>
      </c>
      <c r="E14" s="25" t="s">
        <v>12</v>
      </c>
      <c r="F14" s="23"/>
      <c r="G14" s="23"/>
      <c r="H14" s="26">
        <v>176641</v>
      </c>
    </row>
    <row r="16" spans="2:8" x14ac:dyDescent="0.25">
      <c r="B16" s="61" t="s">
        <v>17</v>
      </c>
      <c r="C16" s="1"/>
      <c r="D16" s="2"/>
      <c r="E16" s="1"/>
      <c r="F16" s="1"/>
      <c r="G16" s="1"/>
      <c r="H16" s="3"/>
    </row>
    <row r="17" spans="2:8" ht="15.75" thickBot="1" x14ac:dyDescent="0.3">
      <c r="B17" s="4"/>
      <c r="C17" s="5"/>
      <c r="D17" s="2"/>
      <c r="E17" s="6"/>
      <c r="F17" s="6"/>
      <c r="G17" s="2"/>
      <c r="H17" s="3"/>
    </row>
    <row r="18" spans="2:8" x14ac:dyDescent="0.25">
      <c r="B18" s="189" t="s">
        <v>1</v>
      </c>
      <c r="C18" s="190"/>
      <c r="D18" s="190"/>
      <c r="E18" s="190"/>
      <c r="F18" s="190"/>
      <c r="G18" s="190"/>
      <c r="H18" s="191"/>
    </row>
    <row r="19" spans="2:8" x14ac:dyDescent="0.25">
      <c r="B19" s="7"/>
      <c r="C19" s="8"/>
      <c r="D19" s="9"/>
      <c r="E19" s="10"/>
      <c r="F19" s="10"/>
      <c r="G19" s="10"/>
      <c r="H19" s="11"/>
    </row>
    <row r="20" spans="2:8" ht="57.75" x14ac:dyDescent="0.25">
      <c r="B20" s="12"/>
      <c r="C20" s="13" t="s">
        <v>2</v>
      </c>
      <c r="D20" s="13" t="s">
        <v>3</v>
      </c>
      <c r="E20" s="14" t="s">
        <v>4</v>
      </c>
      <c r="F20" s="13" t="s">
        <v>5</v>
      </c>
      <c r="G20" s="13" t="s">
        <v>6</v>
      </c>
      <c r="H20" s="15" t="s">
        <v>7</v>
      </c>
    </row>
    <row r="21" spans="2:8" x14ac:dyDescent="0.25">
      <c r="B21" s="12" t="s">
        <v>8</v>
      </c>
      <c r="C21" s="16">
        <v>15.57</v>
      </c>
      <c r="D21" s="17">
        <v>2.1999999999999999E-2</v>
      </c>
      <c r="E21" s="14" t="s">
        <v>9</v>
      </c>
      <c r="F21" s="14">
        <v>8152</v>
      </c>
      <c r="G21" s="14">
        <v>64161933</v>
      </c>
      <c r="H21" s="18"/>
    </row>
    <row r="22" spans="2:8" x14ac:dyDescent="0.25">
      <c r="B22" s="19" t="s">
        <v>10</v>
      </c>
      <c r="C22" s="16">
        <v>30.89</v>
      </c>
      <c r="D22" s="17">
        <v>1.4500000000000001E-2</v>
      </c>
      <c r="E22" s="14" t="s">
        <v>9</v>
      </c>
      <c r="F22" s="14">
        <v>888</v>
      </c>
      <c r="G22" s="14">
        <v>23558821</v>
      </c>
      <c r="H22" s="18"/>
    </row>
    <row r="23" spans="2:8" x14ac:dyDescent="0.25">
      <c r="B23" s="19" t="s">
        <v>11</v>
      </c>
      <c r="C23" s="16">
        <v>557.9</v>
      </c>
      <c r="D23" s="17">
        <v>2.7711999999999999</v>
      </c>
      <c r="E23" s="14" t="s">
        <v>12</v>
      </c>
      <c r="F23" s="14">
        <v>79</v>
      </c>
      <c r="G23" s="14">
        <v>88694743</v>
      </c>
      <c r="H23" s="18">
        <v>311664</v>
      </c>
    </row>
    <row r="24" spans="2:8" x14ac:dyDescent="0.25">
      <c r="B24" s="19" t="s">
        <v>13</v>
      </c>
      <c r="C24" s="16">
        <v>51.63</v>
      </c>
      <c r="D24" s="17">
        <v>2.63E-2</v>
      </c>
      <c r="E24" s="14" t="s">
        <v>9</v>
      </c>
      <c r="F24" s="14">
        <v>14</v>
      </c>
      <c r="G24" s="14">
        <v>581815</v>
      </c>
      <c r="H24" s="18"/>
    </row>
    <row r="25" spans="2:8" x14ac:dyDescent="0.25">
      <c r="B25" s="19" t="s">
        <v>14</v>
      </c>
      <c r="C25" s="16">
        <v>4.3</v>
      </c>
      <c r="D25" s="17">
        <v>7.0224000000000002</v>
      </c>
      <c r="E25" s="14" t="s">
        <v>12</v>
      </c>
      <c r="F25" s="14">
        <v>41</v>
      </c>
      <c r="G25" s="14">
        <v>13331</v>
      </c>
      <c r="H25" s="18">
        <v>40</v>
      </c>
    </row>
    <row r="26" spans="2:8" x14ac:dyDescent="0.25">
      <c r="B26" s="19" t="s">
        <v>15</v>
      </c>
      <c r="C26" s="16">
        <v>3.07</v>
      </c>
      <c r="D26" s="17">
        <v>8.7698</v>
      </c>
      <c r="E26" s="14" t="s">
        <v>12</v>
      </c>
      <c r="F26" s="14">
        <v>2000</v>
      </c>
      <c r="G26" s="14">
        <v>1787582</v>
      </c>
      <c r="H26" s="18">
        <v>4119</v>
      </c>
    </row>
    <row r="27" spans="2:8" x14ac:dyDescent="0.25">
      <c r="B27" s="20"/>
      <c r="C27" s="21"/>
      <c r="D27" s="21"/>
      <c r="E27" s="21"/>
      <c r="F27" s="21"/>
      <c r="G27" s="21"/>
      <c r="H27" s="11"/>
    </row>
    <row r="28" spans="2:8" ht="15.75" thickBot="1" x14ac:dyDescent="0.3">
      <c r="B28" s="22" t="s">
        <v>16</v>
      </c>
      <c r="C28" s="23"/>
      <c r="D28" s="24">
        <v>0.6</v>
      </c>
      <c r="E28" s="25" t="s">
        <v>12</v>
      </c>
      <c r="F28" s="23"/>
      <c r="G28" s="23"/>
      <c r="H28" s="26">
        <v>211082</v>
      </c>
    </row>
    <row r="30" spans="2:8" x14ac:dyDescent="0.25">
      <c r="B30" s="61" t="s">
        <v>18</v>
      </c>
      <c r="C30" s="1"/>
      <c r="D30" s="2"/>
      <c r="E30" s="1"/>
      <c r="F30" s="1"/>
      <c r="G30" s="1"/>
      <c r="H30" s="3"/>
    </row>
    <row r="31" spans="2:8" ht="15.75" thickBot="1" x14ac:dyDescent="0.3">
      <c r="B31" s="27"/>
      <c r="C31" s="5"/>
      <c r="D31" s="2"/>
      <c r="E31" s="6"/>
      <c r="F31" s="6"/>
      <c r="G31" s="2"/>
      <c r="H31" s="3"/>
    </row>
    <row r="32" spans="2:8" x14ac:dyDescent="0.25">
      <c r="B32" s="192" t="s">
        <v>1</v>
      </c>
      <c r="C32" s="193"/>
      <c r="D32" s="193"/>
      <c r="E32" s="193"/>
      <c r="F32" s="193"/>
      <c r="G32" s="193"/>
      <c r="H32" s="194"/>
    </row>
    <row r="33" spans="2:8" x14ac:dyDescent="0.25">
      <c r="B33" s="28"/>
      <c r="C33" s="8"/>
      <c r="D33" s="9"/>
      <c r="E33" s="10"/>
      <c r="F33" s="10"/>
      <c r="G33" s="10"/>
      <c r="H33" s="11"/>
    </row>
    <row r="34" spans="2:8" ht="57.75" x14ac:dyDescent="0.25">
      <c r="B34" s="29"/>
      <c r="C34" s="13" t="s">
        <v>2</v>
      </c>
      <c r="D34" s="13" t="s">
        <v>3</v>
      </c>
      <c r="E34" s="14" t="s">
        <v>4</v>
      </c>
      <c r="F34" s="13" t="s">
        <v>5</v>
      </c>
      <c r="G34" s="13" t="s">
        <v>6</v>
      </c>
      <c r="H34" s="15" t="s">
        <v>7</v>
      </c>
    </row>
    <row r="35" spans="2:8" x14ac:dyDescent="0.25">
      <c r="B35" s="29" t="s">
        <v>8</v>
      </c>
      <c r="C35" s="30" t="s">
        <v>19</v>
      </c>
      <c r="D35" s="30" t="s">
        <v>19</v>
      </c>
      <c r="E35" s="14" t="s">
        <v>9</v>
      </c>
      <c r="F35" s="14">
        <f>F7+F21</f>
        <v>25689</v>
      </c>
      <c r="G35" s="14">
        <f>G7+G21</f>
        <v>208287976</v>
      </c>
      <c r="H35" s="18"/>
    </row>
    <row r="36" spans="2:8" x14ac:dyDescent="0.25">
      <c r="B36" s="19" t="s">
        <v>10</v>
      </c>
      <c r="C36" s="30" t="s">
        <v>19</v>
      </c>
      <c r="D36" s="30" t="s">
        <v>19</v>
      </c>
      <c r="E36" s="14" t="s">
        <v>9</v>
      </c>
      <c r="F36" s="14">
        <f t="shared" ref="F36:H40" si="0">F8+F22</f>
        <v>2521</v>
      </c>
      <c r="G36" s="14">
        <f t="shared" si="0"/>
        <v>72454602</v>
      </c>
      <c r="H36" s="18"/>
    </row>
    <row r="37" spans="2:8" x14ac:dyDescent="0.25">
      <c r="B37" s="19" t="s">
        <v>11</v>
      </c>
      <c r="C37" s="30" t="s">
        <v>19</v>
      </c>
      <c r="D37" s="30" t="s">
        <v>19</v>
      </c>
      <c r="E37" s="14" t="s">
        <v>12</v>
      </c>
      <c r="F37" s="14">
        <f t="shared" si="0"/>
        <v>228</v>
      </c>
      <c r="G37" s="14">
        <f t="shared" si="0"/>
        <v>224300691</v>
      </c>
      <c r="H37" s="18">
        <f t="shared" si="0"/>
        <v>691366</v>
      </c>
    </row>
    <row r="38" spans="2:8" x14ac:dyDescent="0.25">
      <c r="B38" s="19" t="s">
        <v>13</v>
      </c>
      <c r="C38" s="30" t="s">
        <v>19</v>
      </c>
      <c r="D38" s="30" t="s">
        <v>19</v>
      </c>
      <c r="E38" s="14" t="s">
        <v>9</v>
      </c>
      <c r="F38" s="14">
        <f t="shared" si="0"/>
        <v>39</v>
      </c>
      <c r="G38" s="14">
        <f t="shared" si="0"/>
        <v>1527929</v>
      </c>
      <c r="H38" s="18"/>
    </row>
    <row r="39" spans="2:8" x14ac:dyDescent="0.25">
      <c r="B39" s="19" t="s">
        <v>14</v>
      </c>
      <c r="C39" s="30" t="s">
        <v>19</v>
      </c>
      <c r="D39" s="30" t="s">
        <v>19</v>
      </c>
      <c r="E39" s="14" t="s">
        <v>12</v>
      </c>
      <c r="F39" s="14">
        <f t="shared" si="0"/>
        <v>961</v>
      </c>
      <c r="G39" s="14">
        <f t="shared" si="0"/>
        <v>761037</v>
      </c>
      <c r="H39" s="18">
        <f t="shared" ref="H39" si="1">H11+H25</f>
        <v>2334</v>
      </c>
    </row>
    <row r="40" spans="2:8" x14ac:dyDescent="0.25">
      <c r="B40" s="19" t="s">
        <v>15</v>
      </c>
      <c r="C40" s="30" t="s">
        <v>19</v>
      </c>
      <c r="D40" s="30" t="s">
        <v>19</v>
      </c>
      <c r="E40" s="14" t="s">
        <v>12</v>
      </c>
      <c r="F40" s="14">
        <f t="shared" si="0"/>
        <v>5696</v>
      </c>
      <c r="G40" s="14">
        <f t="shared" si="0"/>
        <v>4475403</v>
      </c>
      <c r="H40" s="18">
        <f t="shared" ref="H40" si="2">H12+H26</f>
        <v>11789</v>
      </c>
    </row>
    <row r="41" spans="2:8" x14ac:dyDescent="0.25">
      <c r="B41" s="20"/>
      <c r="C41" s="21"/>
      <c r="D41" s="21"/>
      <c r="E41" s="21"/>
      <c r="F41" s="21"/>
      <c r="G41" s="21"/>
      <c r="H41" s="11"/>
    </row>
    <row r="42" spans="2:8" ht="15.75" thickBot="1" x14ac:dyDescent="0.3">
      <c r="B42" s="22" t="s">
        <v>16</v>
      </c>
      <c r="C42" s="23"/>
      <c r="D42" s="24">
        <v>0.6</v>
      </c>
      <c r="E42" s="25" t="s">
        <v>12</v>
      </c>
      <c r="F42" s="23"/>
      <c r="G42" s="23"/>
      <c r="H42" s="26">
        <v>387723</v>
      </c>
    </row>
  </sheetData>
  <mergeCells count="3">
    <mergeCell ref="B4:H4"/>
    <mergeCell ref="B18:H18"/>
    <mergeCell ref="B32:H32"/>
  </mergeCells>
  <pageMargins left="0.7" right="0.7" top="0.75" bottom="0.75" header="0.3" footer="0.3"/>
  <pageSetup scale="9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O49"/>
  <sheetViews>
    <sheetView topLeftCell="A16" workbookViewId="0">
      <selection activeCell="B36" sqref="B36"/>
    </sheetView>
  </sheetViews>
  <sheetFormatPr defaultRowHeight="15" x14ac:dyDescent="0.25"/>
  <cols>
    <col min="1" max="1" width="2.7109375" customWidth="1"/>
    <col min="2" max="2" width="19.5703125" customWidth="1"/>
    <col min="3" max="3" width="12.7109375" customWidth="1"/>
    <col min="4" max="4" width="10.140625" customWidth="1"/>
    <col min="5" max="5" width="13.85546875" bestFit="1" customWidth="1"/>
    <col min="6" max="6" width="9.85546875" customWidth="1"/>
    <col min="7" max="7" width="10.140625" customWidth="1"/>
    <col min="8" max="8" width="9.7109375" customWidth="1"/>
    <col min="9" max="9" width="10" customWidth="1"/>
    <col min="10" max="10" width="15.85546875" customWidth="1"/>
    <col min="11" max="11" width="0.85546875" customWidth="1"/>
    <col min="12" max="12" width="13.5703125" customWidth="1"/>
    <col min="13" max="13" width="12.28515625" customWidth="1"/>
    <col min="14" max="14" width="12.28515625" bestFit="1" customWidth="1"/>
    <col min="15" max="15" width="10.28515625" bestFit="1" customWidth="1"/>
  </cols>
  <sheetData>
    <row r="3" spans="2:15" ht="18" x14ac:dyDescent="0.25">
      <c r="B3" s="226" t="s">
        <v>138</v>
      </c>
      <c r="C3" s="226"/>
      <c r="D3" s="226"/>
      <c r="E3" s="226"/>
      <c r="F3" s="226"/>
      <c r="G3" s="226"/>
      <c r="H3" s="226"/>
      <c r="I3" s="226"/>
      <c r="J3" s="226"/>
      <c r="K3" s="226"/>
      <c r="L3" s="226"/>
      <c r="M3" s="226"/>
      <c r="N3" s="226"/>
      <c r="O3" s="226"/>
    </row>
    <row r="4" spans="2:15" ht="15.75" thickBot="1" x14ac:dyDescent="0.3">
      <c r="B4" s="149" t="s">
        <v>139</v>
      </c>
    </row>
    <row r="5" spans="2:15" ht="15.75" thickBot="1" x14ac:dyDescent="0.3">
      <c r="B5" s="108" t="s">
        <v>125</v>
      </c>
      <c r="C5" s="227" t="s">
        <v>126</v>
      </c>
      <c r="D5" s="109"/>
      <c r="E5" s="229" t="s">
        <v>127</v>
      </c>
      <c r="F5" s="230"/>
      <c r="G5" s="229" t="s">
        <v>128</v>
      </c>
      <c r="H5" s="231"/>
      <c r="I5" s="230"/>
      <c r="J5" s="227" t="s">
        <v>129</v>
      </c>
      <c r="K5" s="150"/>
      <c r="L5" s="232"/>
      <c r="M5" s="232"/>
      <c r="N5" s="232"/>
      <c r="O5" s="232"/>
    </row>
    <row r="6" spans="2:15" ht="39" thickBot="1" x14ac:dyDescent="0.3">
      <c r="B6" s="111"/>
      <c r="C6" s="228"/>
      <c r="D6" s="162" t="s">
        <v>133</v>
      </c>
      <c r="E6" s="113" t="s">
        <v>9</v>
      </c>
      <c r="F6" s="114" t="s">
        <v>12</v>
      </c>
      <c r="G6" s="162" t="s">
        <v>134</v>
      </c>
      <c r="H6" s="229" t="s">
        <v>135</v>
      </c>
      <c r="I6" s="230"/>
      <c r="J6" s="228"/>
      <c r="K6" s="151"/>
      <c r="L6" s="232"/>
      <c r="M6" s="232"/>
      <c r="N6" s="232"/>
      <c r="O6" s="232"/>
    </row>
    <row r="7" spans="2:15" x14ac:dyDescent="0.25">
      <c r="B7" s="116"/>
      <c r="C7" s="116"/>
      <c r="D7" s="116"/>
      <c r="E7" s="116"/>
      <c r="F7" s="117"/>
      <c r="G7" s="116"/>
      <c r="H7" s="118" t="s">
        <v>9</v>
      </c>
      <c r="I7" s="118" t="s">
        <v>12</v>
      </c>
      <c r="J7" s="119"/>
      <c r="K7" s="152"/>
      <c r="L7" s="155"/>
      <c r="M7" s="155"/>
      <c r="N7" s="155"/>
      <c r="O7" s="155"/>
    </row>
    <row r="8" spans="2:15" x14ac:dyDescent="0.25">
      <c r="B8" s="121"/>
      <c r="C8" s="121"/>
      <c r="D8" s="121"/>
      <c r="E8" s="121"/>
      <c r="F8" s="122"/>
      <c r="G8" s="121"/>
      <c r="H8" s="121"/>
      <c r="I8" s="121"/>
      <c r="J8" s="121"/>
      <c r="K8" s="153"/>
      <c r="L8" s="155"/>
      <c r="M8" s="155"/>
      <c r="N8" s="155"/>
      <c r="O8" s="155"/>
    </row>
    <row r="9" spans="2:15" x14ac:dyDescent="0.25">
      <c r="B9" s="124" t="s">
        <v>8</v>
      </c>
      <c r="C9" s="124" t="s">
        <v>136</v>
      </c>
      <c r="D9" s="125">
        <f>'Existing Rates &amp; Forecast Vols'!F7</f>
        <v>17537</v>
      </c>
      <c r="E9" s="126">
        <f>'Existing Rates &amp; Forecast Vols'!G7</f>
        <v>144126043</v>
      </c>
      <c r="F9" s="127"/>
      <c r="G9" s="128">
        <f>'2015 Area Rate Design'!P6</f>
        <v>19.096486732800191</v>
      </c>
      <c r="H9" s="129">
        <f>'2015 Area Rate Design'!Q6</f>
        <v>1.9927622670246985E-2</v>
      </c>
      <c r="I9" s="129"/>
      <c r="J9" s="130">
        <f t="shared" ref="J9:J14" si="0">G9*D9*12+H9*E9+I9*F9</f>
        <v>6890830.455857195</v>
      </c>
      <c r="K9" s="153"/>
      <c r="L9" s="156"/>
      <c r="M9" s="156"/>
      <c r="N9" s="157"/>
      <c r="O9" s="157"/>
    </row>
    <row r="10" spans="2:15" x14ac:dyDescent="0.25">
      <c r="B10" s="124" t="s">
        <v>10</v>
      </c>
      <c r="C10" s="124" t="s">
        <v>136</v>
      </c>
      <c r="D10" s="125">
        <f>'Existing Rates &amp; Forecast Vols'!F8</f>
        <v>1633</v>
      </c>
      <c r="E10" s="126">
        <f>'Existing Rates &amp; Forecast Vols'!G8</f>
        <v>48895781</v>
      </c>
      <c r="F10" s="127"/>
      <c r="G10" s="128">
        <f>'2015 Area Rate Design'!P10</f>
        <v>25.778965194796282</v>
      </c>
      <c r="H10" s="129">
        <f>'2015 Area Rate Design'!Q10</f>
        <v>2.307219674519486E-2</v>
      </c>
      <c r="I10" s="129"/>
      <c r="J10" s="130">
        <f t="shared" si="0"/>
        <v>1633297.6811991888</v>
      </c>
      <c r="K10" s="153"/>
      <c r="L10" s="156"/>
      <c r="M10" s="156"/>
      <c r="N10" s="157"/>
      <c r="O10" s="157"/>
    </row>
    <row r="11" spans="2:15" x14ac:dyDescent="0.25">
      <c r="B11" s="124" t="s">
        <v>11</v>
      </c>
      <c r="C11" s="124" t="s">
        <v>136</v>
      </c>
      <c r="D11" s="125">
        <f>'Existing Rates &amp; Forecast Vols'!F9</f>
        <v>149</v>
      </c>
      <c r="E11" s="126">
        <f>'Existing Rates &amp; Forecast Vols'!G9</f>
        <v>135605948</v>
      </c>
      <c r="F11" s="127">
        <f>'Existing Rates &amp; Forecast Vols'!H9</f>
        <v>379702</v>
      </c>
      <c r="G11" s="128">
        <f>'2015 Area Rate Design'!P14</f>
        <v>145.84000000000003</v>
      </c>
      <c r="H11" s="129"/>
      <c r="I11" s="129">
        <f>'2015 Area Rate Design'!Q14</f>
        <v>6.4819105365320242</v>
      </c>
      <c r="J11" s="130">
        <f t="shared" si="0"/>
        <v>2721956.3145422824</v>
      </c>
      <c r="K11" s="153"/>
      <c r="L11" s="156"/>
      <c r="M11" s="156"/>
      <c r="N11" s="157"/>
      <c r="O11" s="157"/>
    </row>
    <row r="12" spans="2:15" x14ac:dyDescent="0.25">
      <c r="B12" s="124" t="s">
        <v>13</v>
      </c>
      <c r="C12" s="124" t="s">
        <v>136</v>
      </c>
      <c r="D12" s="125">
        <f>'Existing Rates &amp; Forecast Vols'!F10</f>
        <v>25</v>
      </c>
      <c r="E12" s="126">
        <f>'Existing Rates &amp; Forecast Vols'!G10</f>
        <v>946114</v>
      </c>
      <c r="F12" s="127"/>
      <c r="G12" s="128">
        <f>'2015 Area Rate Design'!P18</f>
        <v>41.517499999999998</v>
      </c>
      <c r="H12" s="129">
        <f>'2015 Area Rate Design'!Q18</f>
        <v>2.4638861102997046E-2</v>
      </c>
      <c r="I12" s="129"/>
      <c r="J12" s="130">
        <f t="shared" si="0"/>
        <v>35766.421433600946</v>
      </c>
      <c r="K12" s="153"/>
      <c r="L12" s="156"/>
      <c r="M12" s="156"/>
      <c r="N12" s="157"/>
      <c r="O12" s="157"/>
    </row>
    <row r="13" spans="2:15" x14ac:dyDescent="0.25">
      <c r="B13" s="124" t="s">
        <v>14</v>
      </c>
      <c r="C13" s="124" t="s">
        <v>137</v>
      </c>
      <c r="D13" s="125">
        <f>'Existing Rates &amp; Forecast Vols'!F11</f>
        <v>920</v>
      </c>
      <c r="E13" s="126">
        <f>'Existing Rates &amp; Forecast Vols'!G11</f>
        <v>747706</v>
      </c>
      <c r="F13" s="127">
        <f>'Existing Rates &amp; Forecast Vols'!H11</f>
        <v>2294</v>
      </c>
      <c r="G13" s="128">
        <f>'2015 Area Rate Design'!P22</f>
        <v>5.05</v>
      </c>
      <c r="H13" s="129"/>
      <c r="I13" s="129">
        <f>'2015 Area Rate Design'!Q22</f>
        <v>5.1802971722365045</v>
      </c>
      <c r="J13" s="130">
        <f t="shared" si="0"/>
        <v>67635.601713110547</v>
      </c>
      <c r="K13" s="153"/>
      <c r="L13" s="156"/>
      <c r="M13" s="156"/>
      <c r="N13" s="157"/>
      <c r="O13" s="157"/>
    </row>
    <row r="14" spans="2:15" x14ac:dyDescent="0.25">
      <c r="B14" s="124" t="s">
        <v>15</v>
      </c>
      <c r="C14" s="124" t="s">
        <v>137</v>
      </c>
      <c r="D14" s="125">
        <f>'Existing Rates &amp; Forecast Vols'!F12</f>
        <v>3696</v>
      </c>
      <c r="E14" s="126">
        <f>'Existing Rates &amp; Forecast Vols'!G12</f>
        <v>2687821</v>
      </c>
      <c r="F14" s="127">
        <f>'Existing Rates &amp; Forecast Vols'!H12</f>
        <v>7670</v>
      </c>
      <c r="G14" s="128">
        <f>'2015 Area Rate Design'!P26</f>
        <v>4.961144836419928</v>
      </c>
      <c r="H14" s="129"/>
      <c r="I14" s="129">
        <f>'2015 Area Rate Design'!Q26</f>
        <v>10.38748970574477</v>
      </c>
      <c r="J14" s="130">
        <f t="shared" si="0"/>
        <v>299708.74182795908</v>
      </c>
      <c r="K14" s="153"/>
      <c r="L14" s="156"/>
      <c r="M14" s="156"/>
      <c r="N14" s="157"/>
      <c r="O14" s="157"/>
    </row>
    <row r="15" spans="2:15" ht="15.75" thickBot="1" x14ac:dyDescent="0.3">
      <c r="B15" s="134"/>
      <c r="C15" s="134"/>
      <c r="D15" s="135"/>
      <c r="E15" s="126"/>
      <c r="F15" s="127"/>
      <c r="G15" s="128"/>
      <c r="H15" s="129"/>
      <c r="I15" s="129"/>
      <c r="J15" s="136"/>
      <c r="K15" s="153"/>
      <c r="L15" s="156"/>
      <c r="M15" s="156"/>
      <c r="N15" s="157"/>
      <c r="O15" s="157"/>
    </row>
    <row r="16" spans="2:15" ht="15.75" thickTop="1" x14ac:dyDescent="0.25">
      <c r="B16" s="121"/>
      <c r="C16" s="121"/>
      <c r="D16" s="121"/>
      <c r="E16" s="134"/>
      <c r="F16" s="138"/>
      <c r="G16" s="134"/>
      <c r="H16" s="134"/>
      <c r="I16" s="134"/>
      <c r="J16" s="139"/>
      <c r="K16" s="153"/>
      <c r="L16" s="155"/>
      <c r="M16" s="155"/>
      <c r="N16" s="155"/>
      <c r="O16" s="155"/>
    </row>
    <row r="17" spans="2:15" ht="15.75" thickBot="1" x14ac:dyDescent="0.3">
      <c r="B17" s="141" t="s">
        <v>27</v>
      </c>
      <c r="C17" s="142"/>
      <c r="D17" s="143">
        <f>SUM(D9:D14)</f>
        <v>23960</v>
      </c>
      <c r="E17" s="143">
        <f>SUM(E9:E14)</f>
        <v>333009413</v>
      </c>
      <c r="F17" s="143">
        <f>SUM(F9:F14)</f>
        <v>389666</v>
      </c>
      <c r="G17" s="144"/>
      <c r="H17" s="144"/>
      <c r="I17" s="144"/>
      <c r="J17" s="145">
        <f>SUM(J9:J14)</f>
        <v>11649195.216573337</v>
      </c>
      <c r="K17" s="154"/>
      <c r="L17" s="158"/>
      <c r="M17" s="158"/>
      <c r="N17" s="158"/>
      <c r="O17" s="159"/>
    </row>
    <row r="20" spans="2:15" ht="15.75" thickBot="1" x14ac:dyDescent="0.3">
      <c r="B20" s="149" t="s">
        <v>17</v>
      </c>
    </row>
    <row r="21" spans="2:15" ht="15.75" thickBot="1" x14ac:dyDescent="0.3">
      <c r="B21" s="108" t="s">
        <v>125</v>
      </c>
      <c r="C21" s="227" t="s">
        <v>126</v>
      </c>
      <c r="D21" s="109"/>
      <c r="E21" s="229" t="s">
        <v>127</v>
      </c>
      <c r="F21" s="230"/>
      <c r="G21" s="229" t="s">
        <v>128</v>
      </c>
      <c r="H21" s="231"/>
      <c r="I21" s="230"/>
      <c r="J21" s="227" t="s">
        <v>129</v>
      </c>
      <c r="K21" s="150"/>
      <c r="L21" s="232"/>
      <c r="M21" s="232"/>
      <c r="N21" s="232"/>
      <c r="O21" s="232"/>
    </row>
    <row r="22" spans="2:15" ht="39" thickBot="1" x14ac:dyDescent="0.3">
      <c r="B22" s="111"/>
      <c r="C22" s="228"/>
      <c r="D22" s="162" t="s">
        <v>133</v>
      </c>
      <c r="E22" s="113" t="s">
        <v>9</v>
      </c>
      <c r="F22" s="114" t="s">
        <v>12</v>
      </c>
      <c r="G22" s="162" t="s">
        <v>134</v>
      </c>
      <c r="H22" s="229" t="s">
        <v>135</v>
      </c>
      <c r="I22" s="230"/>
      <c r="J22" s="228"/>
      <c r="K22" s="151"/>
      <c r="L22" s="232"/>
      <c r="M22" s="232"/>
      <c r="N22" s="232"/>
      <c r="O22" s="232"/>
    </row>
    <row r="23" spans="2:15" x14ac:dyDescent="0.25">
      <c r="B23" s="116"/>
      <c r="C23" s="116"/>
      <c r="D23" s="116"/>
      <c r="E23" s="116"/>
      <c r="F23" s="117"/>
      <c r="G23" s="116"/>
      <c r="H23" s="118" t="s">
        <v>9</v>
      </c>
      <c r="I23" s="118" t="s">
        <v>12</v>
      </c>
      <c r="J23" s="119"/>
      <c r="K23" s="152"/>
      <c r="L23" s="155"/>
      <c r="M23" s="155"/>
      <c r="N23" s="155"/>
      <c r="O23" s="155"/>
    </row>
    <row r="24" spans="2:15" x14ac:dyDescent="0.25">
      <c r="B24" s="121"/>
      <c r="C24" s="121"/>
      <c r="D24" s="121"/>
      <c r="E24" s="121"/>
      <c r="F24" s="122"/>
      <c r="G24" s="121"/>
      <c r="H24" s="121"/>
      <c r="I24" s="121"/>
      <c r="J24" s="121"/>
      <c r="K24" s="153"/>
      <c r="L24" s="155"/>
      <c r="M24" s="155"/>
      <c r="N24" s="155"/>
      <c r="O24" s="155"/>
    </row>
    <row r="25" spans="2:15" x14ac:dyDescent="0.25">
      <c r="B25" s="124" t="s">
        <v>8</v>
      </c>
      <c r="C25" s="124" t="s">
        <v>136</v>
      </c>
      <c r="D25" s="125">
        <f>'Existing Rates &amp; Forecast Vols'!F21</f>
        <v>8152</v>
      </c>
      <c r="E25" s="126">
        <f>'Existing Rates &amp; Forecast Vols'!G21</f>
        <v>64161933</v>
      </c>
      <c r="F25" s="127"/>
      <c r="G25" s="128">
        <f>'2015 Area Rate Design'!P7</f>
        <v>18.446486732800196</v>
      </c>
      <c r="H25" s="129">
        <f>'2015 Area Rate Design'!Q7</f>
        <v>2.0991801931736675E-2</v>
      </c>
      <c r="I25" s="129"/>
      <c r="J25" s="130">
        <f t="shared" ref="J25:J30" si="1">G25*D25*12+H25*E25+I25*F25</f>
        <v>3151383.7072428055</v>
      </c>
      <c r="K25" s="153"/>
      <c r="L25" s="156"/>
      <c r="M25" s="156"/>
      <c r="N25" s="157"/>
      <c r="O25" s="157"/>
    </row>
    <row r="26" spans="2:15" x14ac:dyDescent="0.25">
      <c r="B26" s="124" t="s">
        <v>10</v>
      </c>
      <c r="C26" s="124" t="s">
        <v>136</v>
      </c>
      <c r="D26" s="125">
        <f>'Existing Rates &amp; Forecast Vols'!F22</f>
        <v>888</v>
      </c>
      <c r="E26" s="126">
        <f>'Existing Rates &amp; Forecast Vols'!G22</f>
        <v>23558821</v>
      </c>
      <c r="F26" s="127"/>
      <c r="G26" s="128">
        <f>'2015 Area Rate Design'!P11</f>
        <v>28.256465194796284</v>
      </c>
      <c r="H26" s="129">
        <f>'2015 Area Rate Design'!Q11</f>
        <v>2.1750469842487533E-2</v>
      </c>
      <c r="I26" s="129"/>
      <c r="J26" s="130">
        <f t="shared" si="1"/>
        <v>813516.31880081119</v>
      </c>
      <c r="K26" s="153"/>
      <c r="L26" s="156"/>
      <c r="M26" s="156"/>
      <c r="N26" s="157"/>
      <c r="O26" s="157"/>
    </row>
    <row r="27" spans="2:15" x14ac:dyDescent="0.25">
      <c r="B27" s="124" t="s">
        <v>11</v>
      </c>
      <c r="C27" s="124" t="s">
        <v>136</v>
      </c>
      <c r="D27" s="125">
        <f>'Existing Rates &amp; Forecast Vols'!F23</f>
        <v>79</v>
      </c>
      <c r="E27" s="126">
        <f>'Existing Rates &amp; Forecast Vols'!G23</f>
        <v>88694743</v>
      </c>
      <c r="F27" s="127">
        <f>'Existing Rates &amp; Forecast Vols'!H23</f>
        <v>311664</v>
      </c>
      <c r="G27" s="128">
        <f>'2015 Area Rate Design'!P15</f>
        <v>145.83999999999995</v>
      </c>
      <c r="H27" s="129"/>
      <c r="I27" s="129">
        <f>'2015 Area Rate Design'!Q15</f>
        <v>6.4819105365320242</v>
      </c>
      <c r="J27" s="130">
        <f t="shared" si="1"/>
        <v>2158434.4854577165</v>
      </c>
      <c r="K27" s="153"/>
      <c r="L27" s="156"/>
      <c r="M27" s="156"/>
      <c r="N27" s="157"/>
      <c r="O27" s="157"/>
    </row>
    <row r="28" spans="2:15" x14ac:dyDescent="0.25">
      <c r="B28" s="124" t="s">
        <v>13</v>
      </c>
      <c r="C28" s="124" t="s">
        <v>136</v>
      </c>
      <c r="D28" s="125">
        <f>'Existing Rates &amp; Forecast Vols'!F24</f>
        <v>14</v>
      </c>
      <c r="E28" s="126">
        <f>'Existing Rates &amp; Forecast Vols'!G24</f>
        <v>581815</v>
      </c>
      <c r="F28" s="127"/>
      <c r="G28" s="128">
        <f>'2015 Area Rate Design'!P19</f>
        <v>36.907500000000006</v>
      </c>
      <c r="H28" s="129">
        <f>'2015 Area Rate Design'!Q19</f>
        <v>2.1703706275017068E-2</v>
      </c>
      <c r="I28" s="129"/>
      <c r="J28" s="130">
        <f t="shared" si="1"/>
        <v>18828.001866399056</v>
      </c>
      <c r="K28" s="153"/>
      <c r="L28" s="156"/>
      <c r="M28" s="156"/>
      <c r="N28" s="157"/>
      <c r="O28" s="157"/>
    </row>
    <row r="29" spans="2:15" x14ac:dyDescent="0.25">
      <c r="B29" s="124" t="s">
        <v>14</v>
      </c>
      <c r="C29" s="124" t="s">
        <v>137</v>
      </c>
      <c r="D29" s="125">
        <f>'Existing Rates &amp; Forecast Vols'!F25</f>
        <v>41</v>
      </c>
      <c r="E29" s="126">
        <f>'Existing Rates &amp; Forecast Vols'!G25</f>
        <v>13331</v>
      </c>
      <c r="F29" s="127">
        <f>'Existing Rates &amp; Forecast Vols'!H25</f>
        <v>40</v>
      </c>
      <c r="G29" s="128">
        <f>'2015 Area Rate Design'!P23</f>
        <v>5.05</v>
      </c>
      <c r="H29" s="129"/>
      <c r="I29" s="129">
        <f>'2015 Area Rate Design'!Q23</f>
        <v>5.1802971722364877</v>
      </c>
      <c r="J29" s="130">
        <f t="shared" si="1"/>
        <v>2691.8118868894594</v>
      </c>
      <c r="K29" s="153"/>
      <c r="L29" s="156"/>
      <c r="M29" s="156"/>
      <c r="N29" s="157"/>
      <c r="O29" s="157"/>
    </row>
    <row r="30" spans="2:15" x14ac:dyDescent="0.25">
      <c r="B30" s="124" t="s">
        <v>15</v>
      </c>
      <c r="C30" s="124" t="s">
        <v>137</v>
      </c>
      <c r="D30" s="125">
        <f>'Existing Rates &amp; Forecast Vols'!F26</f>
        <v>2000</v>
      </c>
      <c r="E30" s="126">
        <f>'Existing Rates &amp; Forecast Vols'!G26</f>
        <v>1787582</v>
      </c>
      <c r="F30" s="127">
        <f>'Existing Rates &amp; Forecast Vols'!H26</f>
        <v>4119</v>
      </c>
      <c r="G30" s="128">
        <f>'2015 Area Rate Design'!P27</f>
        <v>4.536632836419928</v>
      </c>
      <c r="H30" s="129"/>
      <c r="I30" s="129">
        <f>'2015 Area Rate Design'!Q27</f>
        <v>10.38748970574477</v>
      </c>
      <c r="J30" s="130">
        <f t="shared" si="1"/>
        <v>151665.25817204098</v>
      </c>
      <c r="K30" s="153"/>
      <c r="L30" s="156"/>
      <c r="M30" s="156"/>
      <c r="N30" s="157"/>
      <c r="O30" s="157"/>
    </row>
    <row r="31" spans="2:15" ht="15.75" thickBot="1" x14ac:dyDescent="0.3">
      <c r="B31" s="134"/>
      <c r="C31" s="134"/>
      <c r="D31" s="135"/>
      <c r="E31" s="126"/>
      <c r="F31" s="127"/>
      <c r="G31" s="128"/>
      <c r="H31" s="129"/>
      <c r="I31" s="129"/>
      <c r="J31" s="136"/>
      <c r="K31" s="153"/>
      <c r="L31" s="156"/>
      <c r="M31" s="156"/>
      <c r="N31" s="157"/>
      <c r="O31" s="157"/>
    </row>
    <row r="32" spans="2:15" ht="15.75" thickTop="1" x14ac:dyDescent="0.25">
      <c r="B32" s="121"/>
      <c r="C32" s="121"/>
      <c r="D32" s="121"/>
      <c r="E32" s="134"/>
      <c r="F32" s="138"/>
      <c r="G32" s="134"/>
      <c r="H32" s="134"/>
      <c r="I32" s="134"/>
      <c r="J32" s="139"/>
      <c r="K32" s="153"/>
      <c r="L32" s="155"/>
      <c r="M32" s="155"/>
      <c r="N32" s="155"/>
      <c r="O32" s="155"/>
    </row>
    <row r="33" spans="2:15" ht="15.75" thickBot="1" x14ac:dyDescent="0.3">
      <c r="B33" s="141" t="s">
        <v>27</v>
      </c>
      <c r="C33" s="142"/>
      <c r="D33" s="143">
        <f>SUM(D25:D30)</f>
        <v>11174</v>
      </c>
      <c r="E33" s="143">
        <f>SUM(E25:E30)</f>
        <v>178798225</v>
      </c>
      <c r="F33" s="143">
        <f>SUM(F25:F30)</f>
        <v>315823</v>
      </c>
      <c r="G33" s="144"/>
      <c r="H33" s="144"/>
      <c r="I33" s="144"/>
      <c r="J33" s="145">
        <f>SUM(J25:J30)</f>
        <v>6296519.5834266627</v>
      </c>
      <c r="K33" s="154"/>
      <c r="L33" s="158"/>
      <c r="M33" s="158"/>
      <c r="N33" s="158"/>
      <c r="O33" s="159"/>
    </row>
    <row r="36" spans="2:15" ht="15.75" thickBot="1" x14ac:dyDescent="0.3">
      <c r="B36" s="149" t="s">
        <v>181</v>
      </c>
    </row>
    <row r="37" spans="2:15" ht="15.75" thickBot="1" x14ac:dyDescent="0.3">
      <c r="B37" s="108" t="s">
        <v>125</v>
      </c>
      <c r="C37" s="227" t="s">
        <v>126</v>
      </c>
      <c r="D37" s="109"/>
      <c r="E37" s="229" t="s">
        <v>127</v>
      </c>
      <c r="F37" s="230"/>
      <c r="G37" s="229" t="s">
        <v>128</v>
      </c>
      <c r="H37" s="231"/>
      <c r="I37" s="230"/>
      <c r="J37" s="227" t="s">
        <v>129</v>
      </c>
      <c r="K37" s="110"/>
      <c r="L37" s="227" t="s">
        <v>130</v>
      </c>
      <c r="M37" s="227" t="s">
        <v>131</v>
      </c>
      <c r="N37" s="227" t="s">
        <v>27</v>
      </c>
      <c r="O37" s="227" t="s">
        <v>132</v>
      </c>
    </row>
    <row r="38" spans="2:15" ht="39" thickBot="1" x14ac:dyDescent="0.3">
      <c r="B38" s="111"/>
      <c r="C38" s="228"/>
      <c r="D38" s="162" t="s">
        <v>133</v>
      </c>
      <c r="E38" s="113" t="s">
        <v>9</v>
      </c>
      <c r="F38" s="114" t="s">
        <v>12</v>
      </c>
      <c r="G38" s="162" t="s">
        <v>134</v>
      </c>
      <c r="H38" s="229" t="s">
        <v>135</v>
      </c>
      <c r="I38" s="230"/>
      <c r="J38" s="228"/>
      <c r="K38" s="115"/>
      <c r="L38" s="228"/>
      <c r="M38" s="228"/>
      <c r="N38" s="228"/>
      <c r="O38" s="228"/>
    </row>
    <row r="39" spans="2:15" x14ac:dyDescent="0.25">
      <c r="B39" s="116"/>
      <c r="C39" s="116"/>
      <c r="D39" s="116"/>
      <c r="E39" s="116"/>
      <c r="F39" s="117"/>
      <c r="G39" s="116"/>
      <c r="H39" s="118" t="s">
        <v>9</v>
      </c>
      <c r="I39" s="118" t="s">
        <v>12</v>
      </c>
      <c r="J39" s="119"/>
      <c r="K39" s="120"/>
      <c r="L39" s="119"/>
      <c r="M39" s="119"/>
      <c r="N39" s="119"/>
      <c r="O39" s="117"/>
    </row>
    <row r="40" spans="2:15" x14ac:dyDescent="0.25">
      <c r="B40" s="121"/>
      <c r="C40" s="121"/>
      <c r="D40" s="121"/>
      <c r="E40" s="121"/>
      <c r="F40" s="122"/>
      <c r="G40" s="121"/>
      <c r="H40" s="121"/>
      <c r="I40" s="121"/>
      <c r="J40" s="121"/>
      <c r="K40" s="123"/>
      <c r="L40" s="121"/>
      <c r="M40" s="121"/>
      <c r="N40" s="121"/>
      <c r="O40" s="122"/>
    </row>
    <row r="41" spans="2:15" x14ac:dyDescent="0.25">
      <c r="B41" s="124" t="s">
        <v>8</v>
      </c>
      <c r="C41" s="124" t="s">
        <v>136</v>
      </c>
      <c r="D41" s="125">
        <f>D9+D25</f>
        <v>25689</v>
      </c>
      <c r="E41" s="125">
        <f>E9+E25</f>
        <v>208287976</v>
      </c>
      <c r="F41" s="125"/>
      <c r="G41" s="128"/>
      <c r="H41" s="129"/>
      <c r="I41" s="129"/>
      <c r="J41" s="125">
        <f>J9+J25</f>
        <v>10042214.1631</v>
      </c>
      <c r="K41" s="123"/>
      <c r="L41" s="125">
        <f>'2015 R|C Ratio Adj.'!H5</f>
        <v>10042214.1631</v>
      </c>
      <c r="M41" s="131"/>
      <c r="N41" s="132">
        <f t="shared" ref="N41:N46" si="2">SUM(L41:M41)</f>
        <v>10042214.1631</v>
      </c>
      <c r="O41" s="133">
        <f t="shared" ref="O41:O46" si="3">N41-J41</f>
        <v>0</v>
      </c>
    </row>
    <row r="42" spans="2:15" x14ac:dyDescent="0.25">
      <c r="B42" s="124" t="s">
        <v>10</v>
      </c>
      <c r="C42" s="124" t="s">
        <v>136</v>
      </c>
      <c r="D42" s="125">
        <f t="shared" ref="D42:F46" si="4">D10+D26</f>
        <v>2521</v>
      </c>
      <c r="E42" s="125">
        <f t="shared" si="4"/>
        <v>72454602</v>
      </c>
      <c r="F42" s="125"/>
      <c r="G42" s="128"/>
      <c r="H42" s="129"/>
      <c r="I42" s="129"/>
      <c r="J42" s="125">
        <f t="shared" ref="J42:J46" si="5">J10+J26</f>
        <v>2446814</v>
      </c>
      <c r="K42" s="123"/>
      <c r="L42" s="125">
        <f>'2015 R|C Ratio Adj.'!H6</f>
        <v>2446814</v>
      </c>
      <c r="M42" s="131"/>
      <c r="N42" s="132">
        <f t="shared" si="2"/>
        <v>2446814</v>
      </c>
      <c r="O42" s="133">
        <f t="shared" si="3"/>
        <v>0</v>
      </c>
    </row>
    <row r="43" spans="2:15" x14ac:dyDescent="0.25">
      <c r="B43" s="124" t="s">
        <v>11</v>
      </c>
      <c r="C43" s="124" t="s">
        <v>136</v>
      </c>
      <c r="D43" s="125">
        <f t="shared" si="4"/>
        <v>228</v>
      </c>
      <c r="E43" s="125">
        <f t="shared" si="4"/>
        <v>224300691</v>
      </c>
      <c r="F43" s="125">
        <f t="shared" si="4"/>
        <v>691366</v>
      </c>
      <c r="G43" s="128"/>
      <c r="H43" s="129"/>
      <c r="I43" s="129"/>
      <c r="J43" s="125">
        <f t="shared" si="5"/>
        <v>4880390.7999999989</v>
      </c>
      <c r="K43" s="123"/>
      <c r="L43" s="125">
        <f>'2015 R|C Ratio Adj.'!H7</f>
        <v>4647757</v>
      </c>
      <c r="M43" s="131">
        <f>'2014 Rate Design'!D14</f>
        <v>232633.8</v>
      </c>
      <c r="N43" s="132">
        <f t="shared" si="2"/>
        <v>4880390.8</v>
      </c>
      <c r="O43" s="133">
        <f t="shared" si="3"/>
        <v>0</v>
      </c>
    </row>
    <row r="44" spans="2:15" x14ac:dyDescent="0.25">
      <c r="B44" s="124" t="s">
        <v>13</v>
      </c>
      <c r="C44" s="124" t="s">
        <v>136</v>
      </c>
      <c r="D44" s="125">
        <f t="shared" si="4"/>
        <v>39</v>
      </c>
      <c r="E44" s="125">
        <f t="shared" si="4"/>
        <v>1527929</v>
      </c>
      <c r="F44" s="125"/>
      <c r="G44" s="128"/>
      <c r="H44" s="129"/>
      <c r="I44" s="129"/>
      <c r="J44" s="125">
        <f t="shared" si="5"/>
        <v>54594.423300000002</v>
      </c>
      <c r="K44" s="123"/>
      <c r="L44" s="125">
        <f>'2015 R|C Ratio Adj.'!H8</f>
        <v>54594.423300000002</v>
      </c>
      <c r="M44" s="131"/>
      <c r="N44" s="132">
        <f t="shared" si="2"/>
        <v>54594.423300000002</v>
      </c>
      <c r="O44" s="133">
        <f t="shared" si="3"/>
        <v>0</v>
      </c>
    </row>
    <row r="45" spans="2:15" x14ac:dyDescent="0.25">
      <c r="B45" s="124" t="s">
        <v>14</v>
      </c>
      <c r="C45" s="124" t="s">
        <v>137</v>
      </c>
      <c r="D45" s="125">
        <f t="shared" si="4"/>
        <v>961</v>
      </c>
      <c r="E45" s="125">
        <f t="shared" si="4"/>
        <v>761037</v>
      </c>
      <c r="F45" s="125">
        <f t="shared" si="4"/>
        <v>2334</v>
      </c>
      <c r="G45" s="128"/>
      <c r="H45" s="129"/>
      <c r="I45" s="129"/>
      <c r="J45" s="125">
        <f t="shared" si="5"/>
        <v>70327.4136</v>
      </c>
      <c r="K45" s="123"/>
      <c r="L45" s="125">
        <f>'2015 R|C Ratio Adj.'!H9</f>
        <v>70327.4136</v>
      </c>
      <c r="M45" s="131"/>
      <c r="N45" s="132">
        <f t="shared" si="2"/>
        <v>70327.4136</v>
      </c>
      <c r="O45" s="133">
        <f t="shared" si="3"/>
        <v>0</v>
      </c>
    </row>
    <row r="46" spans="2:15" x14ac:dyDescent="0.25">
      <c r="B46" s="124" t="s">
        <v>15</v>
      </c>
      <c r="C46" s="124" t="s">
        <v>137</v>
      </c>
      <c r="D46" s="125">
        <f t="shared" si="4"/>
        <v>5696</v>
      </c>
      <c r="E46" s="125">
        <f t="shared" si="4"/>
        <v>4475403</v>
      </c>
      <c r="F46" s="125">
        <f t="shared" si="4"/>
        <v>11789</v>
      </c>
      <c r="G46" s="128"/>
      <c r="H46" s="129"/>
      <c r="I46" s="129"/>
      <c r="J46" s="125">
        <f t="shared" si="5"/>
        <v>451374.00000000006</v>
      </c>
      <c r="K46" s="123"/>
      <c r="L46" s="125">
        <f>'2015 R|C Ratio Adj.'!H10</f>
        <v>451374</v>
      </c>
      <c r="M46" s="131"/>
      <c r="N46" s="132">
        <f t="shared" si="2"/>
        <v>451374</v>
      </c>
      <c r="O46" s="133">
        <f t="shared" si="3"/>
        <v>0</v>
      </c>
    </row>
    <row r="47" spans="2:15" ht="15.75" thickBot="1" x14ac:dyDescent="0.3">
      <c r="B47" s="134"/>
      <c r="C47" s="134"/>
      <c r="D47" s="135"/>
      <c r="E47" s="126"/>
      <c r="F47" s="127"/>
      <c r="G47" s="128"/>
      <c r="H47" s="129"/>
      <c r="I47" s="129"/>
      <c r="J47" s="136"/>
      <c r="K47" s="123"/>
      <c r="L47" s="131"/>
      <c r="M47" s="131"/>
      <c r="N47" s="137"/>
      <c r="O47" s="137"/>
    </row>
    <row r="48" spans="2:15" ht="15.75" thickTop="1" x14ac:dyDescent="0.25">
      <c r="B48" s="121"/>
      <c r="C48" s="121"/>
      <c r="D48" s="121"/>
      <c r="E48" s="134"/>
      <c r="F48" s="138"/>
      <c r="G48" s="134"/>
      <c r="H48" s="134"/>
      <c r="I48" s="134"/>
      <c r="J48" s="139"/>
      <c r="K48" s="123"/>
      <c r="L48" s="140"/>
      <c r="M48" s="140"/>
      <c r="N48" s="121"/>
      <c r="O48" s="122"/>
    </row>
    <row r="49" spans="2:15" ht="15.75" thickBot="1" x14ac:dyDescent="0.3">
      <c r="B49" s="141" t="s">
        <v>27</v>
      </c>
      <c r="C49" s="142"/>
      <c r="D49" s="143">
        <f>SUM(D41:D46)</f>
        <v>35134</v>
      </c>
      <c r="E49" s="143">
        <f>SUM(E41:E46)</f>
        <v>511807638</v>
      </c>
      <c r="F49" s="143">
        <f>SUM(F41:F46)</f>
        <v>705489</v>
      </c>
      <c r="G49" s="144"/>
      <c r="H49" s="144"/>
      <c r="I49" s="144"/>
      <c r="J49" s="147">
        <f>SUM(J41:J46)</f>
        <v>17945714.800000004</v>
      </c>
      <c r="K49" s="146"/>
      <c r="L49" s="147">
        <f>SUM(L41:L47)</f>
        <v>17713081.000000004</v>
      </c>
      <c r="M49" s="147">
        <f>SUM(M41:M47)</f>
        <v>232633.8</v>
      </c>
      <c r="N49" s="147">
        <f>L49+M49</f>
        <v>17945714.800000004</v>
      </c>
      <c r="O49" s="148">
        <f>N49-J49</f>
        <v>0</v>
      </c>
    </row>
  </sheetData>
  <mergeCells count="28">
    <mergeCell ref="O37:O38"/>
    <mergeCell ref="H38:I38"/>
    <mergeCell ref="N21:N22"/>
    <mergeCell ref="O21:O22"/>
    <mergeCell ref="H22:I22"/>
    <mergeCell ref="M37:M38"/>
    <mergeCell ref="N37:N38"/>
    <mergeCell ref="M21:M22"/>
    <mergeCell ref="C37:C38"/>
    <mergeCell ref="E37:F37"/>
    <mergeCell ref="G37:I37"/>
    <mergeCell ref="J37:J38"/>
    <mergeCell ref="L37:L38"/>
    <mergeCell ref="C21:C22"/>
    <mergeCell ref="E21:F21"/>
    <mergeCell ref="G21:I21"/>
    <mergeCell ref="J21:J22"/>
    <mergeCell ref="L21:L22"/>
    <mergeCell ref="B3:O3"/>
    <mergeCell ref="C5:C6"/>
    <mergeCell ref="E5:F5"/>
    <mergeCell ref="G5:I5"/>
    <mergeCell ref="J5:J6"/>
    <mergeCell ref="L5:L6"/>
    <mergeCell ref="M5:M6"/>
    <mergeCell ref="N5:N6"/>
    <mergeCell ref="O5:O6"/>
    <mergeCell ref="H6:I6"/>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4"/>
  <sheetViews>
    <sheetView workbookViewId="0">
      <selection activeCell="G19" sqref="G19"/>
    </sheetView>
  </sheetViews>
  <sheetFormatPr defaultRowHeight="15" x14ac:dyDescent="0.25"/>
  <cols>
    <col min="1" max="1" width="2.7109375" customWidth="1"/>
    <col min="2" max="2" width="21.85546875" customWidth="1"/>
    <col min="3" max="3" width="14.42578125" customWidth="1"/>
    <col min="4" max="5" width="13.5703125" customWidth="1"/>
    <col min="6" max="6" width="13.85546875" bestFit="1" customWidth="1"/>
    <col min="7" max="7" width="11.140625" customWidth="1"/>
    <col min="8" max="8" width="14" bestFit="1" customWidth="1"/>
  </cols>
  <sheetData>
    <row r="1" spans="2:8" ht="15.75" thickBot="1" x14ac:dyDescent="0.3"/>
    <row r="2" spans="2:8" ht="18" x14ac:dyDescent="0.25">
      <c r="B2" s="220" t="s">
        <v>174</v>
      </c>
      <c r="C2" s="221"/>
      <c r="D2" s="221"/>
      <c r="E2" s="221"/>
      <c r="F2" s="221"/>
      <c r="G2" s="221"/>
      <c r="H2" s="222"/>
    </row>
    <row r="3" spans="2:8" x14ac:dyDescent="0.25">
      <c r="B3" s="20"/>
      <c r="C3" s="21"/>
      <c r="D3" s="21"/>
      <c r="E3" s="21"/>
      <c r="F3" s="21"/>
      <c r="G3" s="21"/>
      <c r="H3" s="11"/>
    </row>
    <row r="4" spans="2:8" ht="85.5" x14ac:dyDescent="0.25">
      <c r="B4" s="160" t="s">
        <v>21</v>
      </c>
      <c r="C4" s="32" t="s">
        <v>36</v>
      </c>
      <c r="D4" s="32" t="s">
        <v>39</v>
      </c>
      <c r="E4" s="32" t="s">
        <v>55</v>
      </c>
      <c r="F4" s="32" t="s">
        <v>38</v>
      </c>
      <c r="G4" s="32" t="s">
        <v>51</v>
      </c>
      <c r="H4" s="33" t="s">
        <v>52</v>
      </c>
    </row>
    <row r="5" spans="2:8" x14ac:dyDescent="0.25">
      <c r="B5" s="19" t="s">
        <v>8</v>
      </c>
      <c r="C5" s="34">
        <f>'R|C Ratio'!C$8</f>
        <v>11959720</v>
      </c>
      <c r="D5" s="34">
        <f>'R|C Ratio'!F$8</f>
        <v>887427</v>
      </c>
      <c r="E5" s="34">
        <f>C5-D5</f>
        <v>11072293</v>
      </c>
      <c r="F5" s="34">
        <f>'R|C Ratio'!E$8</f>
        <v>10012615</v>
      </c>
      <c r="G5" s="67">
        <f t="shared" ref="G5:G10" si="0">(H5+D5)/C5</f>
        <v>0.91496067132006442</v>
      </c>
      <c r="H5" s="63">
        <f>H12-(H6+H7+H8+H9+H10)</f>
        <v>10055246.440000001</v>
      </c>
    </row>
    <row r="6" spans="2:8" x14ac:dyDescent="0.25">
      <c r="B6" s="19" t="s">
        <v>10</v>
      </c>
      <c r="C6" s="34">
        <f>'R|C Ratio'!C$9</f>
        <v>2395011</v>
      </c>
      <c r="D6" s="34">
        <f>'R|C Ratio'!F$9</f>
        <v>171803</v>
      </c>
      <c r="E6" s="34">
        <f t="shared" ref="E6:E10" si="1">C6-D6</f>
        <v>2223208</v>
      </c>
      <c r="F6" s="34">
        <f>'R|C Ratio'!E$9</f>
        <v>2446814</v>
      </c>
      <c r="G6" s="62">
        <f t="shared" si="0"/>
        <v>1.0933632455132773</v>
      </c>
      <c r="H6" s="63">
        <v>2446814</v>
      </c>
    </row>
    <row r="7" spans="2:8" x14ac:dyDescent="0.25">
      <c r="B7" s="19" t="s">
        <v>11</v>
      </c>
      <c r="C7" s="34">
        <f>'R|C Ratio'!C$10</f>
        <v>4132293</v>
      </c>
      <c r="D7" s="34">
        <f>'R|C Ratio'!F$10</f>
        <v>297618</v>
      </c>
      <c r="E7" s="34">
        <f t="shared" si="1"/>
        <v>3834675</v>
      </c>
      <c r="F7" s="34">
        <f>'R|C Ratio'!E$10</f>
        <v>4647757</v>
      </c>
      <c r="G7" s="62">
        <f t="shared" si="0"/>
        <v>1.1967629110520479</v>
      </c>
      <c r="H7" s="63">
        <v>4647757</v>
      </c>
    </row>
    <row r="8" spans="2:8" x14ac:dyDescent="0.25">
      <c r="B8" s="19" t="s">
        <v>13</v>
      </c>
      <c r="C8" s="34">
        <f>'R|C Ratio'!C$11</f>
        <v>37273</v>
      </c>
      <c r="D8" s="34">
        <f>'R|C Ratio'!F$11</f>
        <v>3257</v>
      </c>
      <c r="E8" s="34">
        <f t="shared" si="1"/>
        <v>34016</v>
      </c>
      <c r="F8" s="34">
        <f>'R|C Ratio'!E$11</f>
        <v>94061</v>
      </c>
      <c r="G8" s="171">
        <f t="shared" si="0"/>
        <v>1.2</v>
      </c>
      <c r="H8" s="63">
        <v>41470.6</v>
      </c>
    </row>
    <row r="9" spans="2:8" x14ac:dyDescent="0.25">
      <c r="B9" s="19" t="s">
        <v>14</v>
      </c>
      <c r="C9" s="34">
        <f>'R|C Ratio'!C$12</f>
        <v>83224</v>
      </c>
      <c r="D9" s="34">
        <f>'R|C Ratio'!F$12</f>
        <v>5731</v>
      </c>
      <c r="E9" s="34">
        <f t="shared" si="1"/>
        <v>77493</v>
      </c>
      <c r="F9" s="34">
        <f>'R|C Ratio'!E$12</f>
        <v>60460</v>
      </c>
      <c r="G9" s="67">
        <f t="shared" si="0"/>
        <v>0.91500000000000004</v>
      </c>
      <c r="H9" s="63">
        <v>70418.960000000006</v>
      </c>
    </row>
    <row r="10" spans="2:8" x14ac:dyDescent="0.25">
      <c r="B10" s="19" t="s">
        <v>15</v>
      </c>
      <c r="C10" s="34">
        <f>'R|C Ratio'!C$13</f>
        <v>508745</v>
      </c>
      <c r="D10" s="34">
        <f>'R|C Ratio'!F$13</f>
        <v>37349</v>
      </c>
      <c r="E10" s="34">
        <f t="shared" si="1"/>
        <v>471396</v>
      </c>
      <c r="F10" s="34">
        <f>'R|C Ratio'!E$13</f>
        <v>451374</v>
      </c>
      <c r="G10" s="62">
        <f t="shared" si="0"/>
        <v>0.96064433065681232</v>
      </c>
      <c r="H10" s="63">
        <v>451374</v>
      </c>
    </row>
    <row r="11" spans="2:8" x14ac:dyDescent="0.25">
      <c r="B11" s="19"/>
      <c r="C11" s="35"/>
      <c r="D11" s="35"/>
      <c r="E11" s="35"/>
      <c r="F11" s="35"/>
      <c r="G11" s="35"/>
      <c r="H11" s="57"/>
    </row>
    <row r="12" spans="2:8" ht="15.75" thickBot="1" x14ac:dyDescent="0.3">
      <c r="B12" s="22" t="s">
        <v>27</v>
      </c>
      <c r="C12" s="58">
        <f>SUM(C5:C10)</f>
        <v>19116266</v>
      </c>
      <c r="D12" s="58">
        <f>SUM(D5:D10)</f>
        <v>1403185</v>
      </c>
      <c r="E12" s="58">
        <f>SUM(E5:E10)</f>
        <v>17713081</v>
      </c>
      <c r="F12" s="58">
        <f>SUM(F5:F10)</f>
        <v>17713081</v>
      </c>
      <c r="G12" s="23"/>
      <c r="H12" s="64">
        <f>F12</f>
        <v>17713081</v>
      </c>
    </row>
    <row r="14" spans="2:8" x14ac:dyDescent="0.25">
      <c r="B14" s="65" t="s">
        <v>53</v>
      </c>
      <c r="C14" s="161" t="str">
        <f>IF((H5+H6+H7+H8+H9+H10)-F12&lt;1,"YES","NO")</f>
        <v>YES</v>
      </c>
    </row>
  </sheetData>
  <mergeCells count="1">
    <mergeCell ref="B2:H2"/>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28"/>
  <sheetViews>
    <sheetView workbookViewId="0">
      <selection activeCell="J34" sqref="J34"/>
    </sheetView>
  </sheetViews>
  <sheetFormatPr defaultRowHeight="14.25" x14ac:dyDescent="0.2"/>
  <cols>
    <col min="1" max="1" width="2.7109375" style="3" customWidth="1"/>
    <col min="2" max="2" width="21.85546875" style="3" customWidth="1"/>
    <col min="3" max="3" width="14" style="3" bestFit="1" customWidth="1"/>
    <col min="4" max="7" width="14.42578125" style="3" bestFit="1" customWidth="1"/>
    <col min="8" max="16384" width="9.140625" style="3"/>
  </cols>
  <sheetData>
    <row r="1" spans="2:7" ht="15" thickBot="1" x14ac:dyDescent="0.25"/>
    <row r="2" spans="2:7" ht="15" x14ac:dyDescent="0.25">
      <c r="B2" s="196" t="s">
        <v>154</v>
      </c>
      <c r="C2" s="197"/>
      <c r="D2" s="197"/>
      <c r="E2" s="197"/>
      <c r="F2" s="197"/>
      <c r="G2" s="198"/>
    </row>
    <row r="3" spans="2:7" x14ac:dyDescent="0.2">
      <c r="B3" s="20"/>
      <c r="C3" s="21"/>
      <c r="D3" s="21"/>
      <c r="E3" s="21"/>
      <c r="F3" s="21"/>
      <c r="G3" s="11"/>
    </row>
    <row r="4" spans="2:7" ht="57" x14ac:dyDescent="0.2">
      <c r="B4" s="160" t="s">
        <v>21</v>
      </c>
      <c r="C4" s="32" t="s">
        <v>86</v>
      </c>
      <c r="D4" s="32" t="s">
        <v>87</v>
      </c>
      <c r="E4" s="32" t="s">
        <v>88</v>
      </c>
      <c r="F4" s="32" t="s">
        <v>31</v>
      </c>
      <c r="G4" s="33" t="s">
        <v>23</v>
      </c>
    </row>
    <row r="5" spans="2:7" x14ac:dyDescent="0.2">
      <c r="B5" s="19" t="s">
        <v>8</v>
      </c>
      <c r="C5" s="34">
        <f>'2016 R|C Ratio Adj.'!H5</f>
        <v>10055246.440000001</v>
      </c>
      <c r="D5" s="34">
        <f>C5*'Existing F_V Ratios'!F74</f>
        <v>6007740.9276613751</v>
      </c>
      <c r="E5" s="34">
        <f>C5*'Existing F_V Ratios'!G74</f>
        <v>4047505.5123386257</v>
      </c>
      <c r="F5" s="90">
        <f>D5/'Existing Rates &amp; Forecast Vols'!F35/12</f>
        <v>19.488694667177182</v>
      </c>
      <c r="G5" s="91">
        <f>E5/'Existing Rates &amp; Forecast Vols'!G35</f>
        <v>1.9432257156978786E-2</v>
      </c>
    </row>
    <row r="6" spans="2:7" x14ac:dyDescent="0.2">
      <c r="B6" s="19" t="s">
        <v>10</v>
      </c>
      <c r="C6" s="34">
        <f>'2016 R|C Ratio Adj.'!H6</f>
        <v>2446814</v>
      </c>
      <c r="D6" s="34">
        <f>C6*'Existing F_V Ratios'!F75</f>
        <v>828258.02009730285</v>
      </c>
      <c r="E6" s="34">
        <f>C6*'Existing F_V Ratios'!G75</f>
        <v>1618555.979902697</v>
      </c>
      <c r="F6" s="90">
        <f>D6/'Existing Rates &amp; Forecast Vols'!F36/12</f>
        <v>27.378620259728379</v>
      </c>
      <c r="G6" s="91">
        <f>E6/'Existing Rates &amp; Forecast Vols'!G36</f>
        <v>2.2338898223506865E-2</v>
      </c>
    </row>
    <row r="7" spans="2:7" x14ac:dyDescent="0.2">
      <c r="B7" s="19" t="s">
        <v>11</v>
      </c>
      <c r="C7" s="34">
        <f>'2016 R|C Ratio Adj.'!H7</f>
        <v>4647757</v>
      </c>
      <c r="D7" s="34">
        <f>C7*'Existing F_V Ratios'!F76</f>
        <v>859161.41084480553</v>
      </c>
      <c r="E7" s="34">
        <f>C7*'Existing F_V Ratios'!G76</f>
        <v>3788595.5891551943</v>
      </c>
      <c r="F7" s="90">
        <f>D7/'Existing Rates &amp; Forecast Vols'!F37/12</f>
        <v>314.02098349590847</v>
      </c>
      <c r="G7" s="91">
        <f>E7/'Existing Rates &amp; Forecast Vols'!H37</f>
        <v>5.4798696915312499</v>
      </c>
    </row>
    <row r="8" spans="2:7" x14ac:dyDescent="0.2">
      <c r="B8" s="19" t="s">
        <v>13</v>
      </c>
      <c r="C8" s="34">
        <f>'2016 R|C Ratio Adj.'!H8</f>
        <v>41470.6</v>
      </c>
      <c r="D8" s="34">
        <f>C8*'Existing F_V Ratios'!F77</f>
        <v>14647.876441634073</v>
      </c>
      <c r="E8" s="34">
        <f>C8*'Existing F_V Ratios'!G77</f>
        <v>26822.723558365928</v>
      </c>
      <c r="F8" s="90">
        <f>D8/'Existing Rates &amp; Forecast Vols'!F38/12</f>
        <v>31.29888128554289</v>
      </c>
      <c r="G8" s="91">
        <f>E8/'Existing Rates &amp; Forecast Vols'!G38</f>
        <v>1.7554954162376606E-2</v>
      </c>
    </row>
    <row r="9" spans="2:7" x14ac:dyDescent="0.2">
      <c r="B9" s="19" t="s">
        <v>14</v>
      </c>
      <c r="C9" s="34">
        <f>'2016 R|C Ratio Adj.'!H9</f>
        <v>70418.960000000006</v>
      </c>
      <c r="D9" s="34">
        <f>C9*'Existing F_V Ratios'!F78</f>
        <v>57281.734365100012</v>
      </c>
      <c r="E9" s="34">
        <f>C9*'Existing F_V Ratios'!G78</f>
        <v>13137.225634899998</v>
      </c>
      <c r="F9" s="90">
        <f>D9/'Existing Rates &amp; Forecast Vols'!F39/12</f>
        <v>4.967198609530004</v>
      </c>
      <c r="G9" s="91">
        <f>E9/'Existing Rates &amp; Forecast Vols'!H39</f>
        <v>5.6286313774207359</v>
      </c>
    </row>
    <row r="10" spans="2:7" x14ac:dyDescent="0.2">
      <c r="B10" s="19" t="s">
        <v>15</v>
      </c>
      <c r="C10" s="34">
        <f>'2016 R|C Ratio Adj.'!H10</f>
        <v>451374</v>
      </c>
      <c r="D10" s="34">
        <f>C10*'Existing F_V Ratios'!F79</f>
        <v>328066.94497750018</v>
      </c>
      <c r="E10" s="34">
        <f>C10*'Existing F_V Ratios'!G79</f>
        <v>123307.05502249982</v>
      </c>
      <c r="F10" s="90">
        <f>D10/'Existing Rates &amp; Forecast Vols'!F40/12</f>
        <v>4.7996685536268169</v>
      </c>
      <c r="G10" s="91">
        <f>E10/'Existing Rates &amp; Forecast Vols'!H40</f>
        <v>10.459500807744492</v>
      </c>
    </row>
    <row r="11" spans="2:7" x14ac:dyDescent="0.2">
      <c r="B11" s="20"/>
      <c r="C11" s="21"/>
      <c r="D11" s="21"/>
      <c r="E11" s="21"/>
      <c r="F11" s="21"/>
      <c r="G11" s="11"/>
    </row>
    <row r="12" spans="2:7" ht="15" thickBot="1" x14ac:dyDescent="0.25">
      <c r="B12" s="22" t="s">
        <v>27</v>
      </c>
      <c r="C12" s="58">
        <f>SUM(C5:C10)</f>
        <v>17713081.000000004</v>
      </c>
      <c r="D12" s="58">
        <f>SUM(D5:D10)</f>
        <v>8095156.9143877188</v>
      </c>
      <c r="E12" s="58">
        <f>SUM(E5:E10)</f>
        <v>9617924.085612284</v>
      </c>
      <c r="F12" s="23"/>
      <c r="G12" s="60"/>
    </row>
    <row r="14" spans="2:7" x14ac:dyDescent="0.2">
      <c r="B14" s="3" t="s">
        <v>89</v>
      </c>
      <c r="D14" s="89">
        <f>'Existing Rates &amp; Forecast Vols'!D42*'Existing Rates &amp; Forecast Vols'!H42</f>
        <v>232633.8</v>
      </c>
      <c r="E14" s="3" t="s">
        <v>90</v>
      </c>
    </row>
    <row r="15" spans="2:7" ht="15" thickBot="1" x14ac:dyDescent="0.25">
      <c r="D15" s="89"/>
    </row>
    <row r="16" spans="2:7" ht="15" x14ac:dyDescent="0.25">
      <c r="B16" s="196" t="s">
        <v>155</v>
      </c>
      <c r="C16" s="197"/>
      <c r="D16" s="197"/>
      <c r="E16" s="197"/>
      <c r="F16" s="197"/>
      <c r="G16" s="198"/>
    </row>
    <row r="17" spans="2:7" x14ac:dyDescent="0.2">
      <c r="B17" s="20"/>
      <c r="C17" s="21"/>
      <c r="D17" s="21"/>
      <c r="E17" s="21"/>
      <c r="F17" s="21"/>
      <c r="G17" s="11"/>
    </row>
    <row r="18" spans="2:7" ht="57" x14ac:dyDescent="0.2">
      <c r="B18" s="160" t="s">
        <v>21</v>
      </c>
      <c r="C18" s="32" t="s">
        <v>92</v>
      </c>
      <c r="D18" s="32" t="s">
        <v>87</v>
      </c>
      <c r="E18" s="32" t="s">
        <v>88</v>
      </c>
      <c r="F18" s="32" t="s">
        <v>31</v>
      </c>
      <c r="G18" s="33" t="s">
        <v>23</v>
      </c>
    </row>
    <row r="19" spans="2:7" x14ac:dyDescent="0.2">
      <c r="B19" s="19" t="s">
        <v>8</v>
      </c>
      <c r="C19" s="34">
        <f>C5</f>
        <v>10055246.440000001</v>
      </c>
      <c r="D19" s="34">
        <f>D5</f>
        <v>6007740.9276613751</v>
      </c>
      <c r="E19" s="34">
        <f>E5</f>
        <v>4047505.5123386257</v>
      </c>
      <c r="F19" s="90">
        <f>D19/'Existing Rates &amp; Forecast Vols'!F35/12</f>
        <v>19.488694667177182</v>
      </c>
      <c r="G19" s="91">
        <f>E19/'Existing Rates &amp; Forecast Vols'!G35</f>
        <v>1.9432257156978786E-2</v>
      </c>
    </row>
    <row r="20" spans="2:7" x14ac:dyDescent="0.2">
      <c r="B20" s="19" t="s">
        <v>10</v>
      </c>
      <c r="C20" s="34">
        <f t="shared" ref="C20:E24" si="0">C6</f>
        <v>2446814</v>
      </c>
      <c r="D20" s="34">
        <f t="shared" si="0"/>
        <v>828258.02009730285</v>
      </c>
      <c r="E20" s="34">
        <f t="shared" si="0"/>
        <v>1618555.979902697</v>
      </c>
      <c r="F20" s="90">
        <f>D20/'Existing Rates &amp; Forecast Vols'!F36/12</f>
        <v>27.378620259728379</v>
      </c>
      <c r="G20" s="91">
        <f>E20/'Existing Rates &amp; Forecast Vols'!G36</f>
        <v>2.2338898223506865E-2</v>
      </c>
    </row>
    <row r="21" spans="2:7" x14ac:dyDescent="0.2">
      <c r="B21" s="19" t="s">
        <v>11</v>
      </c>
      <c r="C21" s="34">
        <f>C7+D14</f>
        <v>4880390.8</v>
      </c>
      <c r="D21" s="34">
        <f t="shared" si="0"/>
        <v>859161.41084480553</v>
      </c>
      <c r="E21" s="34">
        <f>E7+D14</f>
        <v>4021229.3891551942</v>
      </c>
      <c r="F21" s="90">
        <f>D21/'Existing Rates &amp; Forecast Vols'!F37/12</f>
        <v>314.02098349590847</v>
      </c>
      <c r="G21" s="91">
        <f>E21/'Existing Rates &amp; Forecast Vols'!H37</f>
        <v>5.8163539849445796</v>
      </c>
    </row>
    <row r="22" spans="2:7" x14ac:dyDescent="0.2">
      <c r="B22" s="19" t="s">
        <v>13</v>
      </c>
      <c r="C22" s="34">
        <f t="shared" si="0"/>
        <v>41470.6</v>
      </c>
      <c r="D22" s="34">
        <f t="shared" si="0"/>
        <v>14647.876441634073</v>
      </c>
      <c r="E22" s="34">
        <f t="shared" si="0"/>
        <v>26822.723558365928</v>
      </c>
      <c r="F22" s="90">
        <f>D22/'Existing Rates &amp; Forecast Vols'!F38/12</f>
        <v>31.29888128554289</v>
      </c>
      <c r="G22" s="91">
        <f>E22/'Existing Rates &amp; Forecast Vols'!G38</f>
        <v>1.7554954162376606E-2</v>
      </c>
    </row>
    <row r="23" spans="2:7" x14ac:dyDescent="0.2">
      <c r="B23" s="19" t="s">
        <v>14</v>
      </c>
      <c r="C23" s="34">
        <f t="shared" si="0"/>
        <v>70418.960000000006</v>
      </c>
      <c r="D23" s="34">
        <f t="shared" si="0"/>
        <v>57281.734365100012</v>
      </c>
      <c r="E23" s="34">
        <f t="shared" si="0"/>
        <v>13137.225634899998</v>
      </c>
      <c r="F23" s="90">
        <f>D23/'Existing Rates &amp; Forecast Vols'!F39/12</f>
        <v>4.967198609530004</v>
      </c>
      <c r="G23" s="91">
        <f>E23/'Existing Rates &amp; Forecast Vols'!H39</f>
        <v>5.6286313774207359</v>
      </c>
    </row>
    <row r="24" spans="2:7" x14ac:dyDescent="0.2">
      <c r="B24" s="19" t="s">
        <v>15</v>
      </c>
      <c r="C24" s="34">
        <f t="shared" si="0"/>
        <v>451374</v>
      </c>
      <c r="D24" s="34">
        <f t="shared" si="0"/>
        <v>328066.94497750018</v>
      </c>
      <c r="E24" s="34">
        <f t="shared" si="0"/>
        <v>123307.05502249982</v>
      </c>
      <c r="F24" s="90">
        <f>D24/'Existing Rates &amp; Forecast Vols'!F40/12</f>
        <v>4.7996685536268169</v>
      </c>
      <c r="G24" s="91">
        <f>E24/'Existing Rates &amp; Forecast Vols'!H40</f>
        <v>10.459500807744492</v>
      </c>
    </row>
    <row r="25" spans="2:7" x14ac:dyDescent="0.2">
      <c r="B25" s="20"/>
      <c r="C25" s="21"/>
      <c r="D25" s="21"/>
      <c r="E25" s="21"/>
      <c r="F25" s="21"/>
      <c r="G25" s="11"/>
    </row>
    <row r="26" spans="2:7" ht="15" thickBot="1" x14ac:dyDescent="0.25">
      <c r="B26" s="22" t="s">
        <v>27</v>
      </c>
      <c r="C26" s="58">
        <f>SUM(C19:C24)</f>
        <v>17945714.800000004</v>
      </c>
      <c r="D26" s="58">
        <f>SUM(D19:D24)</f>
        <v>8095156.9143877188</v>
      </c>
      <c r="E26" s="58">
        <f>SUM(E19:E24)</f>
        <v>9850557.8856122848</v>
      </c>
      <c r="F26" s="23"/>
      <c r="G26" s="60"/>
    </row>
    <row r="28" spans="2:7" ht="15" x14ac:dyDescent="0.25">
      <c r="B28" s="65" t="s">
        <v>93</v>
      </c>
      <c r="C28" s="161" t="str">
        <f>IF(C26-(D26+E26)&lt;1,"YES","NO")</f>
        <v>YES</v>
      </c>
    </row>
  </sheetData>
  <mergeCells count="2">
    <mergeCell ref="B2:G2"/>
    <mergeCell ref="B16:G1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Q32"/>
  <sheetViews>
    <sheetView workbookViewId="0">
      <selection activeCell="F19" sqref="F19"/>
    </sheetView>
  </sheetViews>
  <sheetFormatPr defaultRowHeight="14.25" x14ac:dyDescent="0.2"/>
  <cols>
    <col min="1" max="1" width="2.7109375" style="3" customWidth="1"/>
    <col min="2" max="2" width="36.5703125" style="3" bestFit="1" customWidth="1"/>
    <col min="3" max="3" width="1.7109375" style="3" customWidth="1"/>
    <col min="4" max="5" width="9.85546875" style="3" bestFit="1" customWidth="1"/>
    <col min="6" max="6" width="9.85546875" style="3" customWidth="1"/>
    <col min="7" max="7" width="9.85546875" style="3" bestFit="1" customWidth="1"/>
    <col min="8" max="8" width="14.7109375" style="3" customWidth="1"/>
    <col min="9" max="9" width="12.140625" style="3" customWidth="1"/>
    <col min="10" max="10" width="11.5703125" style="3" bestFit="1" customWidth="1"/>
    <col min="11" max="13" width="11.140625" style="3" customWidth="1"/>
    <col min="14" max="14" width="14.5703125" style="3" bestFit="1" customWidth="1"/>
    <col min="15" max="15" width="2.7109375" style="3" customWidth="1"/>
    <col min="16" max="17" width="9.85546875" style="3" bestFit="1" customWidth="1"/>
    <col min="18" max="16384" width="9.140625" style="3"/>
  </cols>
  <sheetData>
    <row r="3" spans="2:17" ht="15" x14ac:dyDescent="0.25">
      <c r="D3" s="224" t="s">
        <v>167</v>
      </c>
      <c r="E3" s="224"/>
      <c r="F3" s="224"/>
      <c r="G3" s="224"/>
      <c r="H3" s="224"/>
      <c r="I3" s="224"/>
      <c r="J3" s="224"/>
      <c r="K3" s="224"/>
      <c r="L3" s="224"/>
      <c r="M3" s="224"/>
      <c r="N3" s="224"/>
      <c r="P3" s="225" t="s">
        <v>170</v>
      </c>
      <c r="Q3" s="225"/>
    </row>
    <row r="4" spans="2:17" ht="57" x14ac:dyDescent="0.2">
      <c r="D4" s="1" t="s">
        <v>119</v>
      </c>
      <c r="E4" s="1" t="s">
        <v>112</v>
      </c>
      <c r="F4" s="1" t="s">
        <v>73</v>
      </c>
      <c r="G4" s="1" t="s">
        <v>164</v>
      </c>
      <c r="H4" s="1" t="s">
        <v>166</v>
      </c>
      <c r="I4" s="1" t="s">
        <v>116</v>
      </c>
      <c r="J4" s="1" t="s">
        <v>117</v>
      </c>
      <c r="K4" s="1" t="s">
        <v>120</v>
      </c>
      <c r="L4" s="1" t="s">
        <v>121</v>
      </c>
      <c r="M4" s="1" t="s">
        <v>162</v>
      </c>
      <c r="N4" s="1" t="s">
        <v>122</v>
      </c>
      <c r="P4" s="167" t="s">
        <v>164</v>
      </c>
      <c r="Q4" s="167" t="s">
        <v>165</v>
      </c>
    </row>
    <row r="5" spans="2:17" ht="15" x14ac:dyDescent="0.25">
      <c r="B5" s="65" t="s">
        <v>21</v>
      </c>
      <c r="P5" s="168"/>
      <c r="Q5" s="168"/>
    </row>
    <row r="6" spans="2:17" x14ac:dyDescent="0.2">
      <c r="B6" s="3" t="s">
        <v>94</v>
      </c>
      <c r="D6" s="96">
        <f>'Existing Rates &amp; Forecast Vols'!D7</f>
        <v>1.52E-2</v>
      </c>
      <c r="E6" s="4">
        <f>'Existing Rates &amp; Forecast Vols'!C7</f>
        <v>18.170000000000002</v>
      </c>
      <c r="F6" s="165">
        <f>'Target MSC Change'!D6</f>
        <v>19.405315643733587</v>
      </c>
      <c r="G6" s="4">
        <f>E6+((F6-E6)/4)+((F6-E6)/4)+((F6-E6)/4)+((F6-E6)/4)</f>
        <v>19.405315643733587</v>
      </c>
      <c r="H6" s="93">
        <f>H8*'Existing F_V Ratios'!C89</f>
        <v>6757849.3057268765</v>
      </c>
      <c r="I6" s="93">
        <f>G6*'Existing Rates &amp; Forecast Vols'!F7*12</f>
        <v>4083732.2453298708</v>
      </c>
      <c r="J6" s="94">
        <f>H6-I6</f>
        <v>2674117.0603970056</v>
      </c>
      <c r="K6" s="96">
        <f>J6/'Existing Rates &amp; Forecast Vols'!G7</f>
        <v>1.8554017058506251E-2</v>
      </c>
      <c r="L6" s="96">
        <f>K8-K6</f>
        <v>1.0016417719273182E-3</v>
      </c>
      <c r="M6" s="96">
        <f>K8</f>
        <v>1.9555658830433569E-2</v>
      </c>
      <c r="N6" s="101">
        <f>M6*'Existing Rates &amp; Forecast Vols'!G7</f>
        <v>2818479.7254883982</v>
      </c>
      <c r="P6" s="169">
        <f>G6</f>
        <v>19.405315643733587</v>
      </c>
      <c r="Q6" s="170">
        <f>M6</f>
        <v>1.9555658830433569E-2</v>
      </c>
    </row>
    <row r="7" spans="2:17" x14ac:dyDescent="0.2">
      <c r="B7" s="3" t="s">
        <v>95</v>
      </c>
      <c r="D7" s="96">
        <f>'Existing Rates &amp; Forecast Vols'!D21</f>
        <v>2.1999999999999999E-2</v>
      </c>
      <c r="E7" s="4">
        <f>'Existing Rates &amp; Forecast Vols'!C21</f>
        <v>15.57</v>
      </c>
      <c r="F7" s="165">
        <f>'Target MSC Change'!D14</f>
        <v>19.405315643733587</v>
      </c>
      <c r="G7" s="4">
        <f>E7+((F7-E7)/4)+((F7-E7)/4)+((F7-E7)/4)+((F7-E7)/4)</f>
        <v>19.405315643733594</v>
      </c>
      <c r="H7" s="94">
        <f>H8-H6</f>
        <v>3297397.1342731249</v>
      </c>
      <c r="I7" s="93">
        <f>G7*'Existing Rates &amp; Forecast Vols'!F21*12</f>
        <v>1898305.597532595</v>
      </c>
      <c r="J7" s="94">
        <f>H7-I7</f>
        <v>1399091.5367405298</v>
      </c>
      <c r="K7" s="96">
        <f>J7/'Existing Rates &amp; Forecast Vols'!G21</f>
        <v>2.180563258186953E-2</v>
      </c>
      <c r="L7" s="96">
        <f>K8-K7</f>
        <v>-2.2499737514359609E-3</v>
      </c>
      <c r="M7" s="96">
        <f>N7/'Existing Rates &amp; Forecast Vols'!G21</f>
        <v>1.9555658830433566E-2</v>
      </c>
      <c r="N7" s="94">
        <f>N8-N6</f>
        <v>1254728.8716491368</v>
      </c>
      <c r="P7" s="169">
        <f>G7</f>
        <v>19.405315643733594</v>
      </c>
      <c r="Q7" s="170">
        <f>M7</f>
        <v>1.9555658830433566E-2</v>
      </c>
    </row>
    <row r="8" spans="2:17" x14ac:dyDescent="0.2">
      <c r="B8" s="3" t="s">
        <v>105</v>
      </c>
      <c r="F8" s="166"/>
      <c r="G8" s="99">
        <f>I8/'Existing Rates &amp; Forecast Vols'!F35/12</f>
        <v>19.405315643733591</v>
      </c>
      <c r="H8" s="100">
        <f>'2016 Rate Design'!C19</f>
        <v>10055246.440000001</v>
      </c>
      <c r="I8" s="101">
        <f>I6+I7</f>
        <v>5982037.8428624664</v>
      </c>
      <c r="J8" s="101">
        <f>H8-I8</f>
        <v>4073208.597137535</v>
      </c>
      <c r="K8" s="102">
        <f>J8/'Existing Rates &amp; Forecast Vols'!G35</f>
        <v>1.9555658830433569E-2</v>
      </c>
      <c r="L8" s="104"/>
      <c r="N8" s="94">
        <f>J8</f>
        <v>4073208.597137535</v>
      </c>
      <c r="P8" s="168"/>
      <c r="Q8" s="168"/>
    </row>
    <row r="9" spans="2:17" x14ac:dyDescent="0.2">
      <c r="F9" s="166"/>
      <c r="G9" s="4"/>
      <c r="H9" s="87"/>
      <c r="L9" s="105"/>
      <c r="P9" s="168"/>
      <c r="Q9" s="168"/>
    </row>
    <row r="10" spans="2:17" x14ac:dyDescent="0.2">
      <c r="B10" s="3" t="s">
        <v>96</v>
      </c>
      <c r="D10" s="96">
        <f>'Existing Rates &amp; Forecast Vols'!D8</f>
        <v>2.2599999999999999E-2</v>
      </c>
      <c r="E10" s="4">
        <f>'Existing Rates &amp; Forecast Vols'!C8</f>
        <v>20.98</v>
      </c>
      <c r="F10" s="165">
        <f>'Target MSC Change'!D7</f>
        <v>27.378620259728379</v>
      </c>
      <c r="G10" s="4">
        <f>E10+((F10-E10)/4)+((F10-E10)/4)+((F10-E10)/4)+((F10-E10)/4)</f>
        <v>27.378620259728375</v>
      </c>
      <c r="H10" s="93">
        <f>H12*'Existing F_V Ratios'!C90</f>
        <v>1696338.5150742384</v>
      </c>
      <c r="I10" s="93">
        <f>G10*'Existing Rates &amp; Forecast Vols'!F8*12</f>
        <v>536511.44260963728</v>
      </c>
      <c r="J10" s="94">
        <f>H10-I10</f>
        <v>1159827.0724646011</v>
      </c>
      <c r="K10" s="96">
        <f>J10/'Existing Rates &amp; Forecast Vols'!G8</f>
        <v>2.3720391590935037E-2</v>
      </c>
      <c r="L10" s="96">
        <f>K12-K10</f>
        <v>-1.3814933674281722E-3</v>
      </c>
      <c r="M10" s="96">
        <f>N10/'Existing Rates &amp; Forecast Vols'!G8</f>
        <v>2.2338898223506869E-2</v>
      </c>
      <c r="N10" s="107">
        <f>N12-N11</f>
        <v>1092277.8753178809</v>
      </c>
      <c r="P10" s="169">
        <f>G10</f>
        <v>27.378620259728375</v>
      </c>
      <c r="Q10" s="170">
        <f>M10</f>
        <v>2.2338898223506869E-2</v>
      </c>
    </row>
    <row r="11" spans="2:17" x14ac:dyDescent="0.2">
      <c r="B11" s="3" t="s">
        <v>97</v>
      </c>
      <c r="D11" s="96">
        <f>'Existing Rates &amp; Forecast Vols'!D22</f>
        <v>1.4500000000000001E-2</v>
      </c>
      <c r="E11" s="4">
        <f>'Existing Rates &amp; Forecast Vols'!C22</f>
        <v>30.89</v>
      </c>
      <c r="F11" s="165">
        <f>'Target MSC Change'!D15</f>
        <v>27.378620259728379</v>
      </c>
      <c r="G11" s="4">
        <f>E11+((F11-E11)/4)+((F11-E11)/4)+((F11-E11)/4)+((F11-E11)/4)</f>
        <v>27.378620259728379</v>
      </c>
      <c r="H11" s="94">
        <f>H12-H10</f>
        <v>750475.48492576159</v>
      </c>
      <c r="I11" s="93">
        <f>G11*'Existing Rates &amp; Forecast Vols'!F22*12</f>
        <v>291746.57748766564</v>
      </c>
      <c r="J11" s="94">
        <f>H11-I11</f>
        <v>458728.90743809595</v>
      </c>
      <c r="K11" s="96">
        <f>J11/'Existing Rates &amp; Forecast Vols'!G22</f>
        <v>1.9471641107935578E-2</v>
      </c>
      <c r="L11" s="96">
        <f>K12-K11</f>
        <v>2.8672571155712867E-3</v>
      </c>
      <c r="M11" s="96">
        <f>K12</f>
        <v>2.2338898223506865E-2</v>
      </c>
      <c r="N11" s="101">
        <f>M11*'Existing Rates &amp; Forecast Vols'!G22</f>
        <v>526278.10458481626</v>
      </c>
      <c r="P11" s="169">
        <f>G11</f>
        <v>27.378620259728379</v>
      </c>
      <c r="Q11" s="170">
        <f>M11</f>
        <v>2.2338898223506865E-2</v>
      </c>
    </row>
    <row r="12" spans="2:17" x14ac:dyDescent="0.2">
      <c r="B12" s="3" t="s">
        <v>106</v>
      </c>
      <c r="F12" s="166"/>
      <c r="G12" s="99">
        <f>I12/'Existing Rates &amp; Forecast Vols'!F36/12</f>
        <v>27.378620259728379</v>
      </c>
      <c r="H12" s="100">
        <f>'2016 Rate Design'!C20</f>
        <v>2446814</v>
      </c>
      <c r="I12" s="101">
        <f>I10+I11</f>
        <v>828258.02009730297</v>
      </c>
      <c r="J12" s="101">
        <f>H12-I12</f>
        <v>1618555.979902697</v>
      </c>
      <c r="K12" s="102">
        <f>J12/'Existing Rates &amp; Forecast Vols'!G36</f>
        <v>2.2338898223506865E-2</v>
      </c>
      <c r="L12" s="104"/>
      <c r="N12" s="94">
        <f>J12</f>
        <v>1618555.979902697</v>
      </c>
      <c r="P12" s="168"/>
      <c r="Q12" s="168"/>
    </row>
    <row r="13" spans="2:17" x14ac:dyDescent="0.2">
      <c r="F13" s="166"/>
      <c r="G13" s="4"/>
      <c r="L13" s="105"/>
      <c r="P13" s="168"/>
      <c r="Q13" s="168"/>
    </row>
    <row r="14" spans="2:17" x14ac:dyDescent="0.2">
      <c r="B14" s="3" t="s">
        <v>98</v>
      </c>
      <c r="D14" s="3">
        <f>'Existing Rates &amp; Forecast Vols'!D9</f>
        <v>7.2561</v>
      </c>
      <c r="E14" s="4">
        <f>'Existing Rates &amp; Forecast Vols'!C9</f>
        <v>133.68</v>
      </c>
      <c r="F14" s="165">
        <f>'Target MSC Change'!D8</f>
        <v>145.84</v>
      </c>
      <c r="G14" s="4">
        <f>E14+((F14-E14)/4)+((F14-E14)/4)+((F14-E14)/4)+((F14-E14)/4)</f>
        <v>145.83999999999997</v>
      </c>
      <c r="H14" s="93">
        <f>H16*'Existing F_V Ratios'!C91</f>
        <v>3331111.4920349168</v>
      </c>
      <c r="I14" s="94">
        <f>G14*'Existing Rates &amp; Forecast Vols'!F9*12</f>
        <v>260761.91999999995</v>
      </c>
      <c r="J14" s="94">
        <f>H14-I14</f>
        <v>3070349.5720349168</v>
      </c>
      <c r="K14" s="96">
        <f>J14/'Existing Rates &amp; Forecast Vols'!H9</f>
        <v>8.0862085847188503</v>
      </c>
      <c r="L14" s="96">
        <f>K16-K14</f>
        <v>-1.6042980481868261</v>
      </c>
      <c r="M14" s="96">
        <f>N14/'Existing Rates &amp; Forecast Vols'!H9</f>
        <v>6.4819105365320251</v>
      </c>
      <c r="N14" s="94">
        <f>N16-N15</f>
        <v>2461194.3945422829</v>
      </c>
      <c r="P14" s="169">
        <f>G14</f>
        <v>145.83999999999997</v>
      </c>
      <c r="Q14" s="170">
        <f>M14</f>
        <v>6.4819105365320251</v>
      </c>
    </row>
    <row r="15" spans="2:17" x14ac:dyDescent="0.2">
      <c r="B15" s="3" t="s">
        <v>108</v>
      </c>
      <c r="D15" s="3">
        <f>'Existing Rates &amp; Forecast Vols'!D23</f>
        <v>2.7711999999999999</v>
      </c>
      <c r="E15" s="4">
        <f>'Existing Rates &amp; Forecast Vols'!C23</f>
        <v>557.9</v>
      </c>
      <c r="F15" s="165">
        <f>'Target MSC Change'!D16</f>
        <v>145.84</v>
      </c>
      <c r="G15" s="4">
        <f>E15+((F15-E15)/4)+((F15-E15)/4)+((F15-E15)/4)+((F15-E15)/4)</f>
        <v>145.84000000000003</v>
      </c>
      <c r="H15" s="94">
        <f>H16-H14</f>
        <v>1549279.307965083</v>
      </c>
      <c r="I15" s="94">
        <f>G15*'Existing Rates &amp; Forecast Vols'!F23*12</f>
        <v>138256.32000000004</v>
      </c>
      <c r="J15" s="94">
        <f>H15-I15</f>
        <v>1411022.987965083</v>
      </c>
      <c r="K15" s="96">
        <f>J15/'Existing Rates &amp; Forecast Vols'!H23</f>
        <v>4.5273852224353242</v>
      </c>
      <c r="L15" s="96">
        <f>K16-K15</f>
        <v>1.9545253140967001</v>
      </c>
      <c r="M15" s="96">
        <f>K16</f>
        <v>6.4819105365320242</v>
      </c>
      <c r="N15" s="101">
        <f>M15*'Existing Rates &amp; Forecast Vols'!H23</f>
        <v>2020178.1654577167</v>
      </c>
      <c r="P15" s="169">
        <f>G15</f>
        <v>145.84000000000003</v>
      </c>
      <c r="Q15" s="170">
        <f>M15</f>
        <v>6.4819105365320242</v>
      </c>
    </row>
    <row r="16" spans="2:17" x14ac:dyDescent="0.2">
      <c r="B16" s="3" t="s">
        <v>107</v>
      </c>
      <c r="F16" s="166"/>
      <c r="G16" s="99">
        <f>I16/'Existing Rates &amp; Forecast Vols'!F37/12</f>
        <v>145.84</v>
      </c>
      <c r="H16" s="100">
        <f>'2016 Rate Design'!C21</f>
        <v>4880390.8</v>
      </c>
      <c r="I16" s="101">
        <f>I14+I15</f>
        <v>399018.23999999999</v>
      </c>
      <c r="J16" s="101">
        <f>H16-I16</f>
        <v>4481372.5599999996</v>
      </c>
      <c r="K16" s="102">
        <f>J16/'Existing Rates &amp; Forecast Vols'!H37</f>
        <v>6.4819105365320242</v>
      </c>
      <c r="L16" s="104"/>
      <c r="N16" s="94">
        <f>J16</f>
        <v>4481372.5599999996</v>
      </c>
      <c r="P16" s="168"/>
      <c r="Q16" s="168"/>
    </row>
    <row r="17" spans="2:17" x14ac:dyDescent="0.2">
      <c r="F17" s="166"/>
      <c r="G17" s="4"/>
      <c r="L17" s="105"/>
      <c r="P17" s="168"/>
      <c r="Q17" s="168"/>
    </row>
    <row r="18" spans="2:17" x14ac:dyDescent="0.2">
      <c r="B18" s="3" t="s">
        <v>99</v>
      </c>
      <c r="D18" s="96">
        <f>'Existing Rates &amp; Forecast Vols'!D10</f>
        <v>4.1300000000000003E-2</v>
      </c>
      <c r="E18" s="4">
        <f>'Existing Rates &amp; Forecast Vols'!C10</f>
        <v>70.069999999999993</v>
      </c>
      <c r="F18" s="165">
        <v>32</v>
      </c>
      <c r="G18" s="4">
        <f>E18+((F18-E18)/4)+((F18-E18)/4)+((F18-E18)/4)+((F18-E18)/4)</f>
        <v>32</v>
      </c>
      <c r="H18" s="93">
        <f>H20*'Existing F_V Ratios'!C92</f>
        <v>29643.923954828762</v>
      </c>
      <c r="I18" s="93">
        <f>G18*'Existing Rates &amp; Forecast Vols'!F10*12</f>
        <v>9600</v>
      </c>
      <c r="J18" s="94">
        <f>H18-I18</f>
        <v>20043.923954828762</v>
      </c>
      <c r="K18" s="96">
        <f>J18/'Existing Rates &amp; Forecast Vols'!G10</f>
        <v>2.1185527277715752E-2</v>
      </c>
      <c r="L18" s="96">
        <f>K20-K18</f>
        <v>-3.8453236425992007E-3</v>
      </c>
      <c r="M18" s="96">
        <f>N18/'Existing Rates &amp; Forecast Vols'!G10</f>
        <v>1.7340203635116552E-2</v>
      </c>
      <c r="N18" s="94">
        <f>N20-N19</f>
        <v>16405.809422034661</v>
      </c>
      <c r="P18" s="169">
        <f>G18</f>
        <v>32</v>
      </c>
      <c r="Q18" s="170">
        <f>M18</f>
        <v>1.7340203635116552E-2</v>
      </c>
    </row>
    <row r="19" spans="2:17" x14ac:dyDescent="0.2">
      <c r="B19" s="3" t="s">
        <v>102</v>
      </c>
      <c r="D19" s="96">
        <f>'Existing Rates &amp; Forecast Vols'!D24</f>
        <v>2.63E-2</v>
      </c>
      <c r="E19" s="4">
        <f>'Existing Rates &amp; Forecast Vols'!C24</f>
        <v>51.63</v>
      </c>
      <c r="F19" s="165">
        <v>32</v>
      </c>
      <c r="G19" s="4">
        <f>E19+((F19-E19)/4)+((F19-E19)/4)+((F19-E19)/4)+((F19-E19)/4)</f>
        <v>32.000000000000007</v>
      </c>
      <c r="H19" s="94">
        <f>H20-H18</f>
        <v>11826.676045171236</v>
      </c>
      <c r="I19" s="93">
        <f>G19*'Existing Rates &amp; Forecast Vols'!F24*12</f>
        <v>5376.0000000000018</v>
      </c>
      <c r="J19" s="94">
        <f>H19-I19</f>
        <v>6450.6760451712344</v>
      </c>
      <c r="K19" s="96">
        <f>J19/'Existing Rates &amp; Forecast Vols'!G24</f>
        <v>1.1087160085544777E-2</v>
      </c>
      <c r="L19" s="96">
        <f>K20-K19</f>
        <v>6.253043549571775E-3</v>
      </c>
      <c r="M19" s="96">
        <f>K20</f>
        <v>1.7340203635116552E-2</v>
      </c>
      <c r="N19" s="101">
        <f>M19*'Existing Rates &amp; Forecast Vols'!G24</f>
        <v>10088.790577965336</v>
      </c>
      <c r="P19" s="169">
        <f>G19</f>
        <v>32.000000000000007</v>
      </c>
      <c r="Q19" s="170">
        <f>M19</f>
        <v>1.7340203635116552E-2</v>
      </c>
    </row>
    <row r="20" spans="2:17" x14ac:dyDescent="0.2">
      <c r="B20" s="3" t="s">
        <v>109</v>
      </c>
      <c r="F20" s="166"/>
      <c r="G20" s="99">
        <f>I20/'Existing Rates &amp; Forecast Vols'!F38/12</f>
        <v>32.000000000000007</v>
      </c>
      <c r="H20" s="100">
        <f>'2016 Rate Design'!C22</f>
        <v>41470.6</v>
      </c>
      <c r="I20" s="101">
        <f>I18+I19</f>
        <v>14976.000000000002</v>
      </c>
      <c r="J20" s="101">
        <f>H20-I20</f>
        <v>26494.6</v>
      </c>
      <c r="K20" s="102">
        <f>J20/'Existing Rates &amp; Forecast Vols'!G38</f>
        <v>1.7340203635116552E-2</v>
      </c>
      <c r="L20" s="104"/>
      <c r="N20" s="94">
        <f>J20</f>
        <v>26494.6</v>
      </c>
      <c r="P20" s="168"/>
      <c r="Q20" s="168"/>
    </row>
    <row r="21" spans="2:17" x14ac:dyDescent="0.2">
      <c r="F21" s="166"/>
      <c r="G21" s="4"/>
      <c r="L21" s="105"/>
      <c r="P21" s="168"/>
      <c r="Q21" s="168"/>
    </row>
    <row r="22" spans="2:17" x14ac:dyDescent="0.2">
      <c r="B22" s="3" t="s">
        <v>100</v>
      </c>
      <c r="D22" s="96">
        <f>'Existing Rates &amp; Forecast Vols'!D11</f>
        <v>4.2721999999999998</v>
      </c>
      <c r="E22" s="4">
        <f>'Existing Rates &amp; Forecast Vols'!C11</f>
        <v>3.79</v>
      </c>
      <c r="F22" s="165">
        <f>'Target MSC Change'!D10</f>
        <v>4.9460650328130766</v>
      </c>
      <c r="G22" s="4">
        <f>E22+((F22-E22)/4)+((F22-E22)/4)+((F22-E22)/4)+((F22-E22)/4)</f>
        <v>4.9460650328130757</v>
      </c>
      <c r="H22" s="93">
        <f>H24*'Existing F_V Ratios'!C93</f>
        <v>67296.025707574081</v>
      </c>
      <c r="I22" s="94">
        <f>G22*'Existing Rates &amp; Forecast Vols'!F11*12</f>
        <v>54604.557962256353</v>
      </c>
      <c r="J22" s="94">
        <f>H22-I22</f>
        <v>12691.467745317728</v>
      </c>
      <c r="K22" s="95">
        <f>J22/'Existing Rates &amp; Forecast Vols'!H11</f>
        <v>5.5324619639571617</v>
      </c>
      <c r="L22" s="96">
        <f>K24-K22</f>
        <v>0.20058775395184458</v>
      </c>
      <c r="M22" s="173">
        <f>K24</f>
        <v>5.7330497179090063</v>
      </c>
      <c r="N22" s="101">
        <f>M22*'Existing Rates &amp; Forecast Vols'!H11</f>
        <v>13151.616052883261</v>
      </c>
      <c r="P22" s="169">
        <f>G22</f>
        <v>4.9460650328130757</v>
      </c>
      <c r="Q22" s="170">
        <f>M22</f>
        <v>5.7330497179090063</v>
      </c>
    </row>
    <row r="23" spans="2:17" x14ac:dyDescent="0.2">
      <c r="B23" s="3" t="s">
        <v>103</v>
      </c>
      <c r="D23" s="96">
        <f>'Existing Rates &amp; Forecast Vols'!D25</f>
        <v>7.0224000000000002</v>
      </c>
      <c r="E23" s="4">
        <f>'Existing Rates &amp; Forecast Vols'!C25</f>
        <v>4.3</v>
      </c>
      <c r="F23" s="165">
        <f>'Target MSC Change'!D18</f>
        <v>4.9460650328130766</v>
      </c>
      <c r="G23" s="4">
        <f>E23+((F23-E23)/4)+((F23-E23)/4)+((F23-E23)/4)+((F23-E23)/4)</f>
        <v>4.9460650328130766</v>
      </c>
      <c r="H23" s="94">
        <f>H24-H22</f>
        <v>3122.9342924259254</v>
      </c>
      <c r="I23" s="94">
        <f>G23*'Existing Rates &amp; Forecast Vols'!F25*12</f>
        <v>2433.4639961440334</v>
      </c>
      <c r="J23" s="94">
        <f>H23-I23</f>
        <v>689.47029628189193</v>
      </c>
      <c r="K23" s="95">
        <f>J23/'Existing Rates &amp; Forecast Vols'!H25</f>
        <v>17.2367574070473</v>
      </c>
      <c r="L23" s="96">
        <f>K24-K23</f>
        <v>-11.503707689138293</v>
      </c>
      <c r="M23" s="173">
        <f>N23/'Existing Rates &amp; Forecast Vols'!H25</f>
        <v>5.7330497179089885</v>
      </c>
      <c r="N23" s="94">
        <f>N24-N22</f>
        <v>229.32198871635956</v>
      </c>
      <c r="P23" s="169">
        <f>G23</f>
        <v>4.9460650328130766</v>
      </c>
      <c r="Q23" s="170">
        <f>M23</f>
        <v>5.7330497179089885</v>
      </c>
    </row>
    <row r="24" spans="2:17" x14ac:dyDescent="0.2">
      <c r="B24" s="3" t="s">
        <v>110</v>
      </c>
      <c r="F24" s="166"/>
      <c r="G24" s="99">
        <f>I24/'Existing Rates &amp; Forecast Vols'!F39/12</f>
        <v>4.9460650328130757</v>
      </c>
      <c r="H24" s="100">
        <f>'2016 Rate Design'!C23</f>
        <v>70418.960000000006</v>
      </c>
      <c r="I24" s="101">
        <f>I22+I23</f>
        <v>57038.021958400386</v>
      </c>
      <c r="J24" s="101">
        <f>H24-I24</f>
        <v>13380.93804159962</v>
      </c>
      <c r="K24" s="102">
        <f>J24/'Existing Rates &amp; Forecast Vols'!H39</f>
        <v>5.7330497179090063</v>
      </c>
      <c r="L24" s="106"/>
      <c r="N24" s="94">
        <f>J24</f>
        <v>13380.93804159962</v>
      </c>
      <c r="P24" s="168"/>
      <c r="Q24" s="168"/>
    </row>
    <row r="25" spans="2:17" x14ac:dyDescent="0.2">
      <c r="F25" s="166"/>
      <c r="G25" s="4"/>
      <c r="I25" s="94"/>
      <c r="L25" s="105"/>
      <c r="P25" s="168"/>
      <c r="Q25" s="168"/>
    </row>
    <row r="26" spans="2:17" x14ac:dyDescent="0.2">
      <c r="B26" s="3" t="s">
        <v>101</v>
      </c>
      <c r="D26" s="104">
        <f>'Existing Rates &amp; Forecast Vols'!D12</f>
        <v>9.6593999999999998</v>
      </c>
      <c r="E26" s="163">
        <f>'Existing Rates &amp; Forecast Vols'!C12</f>
        <v>4.95</v>
      </c>
      <c r="F26" s="165">
        <f>'Target MSC Change'!D11</f>
        <v>4.7996685536268169</v>
      </c>
      <c r="G26" s="175">
        <f>F26</f>
        <v>4.7996685536268169</v>
      </c>
      <c r="H26" s="164">
        <f>H28*'Existing F_V Ratios'!C94</f>
        <v>310468.01913668768</v>
      </c>
      <c r="I26" s="107">
        <f>G26*'Existing Rates &amp; Forecast Vols'!F12*12</f>
        <v>212874.89969045657</v>
      </c>
      <c r="J26" s="107">
        <f>H26-I26</f>
        <v>97593.11944623111</v>
      </c>
      <c r="K26" s="106">
        <f>J26/'Existing Rates &amp; Forecast Vols'!H12</f>
        <v>12.724005142924526</v>
      </c>
      <c r="L26" s="104">
        <f>K28-K26</f>
        <v>-2.2645043351800336</v>
      </c>
      <c r="M26" s="104">
        <f>N26/'Existing Rates &amp; Forecast Vols'!H12</f>
        <v>10.459500807744492</v>
      </c>
      <c r="N26" s="107">
        <f>N28-N27</f>
        <v>80224.37119540025</v>
      </c>
      <c r="P26" s="169">
        <f>G26</f>
        <v>4.7996685536268169</v>
      </c>
      <c r="Q26" s="170">
        <f>M26</f>
        <v>10.459500807744492</v>
      </c>
    </row>
    <row r="27" spans="2:17" x14ac:dyDescent="0.2">
      <c r="B27" s="3" t="s">
        <v>104</v>
      </c>
      <c r="D27" s="104">
        <f>'Existing Rates &amp; Forecast Vols'!D26</f>
        <v>8.7698</v>
      </c>
      <c r="E27" s="163">
        <f>'Existing Rates &amp; Forecast Vols'!C26</f>
        <v>3.07</v>
      </c>
      <c r="F27" s="165">
        <f>'Target MSC Change'!D19</f>
        <v>4.7996685536268169</v>
      </c>
      <c r="G27" s="175">
        <f>F27</f>
        <v>4.7996685536268169</v>
      </c>
      <c r="H27" s="107">
        <f>H28-H26</f>
        <v>140905.98086331232</v>
      </c>
      <c r="I27" s="107">
        <f>G27*'Existing Rates &amp; Forecast Vols'!F26*12</f>
        <v>115192.04528704361</v>
      </c>
      <c r="J27" s="107">
        <f>H27-I27</f>
        <v>25713.935576268705</v>
      </c>
      <c r="K27" s="106">
        <f>J27/'Existing Rates &amp; Forecast Vols'!H26</f>
        <v>6.2427617325245706</v>
      </c>
      <c r="L27" s="104">
        <f>K28-K27</f>
        <v>4.2167390752199214</v>
      </c>
      <c r="M27" s="104">
        <f>K28</f>
        <v>10.459500807744492</v>
      </c>
      <c r="N27" s="101">
        <f>M27*'Existing Rates &amp; Forecast Vols'!H26</f>
        <v>43082.683827099565</v>
      </c>
      <c r="P27" s="169">
        <f>G27</f>
        <v>4.7996685536268169</v>
      </c>
      <c r="Q27" s="170">
        <f>M27</f>
        <v>10.459500807744492</v>
      </c>
    </row>
    <row r="28" spans="2:17" x14ac:dyDescent="0.2">
      <c r="B28" s="3" t="s">
        <v>111</v>
      </c>
      <c r="G28" s="103">
        <f>I28/'Existing Rates &amp; Forecast Vols'!F40/12</f>
        <v>4.7996685536268169</v>
      </c>
      <c r="H28" s="100">
        <f>'2016 Rate Design'!C24</f>
        <v>451374</v>
      </c>
      <c r="I28" s="101">
        <f>I26+I27</f>
        <v>328066.94497750018</v>
      </c>
      <c r="J28" s="101">
        <f>H28-I28</f>
        <v>123307.05502249982</v>
      </c>
      <c r="K28" s="102">
        <f>J28/'Existing Rates &amp; Forecast Vols'!H40</f>
        <v>10.459500807744492</v>
      </c>
      <c r="L28" s="106"/>
      <c r="N28" s="94">
        <f>J28</f>
        <v>123307.05502249982</v>
      </c>
    </row>
    <row r="30" spans="2:17" x14ac:dyDescent="0.2">
      <c r="B30" s="3" t="s">
        <v>178</v>
      </c>
      <c r="H30" s="94">
        <f>H8+H12+H16+H20+H24+H28</f>
        <v>17945714.800000004</v>
      </c>
    </row>
    <row r="32" spans="2:17" ht="15" x14ac:dyDescent="0.25">
      <c r="F32" s="223" t="s">
        <v>53</v>
      </c>
      <c r="G32" s="223"/>
      <c r="H32" s="161" t="str">
        <f>IF('2013 Rate Design'!C26-'2016 Area Rate Design'!H30&lt;1,"YES","NO")</f>
        <v>YES</v>
      </c>
    </row>
  </sheetData>
  <mergeCells count="3">
    <mergeCell ref="D3:N3"/>
    <mergeCell ref="P3:Q3"/>
    <mergeCell ref="F32:G32"/>
  </mergeCells>
  <pageMargins left="0.25" right="0.25" top="0.75" bottom="0.75" header="0.3" footer="0.3"/>
  <pageSetup scale="7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O49"/>
  <sheetViews>
    <sheetView topLeftCell="A19" workbookViewId="0">
      <selection activeCell="N34" sqref="N34"/>
    </sheetView>
  </sheetViews>
  <sheetFormatPr defaultRowHeight="15" x14ac:dyDescent="0.25"/>
  <cols>
    <col min="1" max="1" width="2.7109375" customWidth="1"/>
    <col min="2" max="2" width="19.5703125" customWidth="1"/>
    <col min="3" max="3" width="12.7109375" customWidth="1"/>
    <col min="4" max="4" width="10.140625" customWidth="1"/>
    <col min="5" max="5" width="13.85546875" bestFit="1" customWidth="1"/>
    <col min="6" max="6" width="9.85546875" customWidth="1"/>
    <col min="7" max="7" width="10.140625" customWidth="1"/>
    <col min="8" max="8" width="9.7109375" customWidth="1"/>
    <col min="9" max="9" width="10" customWidth="1"/>
    <col min="10" max="10" width="15.85546875" customWidth="1"/>
    <col min="11" max="11" width="0.85546875" customWidth="1"/>
    <col min="12" max="12" width="13.5703125" customWidth="1"/>
    <col min="13" max="13" width="12.28515625" customWidth="1"/>
    <col min="14" max="14" width="12.28515625" bestFit="1" customWidth="1"/>
    <col min="15" max="15" width="10.28515625" bestFit="1" customWidth="1"/>
  </cols>
  <sheetData>
    <row r="3" spans="2:15" ht="18" x14ac:dyDescent="0.25">
      <c r="B3" s="226" t="s">
        <v>138</v>
      </c>
      <c r="C3" s="226"/>
      <c r="D3" s="226"/>
      <c r="E3" s="226"/>
      <c r="F3" s="226"/>
      <c r="G3" s="226"/>
      <c r="H3" s="226"/>
      <c r="I3" s="226"/>
      <c r="J3" s="226"/>
      <c r="K3" s="226"/>
      <c r="L3" s="226"/>
      <c r="M3" s="226"/>
      <c r="N3" s="226"/>
      <c r="O3" s="226"/>
    </row>
    <row r="4" spans="2:15" ht="15.75" thickBot="1" x14ac:dyDescent="0.3">
      <c r="B4" s="149" t="s">
        <v>139</v>
      </c>
    </row>
    <row r="5" spans="2:15" ht="15.75" thickBot="1" x14ac:dyDescent="0.3">
      <c r="B5" s="108" t="s">
        <v>125</v>
      </c>
      <c r="C5" s="227" t="s">
        <v>126</v>
      </c>
      <c r="D5" s="109"/>
      <c r="E5" s="229" t="s">
        <v>127</v>
      </c>
      <c r="F5" s="230"/>
      <c r="G5" s="229" t="s">
        <v>128</v>
      </c>
      <c r="H5" s="231"/>
      <c r="I5" s="230"/>
      <c r="J5" s="227" t="s">
        <v>129</v>
      </c>
      <c r="K5" s="150"/>
      <c r="L5" s="232"/>
      <c r="M5" s="232"/>
      <c r="N5" s="232"/>
      <c r="O5" s="232"/>
    </row>
    <row r="6" spans="2:15" ht="39" thickBot="1" x14ac:dyDescent="0.3">
      <c r="B6" s="111"/>
      <c r="C6" s="228"/>
      <c r="D6" s="162" t="s">
        <v>133</v>
      </c>
      <c r="E6" s="113" t="s">
        <v>9</v>
      </c>
      <c r="F6" s="114" t="s">
        <v>12</v>
      </c>
      <c r="G6" s="162" t="s">
        <v>134</v>
      </c>
      <c r="H6" s="229" t="s">
        <v>135</v>
      </c>
      <c r="I6" s="230"/>
      <c r="J6" s="228"/>
      <c r="K6" s="151"/>
      <c r="L6" s="232"/>
      <c r="M6" s="232"/>
      <c r="N6" s="232"/>
      <c r="O6" s="232"/>
    </row>
    <row r="7" spans="2:15" x14ac:dyDescent="0.25">
      <c r="B7" s="116"/>
      <c r="C7" s="116"/>
      <c r="D7" s="116"/>
      <c r="E7" s="116"/>
      <c r="F7" s="117"/>
      <c r="G7" s="116"/>
      <c r="H7" s="118" t="s">
        <v>9</v>
      </c>
      <c r="I7" s="118" t="s">
        <v>12</v>
      </c>
      <c r="J7" s="119"/>
      <c r="K7" s="152"/>
      <c r="L7" s="155"/>
      <c r="M7" s="155"/>
      <c r="N7" s="155"/>
      <c r="O7" s="155"/>
    </row>
    <row r="8" spans="2:15" x14ac:dyDescent="0.25">
      <c r="B8" s="121"/>
      <c r="C8" s="121"/>
      <c r="D8" s="121"/>
      <c r="E8" s="121"/>
      <c r="F8" s="122"/>
      <c r="G8" s="121"/>
      <c r="H8" s="121"/>
      <c r="I8" s="121"/>
      <c r="J8" s="121"/>
      <c r="K8" s="153"/>
      <c r="L8" s="155"/>
      <c r="M8" s="155"/>
      <c r="N8" s="155"/>
      <c r="O8" s="155"/>
    </row>
    <row r="9" spans="2:15" x14ac:dyDescent="0.25">
      <c r="B9" s="124" t="s">
        <v>8</v>
      </c>
      <c r="C9" s="124" t="s">
        <v>136</v>
      </c>
      <c r="D9" s="125">
        <f>'Existing Rates &amp; Forecast Vols'!F7</f>
        <v>17537</v>
      </c>
      <c r="E9" s="126">
        <f>'Existing Rates &amp; Forecast Vols'!G7</f>
        <v>144126043</v>
      </c>
      <c r="F9" s="127"/>
      <c r="G9" s="128">
        <f>'2016 Area Rate Design'!P6</f>
        <v>19.405315643733587</v>
      </c>
      <c r="H9" s="129">
        <f>'2016 Area Rate Design'!Q6</f>
        <v>1.9555658830433569E-2</v>
      </c>
      <c r="I9" s="129"/>
      <c r="J9" s="130">
        <f t="shared" ref="J9:J14" si="0">G9*D9*12+H9*E9+I9*F9</f>
        <v>6902211.9708182691</v>
      </c>
      <c r="K9" s="153"/>
      <c r="L9" s="156"/>
      <c r="M9" s="156"/>
      <c r="N9" s="157"/>
      <c r="O9" s="157"/>
    </row>
    <row r="10" spans="2:15" x14ac:dyDescent="0.25">
      <c r="B10" s="124" t="s">
        <v>10</v>
      </c>
      <c r="C10" s="124" t="s">
        <v>136</v>
      </c>
      <c r="D10" s="125">
        <f>'Existing Rates &amp; Forecast Vols'!F8</f>
        <v>1633</v>
      </c>
      <c r="E10" s="126">
        <f>'Existing Rates &amp; Forecast Vols'!G8</f>
        <v>48895781</v>
      </c>
      <c r="F10" s="127"/>
      <c r="G10" s="128">
        <f>'2016 Area Rate Design'!P10</f>
        <v>27.378620259728375</v>
      </c>
      <c r="H10" s="129">
        <f>'2016 Area Rate Design'!Q10</f>
        <v>2.2338898223506869E-2</v>
      </c>
      <c r="I10" s="129"/>
      <c r="J10" s="130">
        <f t="shared" si="0"/>
        <v>1628789.3179275182</v>
      </c>
      <c r="K10" s="153"/>
      <c r="L10" s="156"/>
      <c r="M10" s="156"/>
      <c r="N10" s="157"/>
      <c r="O10" s="157"/>
    </row>
    <row r="11" spans="2:15" x14ac:dyDescent="0.25">
      <c r="B11" s="124" t="s">
        <v>11</v>
      </c>
      <c r="C11" s="124" t="s">
        <v>136</v>
      </c>
      <c r="D11" s="125">
        <f>'Existing Rates &amp; Forecast Vols'!F9</f>
        <v>149</v>
      </c>
      <c r="E11" s="126">
        <f>'Existing Rates &amp; Forecast Vols'!G9</f>
        <v>135605948</v>
      </c>
      <c r="F11" s="127">
        <f>'Existing Rates &amp; Forecast Vols'!H9</f>
        <v>379702</v>
      </c>
      <c r="G11" s="128">
        <f>'2016 Area Rate Design'!P14</f>
        <v>145.83999999999997</v>
      </c>
      <c r="H11" s="129"/>
      <c r="I11" s="129">
        <f>'2016 Area Rate Design'!Q14</f>
        <v>6.4819105365320251</v>
      </c>
      <c r="J11" s="130">
        <f t="shared" si="0"/>
        <v>2721956.3145422828</v>
      </c>
      <c r="K11" s="153"/>
      <c r="L11" s="156"/>
      <c r="M11" s="156"/>
      <c r="N11" s="157"/>
      <c r="O11" s="157"/>
    </row>
    <row r="12" spans="2:15" x14ac:dyDescent="0.25">
      <c r="B12" s="124" t="s">
        <v>13</v>
      </c>
      <c r="C12" s="124" t="s">
        <v>136</v>
      </c>
      <c r="D12" s="125">
        <f>'Existing Rates &amp; Forecast Vols'!F10</f>
        <v>25</v>
      </c>
      <c r="E12" s="126">
        <f>'Existing Rates &amp; Forecast Vols'!G10</f>
        <v>946114</v>
      </c>
      <c r="F12" s="127"/>
      <c r="G12" s="128">
        <f>'2016 Area Rate Design'!P18</f>
        <v>32</v>
      </c>
      <c r="H12" s="129">
        <f>'2016 Area Rate Design'!Q18</f>
        <v>1.7340203635116552E-2</v>
      </c>
      <c r="I12" s="129"/>
      <c r="J12" s="130">
        <f t="shared" si="0"/>
        <v>26005.809422034661</v>
      </c>
      <c r="K12" s="153"/>
      <c r="L12" s="156"/>
      <c r="M12" s="156"/>
      <c r="N12" s="157"/>
      <c r="O12" s="157"/>
    </row>
    <row r="13" spans="2:15" x14ac:dyDescent="0.25">
      <c r="B13" s="124" t="s">
        <v>14</v>
      </c>
      <c r="C13" s="124" t="s">
        <v>137</v>
      </c>
      <c r="D13" s="125">
        <f>'Existing Rates &amp; Forecast Vols'!F11</f>
        <v>920</v>
      </c>
      <c r="E13" s="126">
        <f>'Existing Rates &amp; Forecast Vols'!G11</f>
        <v>747706</v>
      </c>
      <c r="F13" s="127">
        <f>'Existing Rates &amp; Forecast Vols'!H11</f>
        <v>2294</v>
      </c>
      <c r="G13" s="128">
        <f>'2016 Area Rate Design'!P22</f>
        <v>4.9460650328130757</v>
      </c>
      <c r="H13" s="129"/>
      <c r="I13" s="129">
        <f>'2016 Area Rate Design'!Q22</f>
        <v>5.7330497179090063</v>
      </c>
      <c r="J13" s="130">
        <f t="shared" si="0"/>
        <v>67756.174015139608</v>
      </c>
      <c r="K13" s="153"/>
      <c r="L13" s="156"/>
      <c r="M13" s="156"/>
      <c r="N13" s="157"/>
      <c r="O13" s="157"/>
    </row>
    <row r="14" spans="2:15" x14ac:dyDescent="0.25">
      <c r="B14" s="124" t="s">
        <v>15</v>
      </c>
      <c r="C14" s="124" t="s">
        <v>137</v>
      </c>
      <c r="D14" s="125">
        <f>'Existing Rates &amp; Forecast Vols'!F12</f>
        <v>3696</v>
      </c>
      <c r="E14" s="126">
        <f>'Existing Rates &amp; Forecast Vols'!G12</f>
        <v>2687821</v>
      </c>
      <c r="F14" s="127">
        <f>'Existing Rates &amp; Forecast Vols'!H12</f>
        <v>7670</v>
      </c>
      <c r="G14" s="128">
        <f>'2016 Area Rate Design'!P26</f>
        <v>4.7996685536268169</v>
      </c>
      <c r="H14" s="129"/>
      <c r="I14" s="129">
        <f>'2016 Area Rate Design'!Q26</f>
        <v>10.459500807744492</v>
      </c>
      <c r="J14" s="130">
        <f t="shared" si="0"/>
        <v>293099.27088585682</v>
      </c>
      <c r="K14" s="153"/>
      <c r="L14" s="156"/>
      <c r="M14" s="156"/>
      <c r="N14" s="157"/>
      <c r="O14" s="157"/>
    </row>
    <row r="15" spans="2:15" ht="15.75" thickBot="1" x14ac:dyDescent="0.3">
      <c r="B15" s="134"/>
      <c r="C15" s="134"/>
      <c r="D15" s="135"/>
      <c r="E15" s="126"/>
      <c r="F15" s="127"/>
      <c r="G15" s="128"/>
      <c r="H15" s="129"/>
      <c r="I15" s="129"/>
      <c r="J15" s="136"/>
      <c r="K15" s="153"/>
      <c r="L15" s="156"/>
      <c r="M15" s="156"/>
      <c r="N15" s="157"/>
      <c r="O15" s="157"/>
    </row>
    <row r="16" spans="2:15" ht="15.75" thickTop="1" x14ac:dyDescent="0.25">
      <c r="B16" s="121"/>
      <c r="C16" s="121"/>
      <c r="D16" s="121"/>
      <c r="E16" s="134"/>
      <c r="F16" s="138"/>
      <c r="G16" s="134"/>
      <c r="H16" s="134"/>
      <c r="I16" s="134"/>
      <c r="J16" s="139"/>
      <c r="K16" s="153"/>
      <c r="L16" s="155"/>
      <c r="M16" s="155"/>
      <c r="N16" s="155"/>
      <c r="O16" s="155"/>
    </row>
    <row r="17" spans="2:15" ht="15.75" thickBot="1" x14ac:dyDescent="0.3">
      <c r="B17" s="141" t="s">
        <v>27</v>
      </c>
      <c r="C17" s="142"/>
      <c r="D17" s="143">
        <f>SUM(D9:D14)</f>
        <v>23960</v>
      </c>
      <c r="E17" s="143">
        <f>SUM(E9:E14)</f>
        <v>333009413</v>
      </c>
      <c r="F17" s="143">
        <f>SUM(F9:F14)</f>
        <v>389666</v>
      </c>
      <c r="G17" s="144"/>
      <c r="H17" s="144"/>
      <c r="I17" s="144"/>
      <c r="J17" s="145">
        <f>SUM(J9:J14)</f>
        <v>11639818.857611101</v>
      </c>
      <c r="K17" s="154"/>
      <c r="L17" s="158"/>
      <c r="M17" s="158"/>
      <c r="N17" s="158"/>
      <c r="O17" s="159"/>
    </row>
    <row r="20" spans="2:15" ht="15.75" thickBot="1" x14ac:dyDescent="0.3">
      <c r="B20" s="149" t="s">
        <v>17</v>
      </c>
    </row>
    <row r="21" spans="2:15" ht="15.75" thickBot="1" x14ac:dyDescent="0.3">
      <c r="B21" s="108" t="s">
        <v>125</v>
      </c>
      <c r="C21" s="227" t="s">
        <v>126</v>
      </c>
      <c r="D21" s="109"/>
      <c r="E21" s="229" t="s">
        <v>127</v>
      </c>
      <c r="F21" s="230"/>
      <c r="G21" s="229" t="s">
        <v>128</v>
      </c>
      <c r="H21" s="231"/>
      <c r="I21" s="230"/>
      <c r="J21" s="227" t="s">
        <v>129</v>
      </c>
      <c r="K21" s="150"/>
      <c r="L21" s="232"/>
      <c r="M21" s="232"/>
      <c r="N21" s="232"/>
      <c r="O21" s="232"/>
    </row>
    <row r="22" spans="2:15" ht="39" thickBot="1" x14ac:dyDescent="0.3">
      <c r="B22" s="111"/>
      <c r="C22" s="228"/>
      <c r="D22" s="162" t="s">
        <v>133</v>
      </c>
      <c r="E22" s="113" t="s">
        <v>9</v>
      </c>
      <c r="F22" s="114" t="s">
        <v>12</v>
      </c>
      <c r="G22" s="162" t="s">
        <v>134</v>
      </c>
      <c r="H22" s="229" t="s">
        <v>135</v>
      </c>
      <c r="I22" s="230"/>
      <c r="J22" s="228"/>
      <c r="K22" s="151"/>
      <c r="L22" s="232"/>
      <c r="M22" s="232"/>
      <c r="N22" s="232"/>
      <c r="O22" s="232"/>
    </row>
    <row r="23" spans="2:15" x14ac:dyDescent="0.25">
      <c r="B23" s="116"/>
      <c r="C23" s="116"/>
      <c r="D23" s="116"/>
      <c r="E23" s="116"/>
      <c r="F23" s="117"/>
      <c r="G23" s="116"/>
      <c r="H23" s="118" t="s">
        <v>9</v>
      </c>
      <c r="I23" s="118" t="s">
        <v>12</v>
      </c>
      <c r="J23" s="119"/>
      <c r="K23" s="152"/>
      <c r="L23" s="155"/>
      <c r="M23" s="155"/>
      <c r="N23" s="155"/>
      <c r="O23" s="155"/>
    </row>
    <row r="24" spans="2:15" x14ac:dyDescent="0.25">
      <c r="B24" s="121"/>
      <c r="C24" s="121"/>
      <c r="D24" s="121"/>
      <c r="E24" s="121"/>
      <c r="F24" s="122"/>
      <c r="G24" s="121"/>
      <c r="H24" s="121"/>
      <c r="I24" s="121"/>
      <c r="J24" s="121"/>
      <c r="K24" s="153"/>
      <c r="L24" s="155"/>
      <c r="M24" s="155"/>
      <c r="N24" s="155"/>
      <c r="O24" s="155"/>
    </row>
    <row r="25" spans="2:15" x14ac:dyDescent="0.25">
      <c r="B25" s="124" t="s">
        <v>8</v>
      </c>
      <c r="C25" s="124" t="s">
        <v>136</v>
      </c>
      <c r="D25" s="125">
        <f>'Existing Rates &amp; Forecast Vols'!F21</f>
        <v>8152</v>
      </c>
      <c r="E25" s="126">
        <f>'Existing Rates &amp; Forecast Vols'!G21</f>
        <v>64161933</v>
      </c>
      <c r="F25" s="127"/>
      <c r="G25" s="128">
        <f>'2016 Area Rate Design'!P7</f>
        <v>19.405315643733594</v>
      </c>
      <c r="H25" s="129">
        <f>'2016 Area Rate Design'!Q7</f>
        <v>1.9555658830433566E-2</v>
      </c>
      <c r="I25" s="129"/>
      <c r="J25" s="130">
        <f t="shared" ref="J25:J30" si="1">G25*D25*12+H25*E25+I25*F25</f>
        <v>3153034.4691817318</v>
      </c>
      <c r="K25" s="153"/>
      <c r="L25" s="156"/>
      <c r="M25" s="156"/>
      <c r="N25" s="157"/>
      <c r="O25" s="157"/>
    </row>
    <row r="26" spans="2:15" x14ac:dyDescent="0.25">
      <c r="B26" s="124" t="s">
        <v>10</v>
      </c>
      <c r="C26" s="124" t="s">
        <v>136</v>
      </c>
      <c r="D26" s="125">
        <f>'Existing Rates &amp; Forecast Vols'!F22</f>
        <v>888</v>
      </c>
      <c r="E26" s="126">
        <f>'Existing Rates &amp; Forecast Vols'!G22</f>
        <v>23558821</v>
      </c>
      <c r="F26" s="127"/>
      <c r="G26" s="128">
        <f>'2016 Area Rate Design'!P11</f>
        <v>27.378620259728379</v>
      </c>
      <c r="H26" s="129">
        <f>'2016 Area Rate Design'!Q11</f>
        <v>2.2338898223506865E-2</v>
      </c>
      <c r="I26" s="129"/>
      <c r="J26" s="130">
        <f t="shared" si="1"/>
        <v>818024.68207248184</v>
      </c>
      <c r="K26" s="153"/>
      <c r="L26" s="156"/>
      <c r="M26" s="156"/>
      <c r="N26" s="157"/>
      <c r="O26" s="157"/>
    </row>
    <row r="27" spans="2:15" x14ac:dyDescent="0.25">
      <c r="B27" s="124" t="s">
        <v>11</v>
      </c>
      <c r="C27" s="124" t="s">
        <v>136</v>
      </c>
      <c r="D27" s="125">
        <f>'Existing Rates &amp; Forecast Vols'!F23</f>
        <v>79</v>
      </c>
      <c r="E27" s="126">
        <f>'Existing Rates &amp; Forecast Vols'!G23</f>
        <v>88694743</v>
      </c>
      <c r="F27" s="127">
        <f>'Existing Rates &amp; Forecast Vols'!H23</f>
        <v>311664</v>
      </c>
      <c r="G27" s="128">
        <f>'2016 Area Rate Design'!P15</f>
        <v>145.84000000000003</v>
      </c>
      <c r="H27" s="129"/>
      <c r="I27" s="129">
        <f>'2016 Area Rate Design'!Q15</f>
        <v>6.4819105365320242</v>
      </c>
      <c r="J27" s="130">
        <f t="shared" si="1"/>
        <v>2158434.4854577165</v>
      </c>
      <c r="K27" s="153"/>
      <c r="L27" s="156"/>
      <c r="M27" s="156"/>
      <c r="N27" s="157"/>
      <c r="O27" s="157"/>
    </row>
    <row r="28" spans="2:15" x14ac:dyDescent="0.25">
      <c r="B28" s="124" t="s">
        <v>13</v>
      </c>
      <c r="C28" s="124" t="s">
        <v>136</v>
      </c>
      <c r="D28" s="125">
        <f>'Existing Rates &amp; Forecast Vols'!F24</f>
        <v>14</v>
      </c>
      <c r="E28" s="126">
        <f>'Existing Rates &amp; Forecast Vols'!G24</f>
        <v>581815</v>
      </c>
      <c r="F28" s="127"/>
      <c r="G28" s="128">
        <f>'2016 Area Rate Design'!P19</f>
        <v>32.000000000000007</v>
      </c>
      <c r="H28" s="129">
        <f>'2016 Area Rate Design'!Q19</f>
        <v>1.7340203635116552E-2</v>
      </c>
      <c r="I28" s="129"/>
      <c r="J28" s="130">
        <f t="shared" si="1"/>
        <v>15464.790577965337</v>
      </c>
      <c r="K28" s="153"/>
      <c r="L28" s="156"/>
      <c r="M28" s="156"/>
      <c r="N28" s="157"/>
      <c r="O28" s="157"/>
    </row>
    <row r="29" spans="2:15" x14ac:dyDescent="0.25">
      <c r="B29" s="124" t="s">
        <v>14</v>
      </c>
      <c r="C29" s="124" t="s">
        <v>137</v>
      </c>
      <c r="D29" s="125">
        <f>'Existing Rates &amp; Forecast Vols'!F25</f>
        <v>41</v>
      </c>
      <c r="E29" s="126">
        <f>'Existing Rates &amp; Forecast Vols'!G25</f>
        <v>13331</v>
      </c>
      <c r="F29" s="127">
        <f>'Existing Rates &amp; Forecast Vols'!H25</f>
        <v>40</v>
      </c>
      <c r="G29" s="128">
        <f>'2016 Area Rate Design'!P23</f>
        <v>4.9460650328130766</v>
      </c>
      <c r="H29" s="129"/>
      <c r="I29" s="129">
        <f>'2016 Area Rate Design'!Q23</f>
        <v>5.7330497179089885</v>
      </c>
      <c r="J29" s="130">
        <f t="shared" si="1"/>
        <v>2662.785984860393</v>
      </c>
      <c r="K29" s="153"/>
      <c r="L29" s="156"/>
      <c r="M29" s="156"/>
      <c r="N29" s="157"/>
      <c r="O29" s="157"/>
    </row>
    <row r="30" spans="2:15" x14ac:dyDescent="0.25">
      <c r="B30" s="124" t="s">
        <v>15</v>
      </c>
      <c r="C30" s="124" t="s">
        <v>137</v>
      </c>
      <c r="D30" s="125">
        <f>'Existing Rates &amp; Forecast Vols'!F26</f>
        <v>2000</v>
      </c>
      <c r="E30" s="126">
        <f>'Existing Rates &amp; Forecast Vols'!G26</f>
        <v>1787582</v>
      </c>
      <c r="F30" s="127">
        <f>'Existing Rates &amp; Forecast Vols'!H26</f>
        <v>4119</v>
      </c>
      <c r="G30" s="128">
        <f>'2016 Area Rate Design'!P27</f>
        <v>4.7996685536268169</v>
      </c>
      <c r="H30" s="129"/>
      <c r="I30" s="129">
        <f>'2016 Area Rate Design'!Q27</f>
        <v>10.459500807744492</v>
      </c>
      <c r="J30" s="130">
        <f t="shared" si="1"/>
        <v>158274.72911414318</v>
      </c>
      <c r="K30" s="153"/>
      <c r="L30" s="156"/>
      <c r="M30" s="156"/>
      <c r="N30" s="157"/>
      <c r="O30" s="157"/>
    </row>
    <row r="31" spans="2:15" ht="15.75" thickBot="1" x14ac:dyDescent="0.3">
      <c r="B31" s="134"/>
      <c r="C31" s="134"/>
      <c r="D31" s="135"/>
      <c r="E31" s="126"/>
      <c r="F31" s="127"/>
      <c r="G31" s="128"/>
      <c r="H31" s="129"/>
      <c r="I31" s="129"/>
      <c r="J31" s="136"/>
      <c r="K31" s="153"/>
      <c r="L31" s="156"/>
      <c r="M31" s="156"/>
      <c r="N31" s="157"/>
      <c r="O31" s="157"/>
    </row>
    <row r="32" spans="2:15" ht="15.75" thickTop="1" x14ac:dyDescent="0.25">
      <c r="B32" s="121"/>
      <c r="C32" s="121"/>
      <c r="D32" s="121"/>
      <c r="E32" s="134"/>
      <c r="F32" s="138"/>
      <c r="G32" s="134"/>
      <c r="H32" s="134"/>
      <c r="I32" s="134"/>
      <c r="J32" s="139"/>
      <c r="K32" s="153"/>
      <c r="L32" s="155"/>
      <c r="M32" s="155"/>
      <c r="N32" s="155"/>
      <c r="O32" s="155"/>
    </row>
    <row r="33" spans="2:15" ht="15.75" thickBot="1" x14ac:dyDescent="0.3">
      <c r="B33" s="141" t="s">
        <v>27</v>
      </c>
      <c r="C33" s="142"/>
      <c r="D33" s="143">
        <f>SUM(D25:D30)</f>
        <v>11174</v>
      </c>
      <c r="E33" s="143">
        <f>SUM(E25:E30)</f>
        <v>178798225</v>
      </c>
      <c r="F33" s="143">
        <f>SUM(F25:F30)</f>
        <v>315823</v>
      </c>
      <c r="G33" s="144"/>
      <c r="H33" s="144"/>
      <c r="I33" s="144"/>
      <c r="J33" s="145">
        <f>SUM(J25:J30)</f>
        <v>6305895.9423888996</v>
      </c>
      <c r="K33" s="154"/>
      <c r="L33" s="158"/>
      <c r="M33" s="158"/>
      <c r="N33" s="158"/>
      <c r="O33" s="159"/>
    </row>
    <row r="36" spans="2:15" ht="15.75" thickBot="1" x14ac:dyDescent="0.3">
      <c r="B36" s="149" t="s">
        <v>181</v>
      </c>
    </row>
    <row r="37" spans="2:15" ht="15.75" thickBot="1" x14ac:dyDescent="0.3">
      <c r="B37" s="108" t="s">
        <v>125</v>
      </c>
      <c r="C37" s="227" t="s">
        <v>126</v>
      </c>
      <c r="D37" s="109"/>
      <c r="E37" s="229" t="s">
        <v>127</v>
      </c>
      <c r="F37" s="230"/>
      <c r="G37" s="229" t="s">
        <v>128</v>
      </c>
      <c r="H37" s="231"/>
      <c r="I37" s="230"/>
      <c r="J37" s="227" t="s">
        <v>129</v>
      </c>
      <c r="K37" s="110"/>
      <c r="L37" s="227" t="s">
        <v>130</v>
      </c>
      <c r="M37" s="227" t="s">
        <v>131</v>
      </c>
      <c r="N37" s="227" t="s">
        <v>27</v>
      </c>
      <c r="O37" s="227" t="s">
        <v>132</v>
      </c>
    </row>
    <row r="38" spans="2:15" ht="39" thickBot="1" x14ac:dyDescent="0.3">
      <c r="B38" s="111"/>
      <c r="C38" s="228"/>
      <c r="D38" s="162" t="s">
        <v>133</v>
      </c>
      <c r="E38" s="113" t="s">
        <v>9</v>
      </c>
      <c r="F38" s="114" t="s">
        <v>12</v>
      </c>
      <c r="G38" s="162" t="s">
        <v>134</v>
      </c>
      <c r="H38" s="229" t="s">
        <v>135</v>
      </c>
      <c r="I38" s="230"/>
      <c r="J38" s="228"/>
      <c r="K38" s="115"/>
      <c r="L38" s="228"/>
      <c r="M38" s="228"/>
      <c r="N38" s="228"/>
      <c r="O38" s="228"/>
    </row>
    <row r="39" spans="2:15" x14ac:dyDescent="0.25">
      <c r="B39" s="116"/>
      <c r="C39" s="116"/>
      <c r="D39" s="116"/>
      <c r="E39" s="116"/>
      <c r="F39" s="117"/>
      <c r="G39" s="116"/>
      <c r="H39" s="118" t="s">
        <v>9</v>
      </c>
      <c r="I39" s="118" t="s">
        <v>12</v>
      </c>
      <c r="J39" s="119"/>
      <c r="K39" s="120"/>
      <c r="L39" s="119"/>
      <c r="M39" s="119"/>
      <c r="N39" s="119"/>
      <c r="O39" s="117"/>
    </row>
    <row r="40" spans="2:15" x14ac:dyDescent="0.25">
      <c r="B40" s="121"/>
      <c r="C40" s="121"/>
      <c r="D40" s="121"/>
      <c r="E40" s="121"/>
      <c r="F40" s="122"/>
      <c r="G40" s="121"/>
      <c r="H40" s="121"/>
      <c r="I40" s="121"/>
      <c r="J40" s="121"/>
      <c r="K40" s="123"/>
      <c r="L40" s="121"/>
      <c r="M40" s="121"/>
      <c r="N40" s="121"/>
      <c r="O40" s="122"/>
    </row>
    <row r="41" spans="2:15" x14ac:dyDescent="0.25">
      <c r="B41" s="124" t="s">
        <v>8</v>
      </c>
      <c r="C41" s="124" t="s">
        <v>136</v>
      </c>
      <c r="D41" s="125">
        <f>D9+D25</f>
        <v>25689</v>
      </c>
      <c r="E41" s="125">
        <f>E9+E25</f>
        <v>208287976</v>
      </c>
      <c r="F41" s="125"/>
      <c r="G41" s="128"/>
      <c r="H41" s="129"/>
      <c r="I41" s="129"/>
      <c r="J41" s="125">
        <f>J9+J25</f>
        <v>10055246.440000001</v>
      </c>
      <c r="K41" s="123"/>
      <c r="L41" s="125">
        <f>'2016 R|C Ratio Adj.'!H5</f>
        <v>10055246.440000001</v>
      </c>
      <c r="M41" s="131"/>
      <c r="N41" s="132">
        <f t="shared" ref="N41:N46" si="2">SUM(L41:M41)</f>
        <v>10055246.440000001</v>
      </c>
      <c r="O41" s="133">
        <f t="shared" ref="O41:O46" si="3">N41-J41</f>
        <v>0</v>
      </c>
    </row>
    <row r="42" spans="2:15" x14ac:dyDescent="0.25">
      <c r="B42" s="124" t="s">
        <v>10</v>
      </c>
      <c r="C42" s="124" t="s">
        <v>136</v>
      </c>
      <c r="D42" s="125">
        <f t="shared" ref="D42:F46" si="4">D10+D26</f>
        <v>2521</v>
      </c>
      <c r="E42" s="125">
        <f t="shared" si="4"/>
        <v>72454602</v>
      </c>
      <c r="F42" s="125"/>
      <c r="G42" s="128"/>
      <c r="H42" s="129"/>
      <c r="I42" s="129"/>
      <c r="J42" s="125">
        <f t="shared" ref="J42:J46" si="5">J10+J26</f>
        <v>2446814</v>
      </c>
      <c r="K42" s="123"/>
      <c r="L42" s="125">
        <f>'2016 R|C Ratio Adj.'!H6</f>
        <v>2446814</v>
      </c>
      <c r="M42" s="131"/>
      <c r="N42" s="132">
        <f t="shared" si="2"/>
        <v>2446814</v>
      </c>
      <c r="O42" s="133">
        <f t="shared" si="3"/>
        <v>0</v>
      </c>
    </row>
    <row r="43" spans="2:15" x14ac:dyDescent="0.25">
      <c r="B43" s="124" t="s">
        <v>11</v>
      </c>
      <c r="C43" s="124" t="s">
        <v>136</v>
      </c>
      <c r="D43" s="125">
        <f t="shared" si="4"/>
        <v>228</v>
      </c>
      <c r="E43" s="125">
        <f t="shared" si="4"/>
        <v>224300691</v>
      </c>
      <c r="F43" s="125">
        <f t="shared" si="4"/>
        <v>691366</v>
      </c>
      <c r="G43" s="128"/>
      <c r="H43" s="129"/>
      <c r="I43" s="129"/>
      <c r="J43" s="125">
        <f t="shared" si="5"/>
        <v>4880390.7999999989</v>
      </c>
      <c r="K43" s="123"/>
      <c r="L43" s="125">
        <f>'2016 R|C Ratio Adj.'!H7</f>
        <v>4647757</v>
      </c>
      <c r="M43" s="131">
        <f>'2014 Rate Design'!D14</f>
        <v>232633.8</v>
      </c>
      <c r="N43" s="132">
        <f t="shared" si="2"/>
        <v>4880390.8</v>
      </c>
      <c r="O43" s="133">
        <f t="shared" si="3"/>
        <v>0</v>
      </c>
    </row>
    <row r="44" spans="2:15" x14ac:dyDescent="0.25">
      <c r="B44" s="124" t="s">
        <v>13</v>
      </c>
      <c r="C44" s="124" t="s">
        <v>136</v>
      </c>
      <c r="D44" s="125">
        <f t="shared" si="4"/>
        <v>39</v>
      </c>
      <c r="E44" s="125">
        <f t="shared" si="4"/>
        <v>1527929</v>
      </c>
      <c r="F44" s="125"/>
      <c r="G44" s="128"/>
      <c r="H44" s="129"/>
      <c r="I44" s="129"/>
      <c r="J44" s="125">
        <f t="shared" si="5"/>
        <v>41470.6</v>
      </c>
      <c r="K44" s="123"/>
      <c r="L44" s="125">
        <f>'2016 R|C Ratio Adj.'!H8</f>
        <v>41470.6</v>
      </c>
      <c r="M44" s="131"/>
      <c r="N44" s="132">
        <f t="shared" si="2"/>
        <v>41470.6</v>
      </c>
      <c r="O44" s="133">
        <f t="shared" si="3"/>
        <v>0</v>
      </c>
    </row>
    <row r="45" spans="2:15" x14ac:dyDescent="0.25">
      <c r="B45" s="124" t="s">
        <v>14</v>
      </c>
      <c r="C45" s="124" t="s">
        <v>137</v>
      </c>
      <c r="D45" s="125">
        <f t="shared" si="4"/>
        <v>961</v>
      </c>
      <c r="E45" s="125">
        <f t="shared" si="4"/>
        <v>761037</v>
      </c>
      <c r="F45" s="125">
        <f t="shared" si="4"/>
        <v>2334</v>
      </c>
      <c r="G45" s="128"/>
      <c r="H45" s="129"/>
      <c r="I45" s="129"/>
      <c r="J45" s="125">
        <f t="shared" si="5"/>
        <v>70418.960000000006</v>
      </c>
      <c r="K45" s="123"/>
      <c r="L45" s="125">
        <f>'2016 R|C Ratio Adj.'!H9</f>
        <v>70418.960000000006</v>
      </c>
      <c r="M45" s="131"/>
      <c r="N45" s="132">
        <f t="shared" si="2"/>
        <v>70418.960000000006</v>
      </c>
      <c r="O45" s="133">
        <f t="shared" si="3"/>
        <v>0</v>
      </c>
    </row>
    <row r="46" spans="2:15" x14ac:dyDescent="0.25">
      <c r="B46" s="124" t="s">
        <v>15</v>
      </c>
      <c r="C46" s="124" t="s">
        <v>137</v>
      </c>
      <c r="D46" s="125">
        <f t="shared" si="4"/>
        <v>5696</v>
      </c>
      <c r="E46" s="125">
        <f t="shared" si="4"/>
        <v>4475403</v>
      </c>
      <c r="F46" s="125">
        <f t="shared" si="4"/>
        <v>11789</v>
      </c>
      <c r="G46" s="128"/>
      <c r="H46" s="129"/>
      <c r="I46" s="129"/>
      <c r="J46" s="125">
        <f t="shared" si="5"/>
        <v>451374</v>
      </c>
      <c r="K46" s="123"/>
      <c r="L46" s="125">
        <f>'2016 R|C Ratio Adj.'!H10</f>
        <v>451374</v>
      </c>
      <c r="M46" s="131"/>
      <c r="N46" s="132">
        <f t="shared" si="2"/>
        <v>451374</v>
      </c>
      <c r="O46" s="133">
        <f t="shared" si="3"/>
        <v>0</v>
      </c>
    </row>
    <row r="47" spans="2:15" ht="15.75" thickBot="1" x14ac:dyDescent="0.3">
      <c r="B47" s="134"/>
      <c r="C47" s="134"/>
      <c r="D47" s="135"/>
      <c r="E47" s="126"/>
      <c r="F47" s="127"/>
      <c r="G47" s="128"/>
      <c r="H47" s="129"/>
      <c r="I47" s="129"/>
      <c r="J47" s="136"/>
      <c r="K47" s="123"/>
      <c r="L47" s="131"/>
      <c r="M47" s="131"/>
      <c r="N47" s="137"/>
      <c r="O47" s="137"/>
    </row>
    <row r="48" spans="2:15" ht="15.75" thickTop="1" x14ac:dyDescent="0.25">
      <c r="B48" s="121"/>
      <c r="C48" s="121"/>
      <c r="D48" s="121"/>
      <c r="E48" s="134"/>
      <c r="F48" s="138"/>
      <c r="G48" s="134"/>
      <c r="H48" s="134"/>
      <c r="I48" s="134"/>
      <c r="J48" s="139"/>
      <c r="K48" s="123"/>
      <c r="L48" s="140"/>
      <c r="M48" s="140"/>
      <c r="N48" s="121"/>
      <c r="O48" s="122"/>
    </row>
    <row r="49" spans="2:15" ht="15.75" thickBot="1" x14ac:dyDescent="0.3">
      <c r="B49" s="141" t="s">
        <v>27</v>
      </c>
      <c r="C49" s="142"/>
      <c r="D49" s="143">
        <f>SUM(D41:D46)</f>
        <v>35134</v>
      </c>
      <c r="E49" s="143">
        <f>SUM(E41:E46)</f>
        <v>511807638</v>
      </c>
      <c r="F49" s="143">
        <f>SUM(F41:F46)</f>
        <v>705489</v>
      </c>
      <c r="G49" s="144"/>
      <c r="H49" s="144"/>
      <c r="I49" s="144"/>
      <c r="J49" s="147">
        <f>SUM(J41:J46)</f>
        <v>17945714.800000004</v>
      </c>
      <c r="K49" s="146"/>
      <c r="L49" s="147">
        <f>SUM(L41:L47)</f>
        <v>17713081.000000004</v>
      </c>
      <c r="M49" s="147">
        <f>SUM(M41:M47)</f>
        <v>232633.8</v>
      </c>
      <c r="N49" s="147">
        <f>L49+M49</f>
        <v>17945714.800000004</v>
      </c>
      <c r="O49" s="148">
        <f>N49-J49</f>
        <v>0</v>
      </c>
    </row>
  </sheetData>
  <mergeCells count="28">
    <mergeCell ref="O37:O38"/>
    <mergeCell ref="H38:I38"/>
    <mergeCell ref="N21:N22"/>
    <mergeCell ref="O21:O22"/>
    <mergeCell ref="H22:I22"/>
    <mergeCell ref="M37:M38"/>
    <mergeCell ref="N37:N38"/>
    <mergeCell ref="M21:M22"/>
    <mergeCell ref="C37:C38"/>
    <mergeCell ref="E37:F37"/>
    <mergeCell ref="G37:I37"/>
    <mergeCell ref="J37:J38"/>
    <mergeCell ref="L37:L38"/>
    <mergeCell ref="C21:C22"/>
    <mergeCell ref="E21:F21"/>
    <mergeCell ref="G21:I21"/>
    <mergeCell ref="J21:J22"/>
    <mergeCell ref="L21:L22"/>
    <mergeCell ref="B3:O3"/>
    <mergeCell ref="C5:C6"/>
    <mergeCell ref="E5:F5"/>
    <mergeCell ref="G5:I5"/>
    <mergeCell ref="J5:J6"/>
    <mergeCell ref="L5:L6"/>
    <mergeCell ref="M5:M6"/>
    <mergeCell ref="N5:N6"/>
    <mergeCell ref="O5:O6"/>
    <mergeCell ref="H6:I6"/>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5:R23"/>
  <sheetViews>
    <sheetView workbookViewId="0">
      <selection activeCell="K34" sqref="K34"/>
    </sheetView>
  </sheetViews>
  <sheetFormatPr defaultRowHeight="12.75" x14ac:dyDescent="0.2"/>
  <cols>
    <col min="1" max="1" width="2.7109375" style="180" customWidth="1"/>
    <col min="2" max="2" width="28.140625" style="180" bestFit="1" customWidth="1"/>
    <col min="3" max="3" width="7.7109375" style="180" bestFit="1" customWidth="1"/>
    <col min="4" max="4" width="1.28515625" style="180" customWidth="1"/>
    <col min="5" max="6" width="7.7109375" style="180" bestFit="1" customWidth="1"/>
    <col min="7" max="7" width="1.28515625" style="180" customWidth="1"/>
    <col min="8" max="8" width="8.7109375" style="180" bestFit="1" customWidth="1"/>
    <col min="9" max="9" width="7.7109375" style="180" bestFit="1" customWidth="1"/>
    <col min="10" max="10" width="1.28515625" style="180" customWidth="1"/>
    <col min="11" max="11" width="8.7109375" style="180" bestFit="1" customWidth="1"/>
    <col min="12" max="12" width="7.7109375" style="180" bestFit="1" customWidth="1"/>
    <col min="13" max="13" width="1.28515625" style="180" customWidth="1"/>
    <col min="14" max="14" width="8.7109375" style="180" bestFit="1" customWidth="1"/>
    <col min="15" max="15" width="7.7109375" style="180" bestFit="1" customWidth="1"/>
    <col min="16" max="16" width="1.28515625" style="180" customWidth="1"/>
    <col min="17" max="17" width="8.7109375" style="180" bestFit="1" customWidth="1"/>
    <col min="18" max="18" width="7.7109375" style="180" bestFit="1" customWidth="1"/>
    <col min="19" max="16384" width="9.140625" style="180"/>
  </cols>
  <sheetData>
    <row r="5" spans="2:18" x14ac:dyDescent="0.2">
      <c r="B5" s="181" t="s">
        <v>21</v>
      </c>
      <c r="C5" s="182"/>
      <c r="D5" s="182"/>
      <c r="E5" s="233" t="s">
        <v>148</v>
      </c>
      <c r="F5" s="233"/>
      <c r="G5" s="182"/>
      <c r="H5" s="233">
        <v>2013</v>
      </c>
      <c r="I5" s="233"/>
      <c r="J5" s="182"/>
      <c r="K5" s="233">
        <v>2014</v>
      </c>
      <c r="L5" s="233"/>
      <c r="M5" s="182"/>
      <c r="N5" s="233">
        <v>2015</v>
      </c>
      <c r="O5" s="233"/>
      <c r="P5" s="182"/>
      <c r="Q5" s="233">
        <v>2016</v>
      </c>
      <c r="R5" s="233"/>
    </row>
    <row r="6" spans="2:18" ht="25.5" x14ac:dyDescent="0.2">
      <c r="B6" s="181"/>
      <c r="C6" s="183" t="s">
        <v>73</v>
      </c>
      <c r="D6" s="184"/>
      <c r="E6" s="185" t="s">
        <v>149</v>
      </c>
      <c r="F6" s="185" t="s">
        <v>150</v>
      </c>
      <c r="G6" s="184"/>
      <c r="H6" s="185" t="s">
        <v>149</v>
      </c>
      <c r="I6" s="185" t="s">
        <v>150</v>
      </c>
      <c r="J6" s="184"/>
      <c r="K6" s="185" t="s">
        <v>149</v>
      </c>
      <c r="L6" s="185" t="s">
        <v>150</v>
      </c>
      <c r="M6" s="184"/>
      <c r="N6" s="185" t="s">
        <v>149</v>
      </c>
      <c r="O6" s="185" t="s">
        <v>150</v>
      </c>
      <c r="P6" s="184"/>
      <c r="Q6" s="185" t="s">
        <v>149</v>
      </c>
      <c r="R6" s="185" t="s">
        <v>150</v>
      </c>
    </row>
    <row r="7" spans="2:18" x14ac:dyDescent="0.2">
      <c r="B7" s="182" t="s">
        <v>94</v>
      </c>
      <c r="C7" s="186">
        <f>'Target MSC Change'!D6</f>
        <v>19.405315643733587</v>
      </c>
      <c r="D7" s="182"/>
      <c r="E7" s="187">
        <f>'2014 Area Rate Design'!D6</f>
        <v>1.52E-2</v>
      </c>
      <c r="F7" s="188">
        <f>'2014 Area Rate Design'!E6</f>
        <v>18.170000000000002</v>
      </c>
      <c r="G7" s="182"/>
      <c r="H7" s="187">
        <f>'2013 Area Rate Design'!Q6</f>
        <v>2.0206793914442221E-2</v>
      </c>
      <c r="I7" s="188">
        <f>'2013 Area Rate Design'!P6</f>
        <v>18.478828910933398</v>
      </c>
      <c r="J7" s="182"/>
      <c r="K7" s="187">
        <f>'2014 Area Rate Design'!Q6</f>
        <v>2.0144796228126999E-2</v>
      </c>
      <c r="L7" s="188">
        <f>'2014 Area Rate Design'!P6</f>
        <v>18.787657821866794</v>
      </c>
      <c r="M7" s="182"/>
      <c r="N7" s="187">
        <f>'2015 Area Rate Design'!Q6</f>
        <v>1.9927622670246985E-2</v>
      </c>
      <c r="O7" s="188">
        <f>'2015 Area Rate Design'!P6</f>
        <v>19.096486732800191</v>
      </c>
      <c r="P7" s="182"/>
      <c r="Q7" s="187">
        <f>'2016 Area Rate Design'!Q6</f>
        <v>1.9555658830433569E-2</v>
      </c>
      <c r="R7" s="188">
        <f>'2016 Area Rate Design'!P6</f>
        <v>19.405315643733587</v>
      </c>
    </row>
    <row r="8" spans="2:18" x14ac:dyDescent="0.2">
      <c r="B8" s="182" t="s">
        <v>184</v>
      </c>
      <c r="C8" s="182"/>
      <c r="D8" s="182"/>
      <c r="E8" s="187">
        <f>'2014 Area Rate Design'!D7</f>
        <v>2.1999999999999999E-2</v>
      </c>
      <c r="F8" s="188">
        <f>'2014 Area Rate Design'!E7</f>
        <v>15.57</v>
      </c>
      <c r="G8" s="182"/>
      <c r="H8" s="187">
        <f>'2013 Area Rate Design'!Q7</f>
        <v>2.4906960195219575E-2</v>
      </c>
      <c r="I8" s="188">
        <f>'2013 Area Rate Design'!P7</f>
        <v>16.528828910933399</v>
      </c>
      <c r="J8" s="182"/>
      <c r="K8" s="187">
        <f>'2014 Area Rate Design'!Q7</f>
        <v>2.2775706347056224E-2</v>
      </c>
      <c r="L8" s="188">
        <f>'2014 Area Rate Design'!P7</f>
        <v>17.487657821866797</v>
      </c>
      <c r="M8" s="182"/>
      <c r="N8" s="187">
        <f>'2015 Area Rate Design'!Q7</f>
        <v>2.0991801931736675E-2</v>
      </c>
      <c r="O8" s="188">
        <f>'2015 Area Rate Design'!P7</f>
        <v>18.446486732800196</v>
      </c>
      <c r="P8" s="182"/>
      <c r="Q8" s="187">
        <f>'2016 Area Rate Design'!Q7</f>
        <v>1.9555658830433566E-2</v>
      </c>
      <c r="R8" s="188">
        <f>'2016 Area Rate Design'!P7</f>
        <v>19.405315643733594</v>
      </c>
    </row>
    <row r="9" spans="2:18" x14ac:dyDescent="0.2">
      <c r="B9" s="182"/>
      <c r="C9" s="182"/>
      <c r="D9" s="182"/>
      <c r="E9" s="187"/>
      <c r="F9" s="188"/>
      <c r="G9" s="182"/>
      <c r="H9" s="187"/>
      <c r="I9" s="188"/>
      <c r="J9" s="182"/>
      <c r="K9" s="187"/>
      <c r="L9" s="188"/>
      <c r="M9" s="182"/>
      <c r="N9" s="187"/>
      <c r="O9" s="188"/>
      <c r="P9" s="182"/>
      <c r="Q9" s="187"/>
      <c r="R9" s="188"/>
    </row>
    <row r="10" spans="2:18" x14ac:dyDescent="0.2">
      <c r="B10" s="182" t="s">
        <v>96</v>
      </c>
      <c r="C10" s="186">
        <f>'Target MSC Change'!D7</f>
        <v>27.378620259728379</v>
      </c>
      <c r="D10" s="182"/>
      <c r="E10" s="187">
        <f>'2014 Area Rate Design'!D10</f>
        <v>2.2599999999999999E-2</v>
      </c>
      <c r="F10" s="188">
        <f>'2014 Area Rate Design'!E10</f>
        <v>20.98</v>
      </c>
      <c r="G10" s="182"/>
      <c r="H10" s="187">
        <f>'2013 Area Rate Design'!Q10</f>
        <v>2.5045133426136294E-2</v>
      </c>
      <c r="I10" s="188">
        <f>'2013 Area Rate Design'!P10</f>
        <v>22.579655064932094</v>
      </c>
      <c r="J10" s="182"/>
      <c r="K10" s="187">
        <f>'2014 Area Rate Design'!Q10</f>
        <v>2.3974275146071342E-2</v>
      </c>
      <c r="L10" s="188">
        <f>'2014 Area Rate Design'!P10</f>
        <v>24.179310129864188</v>
      </c>
      <c r="M10" s="182"/>
      <c r="N10" s="187">
        <f>'2015 Area Rate Design'!Q10</f>
        <v>2.307219674519486E-2</v>
      </c>
      <c r="O10" s="188">
        <f>'2015 Area Rate Design'!P10</f>
        <v>25.778965194796282</v>
      </c>
      <c r="P10" s="182"/>
      <c r="Q10" s="187">
        <f>'2016 Area Rate Design'!Q10</f>
        <v>2.2338898223506869E-2</v>
      </c>
      <c r="R10" s="188">
        <f>'2016 Area Rate Design'!P10</f>
        <v>27.378620259728375</v>
      </c>
    </row>
    <row r="11" spans="2:18" x14ac:dyDescent="0.2">
      <c r="B11" s="182" t="s">
        <v>185</v>
      </c>
      <c r="C11" s="182"/>
      <c r="D11" s="182"/>
      <c r="E11" s="187">
        <f>'2014 Area Rate Design'!D11</f>
        <v>1.4500000000000001E-2</v>
      </c>
      <c r="F11" s="188">
        <f>'2014 Area Rate Design'!E11</f>
        <v>30.89</v>
      </c>
      <c r="G11" s="182"/>
      <c r="H11" s="187">
        <f>'2013 Area Rate Design'!Q11</f>
        <v>1.9522717026269461E-2</v>
      </c>
      <c r="I11" s="188">
        <f>'2013 Area Rate Design'!P11</f>
        <v>30.012155064932095</v>
      </c>
      <c r="J11" s="182"/>
      <c r="K11" s="187">
        <f>'2014 Area Rate Design'!Q11</f>
        <v>2.0811742776741728E-2</v>
      </c>
      <c r="L11" s="188">
        <f>'2014 Area Rate Design'!P11</f>
        <v>29.13431012986419</v>
      </c>
      <c r="M11" s="182"/>
      <c r="N11" s="187">
        <f>'2015 Area Rate Design'!Q11</f>
        <v>2.1750469842487533E-2</v>
      </c>
      <c r="O11" s="188">
        <f>'2015 Area Rate Design'!P11</f>
        <v>28.256465194796284</v>
      </c>
      <c r="P11" s="182"/>
      <c r="Q11" s="187">
        <f>'2016 Area Rate Design'!Q11</f>
        <v>2.2338898223506865E-2</v>
      </c>
      <c r="R11" s="188">
        <f>'2016 Area Rate Design'!P11</f>
        <v>27.378620259728379</v>
      </c>
    </row>
    <row r="12" spans="2:18" x14ac:dyDescent="0.2">
      <c r="B12" s="182"/>
      <c r="C12" s="182"/>
      <c r="D12" s="182"/>
      <c r="E12" s="187"/>
      <c r="F12" s="188"/>
      <c r="G12" s="182"/>
      <c r="H12" s="187"/>
      <c r="I12" s="188"/>
      <c r="J12" s="182"/>
      <c r="K12" s="187"/>
      <c r="L12" s="188"/>
      <c r="M12" s="182"/>
      <c r="N12" s="187"/>
      <c r="O12" s="188"/>
      <c r="P12" s="182"/>
      <c r="Q12" s="187"/>
      <c r="R12" s="188"/>
    </row>
    <row r="13" spans="2:18" x14ac:dyDescent="0.2">
      <c r="B13" s="182" t="s">
        <v>98</v>
      </c>
      <c r="C13" s="186">
        <f>'Target MSC Change'!D8</f>
        <v>145.84</v>
      </c>
      <c r="D13" s="182"/>
      <c r="E13" s="187">
        <f>'2014 Area Rate Design'!D14</f>
        <v>7.2561</v>
      </c>
      <c r="F13" s="188">
        <f>'2014 Area Rate Design'!E14</f>
        <v>133.68</v>
      </c>
      <c r="G13" s="182"/>
      <c r="H13" s="187">
        <f>'2013 Area Rate Design'!Q14</f>
        <v>7.464981797897928</v>
      </c>
      <c r="I13" s="188">
        <f>'2013 Area Rate Design'!P14</f>
        <v>137.73333333333335</v>
      </c>
      <c r="J13" s="182"/>
      <c r="K13" s="187">
        <f>'2014 Area Rate Design'!Q14</f>
        <v>6.8984640635051209</v>
      </c>
      <c r="L13" s="188">
        <f>'2014 Area Rate Design'!P14</f>
        <v>141.78666666666669</v>
      </c>
      <c r="M13" s="182"/>
      <c r="N13" s="187">
        <f>'2015 Area Rate Design'!Q14</f>
        <v>6.4819105365320242</v>
      </c>
      <c r="O13" s="188">
        <f>'2015 Area Rate Design'!P14</f>
        <v>145.84000000000003</v>
      </c>
      <c r="P13" s="182"/>
      <c r="Q13" s="187">
        <f>'2016 Area Rate Design'!Q14</f>
        <v>6.4819105365320251</v>
      </c>
      <c r="R13" s="188">
        <f>'2016 Area Rate Design'!P14</f>
        <v>145.83999999999997</v>
      </c>
    </row>
    <row r="14" spans="2:18" x14ac:dyDescent="0.2">
      <c r="B14" s="182" t="s">
        <v>186</v>
      </c>
      <c r="C14" s="182"/>
      <c r="D14" s="182"/>
      <c r="E14" s="187">
        <f>'2014 Area Rate Design'!D15</f>
        <v>2.7711999999999999</v>
      </c>
      <c r="F14" s="188">
        <f>'2014 Area Rate Design'!E15</f>
        <v>557.9</v>
      </c>
      <c r="G14" s="182"/>
      <c r="H14" s="187">
        <f>'2013 Area Rate Design'!Q15</f>
        <v>4.4951513212131013</v>
      </c>
      <c r="I14" s="188">
        <f>'2013 Area Rate Design'!P15</f>
        <v>420.54666666666662</v>
      </c>
      <c r="J14" s="182"/>
      <c r="K14" s="187">
        <f>'2014 Area Rate Design'!Q15</f>
        <v>5.5798820465596872</v>
      </c>
      <c r="L14" s="188">
        <f>'2014 Area Rate Design'!P15</f>
        <v>283.19333333333327</v>
      </c>
      <c r="M14" s="182"/>
      <c r="N14" s="187">
        <f>'2015 Area Rate Design'!Q15</f>
        <v>6.4819105365320242</v>
      </c>
      <c r="O14" s="188">
        <f>'2015 Area Rate Design'!P15</f>
        <v>145.83999999999995</v>
      </c>
      <c r="P14" s="182"/>
      <c r="Q14" s="187">
        <f>'2016 Area Rate Design'!Q15</f>
        <v>6.4819105365320242</v>
      </c>
      <c r="R14" s="188">
        <f>'2016 Area Rate Design'!P15</f>
        <v>145.84000000000003</v>
      </c>
    </row>
    <row r="15" spans="2:18" x14ac:dyDescent="0.2">
      <c r="B15" s="182"/>
      <c r="C15" s="182"/>
      <c r="D15" s="182"/>
      <c r="E15" s="187"/>
      <c r="F15" s="188"/>
      <c r="G15" s="182"/>
      <c r="H15" s="187"/>
      <c r="I15" s="188"/>
      <c r="J15" s="182"/>
      <c r="K15" s="187"/>
      <c r="L15" s="188"/>
      <c r="M15" s="182"/>
      <c r="N15" s="187"/>
      <c r="O15" s="188"/>
      <c r="P15" s="182"/>
      <c r="Q15" s="187"/>
      <c r="R15" s="188"/>
    </row>
    <row r="16" spans="2:18" x14ac:dyDescent="0.2">
      <c r="B16" s="182" t="s">
        <v>99</v>
      </c>
      <c r="C16" s="186">
        <v>32</v>
      </c>
      <c r="D16" s="182"/>
      <c r="E16" s="187">
        <f>'2014 Area Rate Design'!D18</f>
        <v>4.1300000000000003E-2</v>
      </c>
      <c r="F16" s="188">
        <f>'2014 Area Rate Design'!E18</f>
        <v>70.069999999999993</v>
      </c>
      <c r="G16" s="182"/>
      <c r="H16" s="187">
        <f>'2013 Area Rate Design'!Q18</f>
        <v>4.0431200173647576E-2</v>
      </c>
      <c r="I16" s="188">
        <f>'2013 Area Rate Design'!P18</f>
        <v>60.552499999999995</v>
      </c>
      <c r="J16" s="182"/>
      <c r="K16" s="187">
        <f>'2014 Area Rate Design'!Q18</f>
        <v>3.2338802855144941E-2</v>
      </c>
      <c r="L16" s="188">
        <f>'2014 Area Rate Design'!P18</f>
        <v>51.034999999999997</v>
      </c>
      <c r="M16" s="182"/>
      <c r="N16" s="187">
        <f>'2015 Area Rate Design'!Q18</f>
        <v>2.4638861102997046E-2</v>
      </c>
      <c r="O16" s="188">
        <f>'2015 Area Rate Design'!P18</f>
        <v>41.517499999999998</v>
      </c>
      <c r="P16" s="182"/>
      <c r="Q16" s="187">
        <f>'2016 Area Rate Design'!Q18</f>
        <v>1.7340203635116552E-2</v>
      </c>
      <c r="R16" s="188">
        <f>'2016 Area Rate Design'!P18</f>
        <v>32</v>
      </c>
    </row>
    <row r="17" spans="2:18" x14ac:dyDescent="0.2">
      <c r="B17" s="182" t="s">
        <v>187</v>
      </c>
      <c r="C17" s="182"/>
      <c r="D17" s="182"/>
      <c r="E17" s="187">
        <f>'2014 Area Rate Design'!D19</f>
        <v>2.63E-2</v>
      </c>
      <c r="F17" s="188">
        <f>'2014 Area Rate Design'!E19</f>
        <v>51.63</v>
      </c>
      <c r="G17" s="182"/>
      <c r="H17" s="187">
        <f>'2013 Area Rate Design'!Q19</f>
        <v>2.8609152529428781E-2</v>
      </c>
      <c r="I17" s="188">
        <f>'2013 Area Rate Design'!P19</f>
        <v>46.722500000000004</v>
      </c>
      <c r="J17" s="182"/>
      <c r="K17" s="187">
        <f>'2014 Area Rate Design'!Q19</f>
        <v>2.5408257221810025E-2</v>
      </c>
      <c r="L17" s="188">
        <f>'2014 Area Rate Design'!P19</f>
        <v>41.815000000000005</v>
      </c>
      <c r="M17" s="182"/>
      <c r="N17" s="187">
        <f>'2015 Area Rate Design'!Q19</f>
        <v>2.1703706275017068E-2</v>
      </c>
      <c r="O17" s="188">
        <f>'2015 Area Rate Design'!P19</f>
        <v>36.907500000000006</v>
      </c>
      <c r="P17" s="182"/>
      <c r="Q17" s="187">
        <f>'2016 Area Rate Design'!Q19</f>
        <v>1.7340203635116552E-2</v>
      </c>
      <c r="R17" s="188">
        <f>'2016 Area Rate Design'!P19</f>
        <v>32.000000000000007</v>
      </c>
    </row>
    <row r="18" spans="2:18" x14ac:dyDescent="0.2">
      <c r="B18" s="182"/>
      <c r="C18" s="182"/>
      <c r="D18" s="182"/>
      <c r="E18" s="187"/>
      <c r="F18" s="188"/>
      <c r="G18" s="182"/>
      <c r="H18" s="187"/>
      <c r="I18" s="188"/>
      <c r="J18" s="182"/>
      <c r="K18" s="187"/>
      <c r="L18" s="188"/>
      <c r="M18" s="182"/>
      <c r="N18" s="187"/>
      <c r="O18" s="188"/>
      <c r="P18" s="182"/>
      <c r="Q18" s="187"/>
      <c r="R18" s="188"/>
    </row>
    <row r="19" spans="2:18" x14ac:dyDescent="0.2">
      <c r="B19" s="182" t="s">
        <v>100</v>
      </c>
      <c r="C19" s="186">
        <f>'Target MSC Change'!D10</f>
        <v>4.9460650328130766</v>
      </c>
      <c r="D19" s="182"/>
      <c r="E19" s="187">
        <f>'2014 Area Rate Design'!D22</f>
        <v>4.2721999999999998</v>
      </c>
      <c r="F19" s="188">
        <f>'2014 Area Rate Design'!E22</f>
        <v>3.79</v>
      </c>
      <c r="G19" s="182"/>
      <c r="H19" s="187">
        <f>'2013 Area Rate Design'!Q22</f>
        <v>5.3488949443016285</v>
      </c>
      <c r="I19" s="188">
        <f>'2013 Area Rate Design'!P22</f>
        <v>5</v>
      </c>
      <c r="J19" s="182"/>
      <c r="K19" s="187">
        <f>'2014 Area Rate Design'!Q22</f>
        <v>5.2893004284490122</v>
      </c>
      <c r="L19" s="188">
        <f>'2014 Area Rate Design'!P22</f>
        <v>5.0199999999999996</v>
      </c>
      <c r="M19" s="182"/>
      <c r="N19" s="187">
        <f>'2015 Area Rate Design'!Q22</f>
        <v>5.1802971722365045</v>
      </c>
      <c r="O19" s="188">
        <f>'2015 Area Rate Design'!P22</f>
        <v>5.05</v>
      </c>
      <c r="P19" s="182"/>
      <c r="Q19" s="187">
        <f>'2016 Area Rate Design'!Q22</f>
        <v>5.7330497179090063</v>
      </c>
      <c r="R19" s="188">
        <f>'2016 Area Rate Design'!P22</f>
        <v>4.9460650328130757</v>
      </c>
    </row>
    <row r="20" spans="2:18" x14ac:dyDescent="0.2">
      <c r="B20" s="182" t="s">
        <v>188</v>
      </c>
      <c r="C20" s="182"/>
      <c r="D20" s="182"/>
      <c r="E20" s="187">
        <f>'2014 Area Rate Design'!D23</f>
        <v>7.0224000000000002</v>
      </c>
      <c r="F20" s="188">
        <f>'2014 Area Rate Design'!E23</f>
        <v>4.3</v>
      </c>
      <c r="G20" s="182"/>
      <c r="H20" s="187">
        <f>'2013 Area Rate Design'!Q23</f>
        <v>5.3488949443016285</v>
      </c>
      <c r="I20" s="188">
        <f>'2013 Area Rate Design'!P23</f>
        <v>5</v>
      </c>
      <c r="J20" s="182"/>
      <c r="K20" s="187">
        <f>'2014 Area Rate Design'!Q23</f>
        <v>5.2893004284489962</v>
      </c>
      <c r="L20" s="188">
        <f>'2014 Area Rate Design'!P23</f>
        <v>5.0199999999999996</v>
      </c>
      <c r="M20" s="182"/>
      <c r="N20" s="187">
        <f>'2015 Area Rate Design'!Q23</f>
        <v>5.1802971722364877</v>
      </c>
      <c r="O20" s="188">
        <f>'2015 Area Rate Design'!P23</f>
        <v>5.05</v>
      </c>
      <c r="P20" s="182"/>
      <c r="Q20" s="187">
        <f>'2016 Area Rate Design'!Q23</f>
        <v>5.7330497179089885</v>
      </c>
      <c r="R20" s="188">
        <f>'2016 Area Rate Design'!P23</f>
        <v>4.9460650328130766</v>
      </c>
    </row>
    <row r="21" spans="2:18" x14ac:dyDescent="0.2">
      <c r="B21" s="182"/>
      <c r="C21" s="182"/>
      <c r="D21" s="182"/>
      <c r="E21" s="187"/>
      <c r="F21" s="188"/>
      <c r="G21" s="182"/>
      <c r="H21" s="187"/>
      <c r="I21" s="188"/>
      <c r="J21" s="182"/>
      <c r="K21" s="187"/>
      <c r="L21" s="188"/>
      <c r="M21" s="182"/>
      <c r="N21" s="187"/>
      <c r="O21" s="188"/>
      <c r="P21" s="182"/>
      <c r="Q21" s="187"/>
      <c r="R21" s="188"/>
    </row>
    <row r="22" spans="2:18" x14ac:dyDescent="0.2">
      <c r="B22" s="182" t="s">
        <v>101</v>
      </c>
      <c r="C22" s="186">
        <f>'Target MSC Change'!D11</f>
        <v>4.7996685536268169</v>
      </c>
      <c r="D22" s="182"/>
      <c r="E22" s="187">
        <f>'2014 Area Rate Design'!D26</f>
        <v>9.6593999999999998</v>
      </c>
      <c r="F22" s="188">
        <f>'2014 Area Rate Design'!E26</f>
        <v>4.95</v>
      </c>
      <c r="G22" s="182"/>
      <c r="H22" s="187">
        <f>'2013 Area Rate Design'!Q26</f>
        <v>10.133806090423276</v>
      </c>
      <c r="I22" s="188">
        <f>'2013 Area Rate Design'!P26</f>
        <v>5.53</v>
      </c>
      <c r="J22" s="182"/>
      <c r="K22" s="187">
        <f>'2014 Area Rate Design'!Q26</f>
        <v>10.241285347139275</v>
      </c>
      <c r="L22" s="188">
        <f>'2014 Area Rate Design'!P26</f>
        <v>5.2889906226968497</v>
      </c>
      <c r="M22" s="182"/>
      <c r="N22" s="187">
        <f>'2015 Area Rate Design'!Q26</f>
        <v>10.38748970574477</v>
      </c>
      <c r="O22" s="188">
        <f>'2015 Area Rate Design'!P26</f>
        <v>4.961144836419928</v>
      </c>
      <c r="P22" s="182"/>
      <c r="Q22" s="187">
        <f>'2016 Area Rate Design'!Q26</f>
        <v>10.459500807744492</v>
      </c>
      <c r="R22" s="188">
        <f>'2016 Area Rate Design'!P26</f>
        <v>4.7996685536268169</v>
      </c>
    </row>
    <row r="23" spans="2:18" x14ac:dyDescent="0.2">
      <c r="B23" s="182" t="s">
        <v>189</v>
      </c>
      <c r="C23" s="182"/>
      <c r="D23" s="182"/>
      <c r="E23" s="187">
        <f>'2014 Area Rate Design'!D27</f>
        <v>8.7698</v>
      </c>
      <c r="F23" s="188">
        <f>'2014 Area Rate Design'!E27</f>
        <v>3.07</v>
      </c>
      <c r="G23" s="182"/>
      <c r="H23" s="187">
        <f>'2013 Area Rate Design'!Q27</f>
        <v>10.133806090423276</v>
      </c>
      <c r="I23" s="188">
        <f>'2013 Area Rate Design'!P27</f>
        <v>3.61</v>
      </c>
      <c r="J23" s="182"/>
      <c r="K23" s="187">
        <f>'2014 Area Rate Design'!Q27</f>
        <v>10.241285347139275</v>
      </c>
      <c r="L23" s="188">
        <f>'2014 Area Rate Design'!P27</f>
        <v>4.0025906226968493</v>
      </c>
      <c r="M23" s="182"/>
      <c r="N23" s="187">
        <f>'2015 Area Rate Design'!Q27</f>
        <v>10.38748970574477</v>
      </c>
      <c r="O23" s="188">
        <f>'2015 Area Rate Design'!P27</f>
        <v>4.536632836419928</v>
      </c>
      <c r="P23" s="182"/>
      <c r="Q23" s="187">
        <f>'2016 Area Rate Design'!Q27</f>
        <v>10.459500807744492</v>
      </c>
      <c r="R23" s="188">
        <f>'2016 Area Rate Design'!P27</f>
        <v>4.7996685536268169</v>
      </c>
    </row>
  </sheetData>
  <mergeCells count="5">
    <mergeCell ref="E5:F5"/>
    <mergeCell ref="H5:I5"/>
    <mergeCell ref="K5:L5"/>
    <mergeCell ref="N5:O5"/>
    <mergeCell ref="Q5:R5"/>
  </mergeCells>
  <pageMargins left="0.25" right="0.25" top="0.75" bottom="0.75" header="0.3" footer="0.3"/>
  <pageSetup scale="8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H94"/>
  <sheetViews>
    <sheetView topLeftCell="A46" workbookViewId="0">
      <selection activeCell="C95" sqref="C95"/>
    </sheetView>
  </sheetViews>
  <sheetFormatPr defaultRowHeight="15" x14ac:dyDescent="0.25"/>
  <cols>
    <col min="1" max="1" width="2.7109375" customWidth="1"/>
    <col min="2" max="2" width="22.42578125" customWidth="1"/>
    <col min="3" max="4" width="12.7109375" customWidth="1"/>
    <col min="5" max="5" width="13.85546875" bestFit="1" customWidth="1"/>
    <col min="6" max="6" width="12.7109375" bestFit="1" customWidth="1"/>
    <col min="7" max="7" width="13.85546875" bestFit="1" customWidth="1"/>
  </cols>
  <sheetData>
    <row r="2" spans="2:8" x14ac:dyDescent="0.25">
      <c r="B2" s="195" t="s">
        <v>0</v>
      </c>
      <c r="C2" s="195"/>
      <c r="D2" s="3" t="s">
        <v>114</v>
      </c>
      <c r="E2" s="3"/>
      <c r="F2" s="92">
        <f>E14/E68</f>
        <v>0.68039895389243721</v>
      </c>
      <c r="G2" s="3"/>
      <c r="H2" s="3"/>
    </row>
    <row r="3" spans="2:8" ht="15.75" thickBot="1" x14ac:dyDescent="0.3">
      <c r="B3" s="3"/>
      <c r="C3" s="3"/>
      <c r="D3" s="3"/>
      <c r="E3" s="3"/>
      <c r="F3" s="3"/>
      <c r="G3" s="3"/>
      <c r="H3" s="3"/>
    </row>
    <row r="4" spans="2:8" x14ac:dyDescent="0.25">
      <c r="B4" s="196" t="s">
        <v>20</v>
      </c>
      <c r="C4" s="197"/>
      <c r="D4" s="197"/>
      <c r="E4" s="197"/>
      <c r="F4" s="197"/>
      <c r="G4" s="197"/>
      <c r="H4" s="198"/>
    </row>
    <row r="5" spans="2:8" x14ac:dyDescent="0.25">
      <c r="B5" s="20"/>
      <c r="C5" s="21"/>
      <c r="D5" s="21"/>
      <c r="E5" s="21"/>
      <c r="F5" s="21"/>
      <c r="G5" s="21"/>
      <c r="H5" s="11"/>
    </row>
    <row r="6" spans="2:8" ht="57" x14ac:dyDescent="0.25">
      <c r="B6" s="31" t="s">
        <v>21</v>
      </c>
      <c r="C6" s="32" t="s">
        <v>22</v>
      </c>
      <c r="D6" s="32" t="s">
        <v>23</v>
      </c>
      <c r="E6" s="32" t="s">
        <v>24</v>
      </c>
      <c r="F6" s="32" t="s">
        <v>16</v>
      </c>
      <c r="G6" s="32" t="s">
        <v>25</v>
      </c>
      <c r="H6" s="33" t="s">
        <v>26</v>
      </c>
    </row>
    <row r="7" spans="2:8" x14ac:dyDescent="0.25">
      <c r="B7" s="19" t="s">
        <v>8</v>
      </c>
      <c r="C7" s="14">
        <f>'Existing Rates &amp; Forecast Vols'!C7*'Existing Rates &amp; Forecast Vols'!F7*12</f>
        <v>3823767.4800000004</v>
      </c>
      <c r="D7" s="14">
        <f>'Existing Rates &amp; Forecast Vols'!D7*'Existing Rates &amp; Forecast Vols'!G7</f>
        <v>2190715.8536</v>
      </c>
      <c r="E7" s="34">
        <f>C7+D7</f>
        <v>6014483.3336000005</v>
      </c>
      <c r="F7" s="35"/>
      <c r="G7" s="34">
        <f>E7-F7</f>
        <v>6014483.3336000005</v>
      </c>
      <c r="H7" s="36">
        <f>G7/G$14</f>
        <v>0.55565099392887563</v>
      </c>
    </row>
    <row r="8" spans="2:8" x14ac:dyDescent="0.25">
      <c r="B8" s="19" t="s">
        <v>10</v>
      </c>
      <c r="C8" s="14">
        <f>'Existing Rates &amp; Forecast Vols'!C8*'Existing Rates &amp; Forecast Vols'!F8*12</f>
        <v>411124.08000000007</v>
      </c>
      <c r="D8" s="14">
        <f>'Existing Rates &amp; Forecast Vols'!D8*'Existing Rates &amp; Forecast Vols'!G8</f>
        <v>1105044.6505999998</v>
      </c>
      <c r="E8" s="34">
        <f t="shared" ref="E8:E12" si="0">C8+D8</f>
        <v>1516168.7305999999</v>
      </c>
      <c r="F8" s="35"/>
      <c r="G8" s="34">
        <f t="shared" ref="G8:G12" si="1">E8-F8</f>
        <v>1516168.7305999999</v>
      </c>
      <c r="H8" s="36">
        <f t="shared" ref="H8:H12" si="2">G8/G$14</f>
        <v>0.14007199212197541</v>
      </c>
    </row>
    <row r="9" spans="2:8" x14ac:dyDescent="0.25">
      <c r="B9" s="19" t="s">
        <v>11</v>
      </c>
      <c r="C9" s="14">
        <f>'Existing Rates &amp; Forecast Vols'!C9*'Existing Rates &amp; Forecast Vols'!F9*12</f>
        <v>239019.84</v>
      </c>
      <c r="D9" s="14">
        <f>'Existing Rates &amp; Forecast Vols'!D9*'Existing Rates &amp; Forecast Vols'!H9</f>
        <v>2755155.6822000002</v>
      </c>
      <c r="E9" s="34">
        <f t="shared" si="0"/>
        <v>2994175.5222</v>
      </c>
      <c r="F9" s="34">
        <f>'Existing Rates &amp; Forecast Vols'!D14*'Existing Rates &amp; Forecast Vols'!H14</f>
        <v>105984.59999999999</v>
      </c>
      <c r="G9" s="34">
        <f t="shared" si="1"/>
        <v>2888190.9221999999</v>
      </c>
      <c r="H9" s="36">
        <f t="shared" si="2"/>
        <v>0.26682693550938957</v>
      </c>
    </row>
    <row r="10" spans="2:8" x14ac:dyDescent="0.25">
      <c r="B10" s="19" t="s">
        <v>13</v>
      </c>
      <c r="C10" s="14">
        <f>'Existing Rates &amp; Forecast Vols'!C10*'Existing Rates &amp; Forecast Vols'!F10*12</f>
        <v>21020.999999999996</v>
      </c>
      <c r="D10" s="14">
        <f>'Existing Rates &amp; Forecast Vols'!D10*'Existing Rates &amp; Forecast Vols'!G10</f>
        <v>39074.508200000004</v>
      </c>
      <c r="E10" s="34">
        <f t="shared" si="0"/>
        <v>60095.508199999997</v>
      </c>
      <c r="F10" s="35"/>
      <c r="G10" s="34">
        <f t="shared" si="1"/>
        <v>60095.508199999997</v>
      </c>
      <c r="H10" s="36">
        <f t="shared" si="2"/>
        <v>5.5519530123968042E-3</v>
      </c>
    </row>
    <row r="11" spans="2:8" x14ac:dyDescent="0.25">
      <c r="B11" s="19" t="s">
        <v>14</v>
      </c>
      <c r="C11" s="14">
        <f>'Existing Rates &amp; Forecast Vols'!C11*'Existing Rates &amp; Forecast Vols'!F11*12</f>
        <v>41841.600000000006</v>
      </c>
      <c r="D11" s="14">
        <f>'Existing Rates &amp; Forecast Vols'!D11*'Existing Rates &amp; Forecast Vols'!H11</f>
        <v>9800.4267999999993</v>
      </c>
      <c r="E11" s="34">
        <f t="shared" si="0"/>
        <v>51642.026800000007</v>
      </c>
      <c r="F11" s="35"/>
      <c r="G11" s="34">
        <f t="shared" si="1"/>
        <v>51642.026800000007</v>
      </c>
      <c r="H11" s="36">
        <f t="shared" si="2"/>
        <v>4.7709739853491499E-3</v>
      </c>
    </row>
    <row r="12" spans="2:8" x14ac:dyDescent="0.25">
      <c r="B12" s="19" t="s">
        <v>15</v>
      </c>
      <c r="C12" s="14">
        <f>'Existing Rates &amp; Forecast Vols'!C12*'Existing Rates &amp; Forecast Vols'!F12*12</f>
        <v>219542.40000000002</v>
      </c>
      <c r="D12" s="14">
        <f>'Existing Rates &amp; Forecast Vols'!D12*'Existing Rates &amp; Forecast Vols'!H12</f>
        <v>74087.597999999998</v>
      </c>
      <c r="E12" s="34">
        <f t="shared" si="0"/>
        <v>293629.99800000002</v>
      </c>
      <c r="F12" s="35"/>
      <c r="G12" s="34">
        <f t="shared" si="1"/>
        <v>293629.99800000002</v>
      </c>
      <c r="H12" s="36">
        <f t="shared" si="2"/>
        <v>2.712715144201356E-2</v>
      </c>
    </row>
    <row r="13" spans="2:8" x14ac:dyDescent="0.25">
      <c r="B13" s="20"/>
      <c r="C13" s="21"/>
      <c r="D13" s="21"/>
      <c r="E13" s="21"/>
      <c r="F13" s="21"/>
      <c r="G13" s="21"/>
      <c r="H13" s="11"/>
    </row>
    <row r="14" spans="2:8" ht="15.75" thickBot="1" x14ac:dyDescent="0.3">
      <c r="B14" s="22" t="s">
        <v>27</v>
      </c>
      <c r="C14" s="37">
        <f t="shared" ref="C14:H14" si="3">SUM(C7:C12)</f>
        <v>4756316.4000000004</v>
      </c>
      <c r="D14" s="37">
        <f t="shared" si="3"/>
        <v>6173878.7193999998</v>
      </c>
      <c r="E14" s="37">
        <f t="shared" si="3"/>
        <v>10930195.119399998</v>
      </c>
      <c r="F14" s="37">
        <f t="shared" si="3"/>
        <v>105984.59999999999</v>
      </c>
      <c r="G14" s="37">
        <f t="shared" si="3"/>
        <v>10824210.519399999</v>
      </c>
      <c r="H14" s="38">
        <f t="shared" si="3"/>
        <v>1.0000000000000002</v>
      </c>
    </row>
    <row r="15" spans="2:8" ht="15.75" thickBot="1" x14ac:dyDescent="0.3">
      <c r="B15" s="3"/>
      <c r="C15" s="39"/>
      <c r="D15" s="39"/>
      <c r="E15" s="39"/>
      <c r="F15" s="39"/>
      <c r="G15" s="39"/>
      <c r="H15" s="3"/>
    </row>
    <row r="16" spans="2:8" x14ac:dyDescent="0.25">
      <c r="B16" s="199" t="s">
        <v>28</v>
      </c>
      <c r="C16" s="200"/>
      <c r="D16" s="200"/>
      <c r="E16" s="200"/>
      <c r="F16" s="200"/>
      <c r="G16" s="201"/>
      <c r="H16" s="3"/>
    </row>
    <row r="17" spans="2:8" x14ac:dyDescent="0.25">
      <c r="B17" s="40"/>
      <c r="C17" s="41"/>
      <c r="D17" s="41"/>
      <c r="E17" s="41"/>
      <c r="F17" s="41"/>
      <c r="G17" s="42"/>
      <c r="H17" s="3"/>
    </row>
    <row r="18" spans="2:8" ht="28.5" x14ac:dyDescent="0.25">
      <c r="B18" s="202" t="s">
        <v>21</v>
      </c>
      <c r="C18" s="32" t="s">
        <v>22</v>
      </c>
      <c r="D18" s="32" t="s">
        <v>23</v>
      </c>
      <c r="E18" s="32" t="s">
        <v>25</v>
      </c>
      <c r="F18" s="32" t="s">
        <v>22</v>
      </c>
      <c r="G18" s="33" t="s">
        <v>23</v>
      </c>
      <c r="H18" s="3"/>
    </row>
    <row r="19" spans="2:8" x14ac:dyDescent="0.25">
      <c r="B19" s="202"/>
      <c r="C19" s="43" t="s">
        <v>29</v>
      </c>
      <c r="D19" s="43" t="s">
        <v>29</v>
      </c>
      <c r="E19" s="43" t="s">
        <v>29</v>
      </c>
      <c r="F19" s="43" t="s">
        <v>30</v>
      </c>
      <c r="G19" s="44" t="s">
        <v>30</v>
      </c>
      <c r="H19" s="3"/>
    </row>
    <row r="20" spans="2:8" x14ac:dyDescent="0.25">
      <c r="B20" s="19" t="s">
        <v>8</v>
      </c>
      <c r="C20" s="34">
        <f>C7</f>
        <v>3823767.4800000004</v>
      </c>
      <c r="D20" s="34">
        <f>D7</f>
        <v>2190715.8536</v>
      </c>
      <c r="E20" s="34">
        <f>C20+D20</f>
        <v>6014483.3336000005</v>
      </c>
      <c r="F20" s="45">
        <f>C20/E20</f>
        <v>0.63575992615000965</v>
      </c>
      <c r="G20" s="36">
        <f>D20/E20</f>
        <v>0.3642400738499903</v>
      </c>
      <c r="H20" s="3"/>
    </row>
    <row r="21" spans="2:8" x14ac:dyDescent="0.25">
      <c r="B21" s="19" t="s">
        <v>10</v>
      </c>
      <c r="C21" s="34">
        <f t="shared" ref="C21:D25" si="4">C8</f>
        <v>411124.08000000007</v>
      </c>
      <c r="D21" s="34">
        <f t="shared" si="4"/>
        <v>1105044.6505999998</v>
      </c>
      <c r="E21" s="34">
        <f t="shared" ref="E21:E25" si="5">C21+D21</f>
        <v>1516168.7305999999</v>
      </c>
      <c r="F21" s="45">
        <f t="shared" ref="F21:F25" si="6">C21/E21</f>
        <v>0.27115984633010087</v>
      </c>
      <c r="G21" s="36">
        <f t="shared" ref="G21:G27" si="7">D21/E21</f>
        <v>0.72884015366989918</v>
      </c>
      <c r="H21" s="3"/>
    </row>
    <row r="22" spans="2:8" x14ac:dyDescent="0.25">
      <c r="B22" s="19" t="s">
        <v>11</v>
      </c>
      <c r="C22" s="34">
        <f t="shared" si="4"/>
        <v>239019.84</v>
      </c>
      <c r="D22" s="34">
        <f>D9-F9</f>
        <v>2649171.0822000001</v>
      </c>
      <c r="E22" s="34">
        <f t="shared" si="5"/>
        <v>2888190.9221999999</v>
      </c>
      <c r="F22" s="45">
        <f t="shared" si="6"/>
        <v>8.2757631485779068E-2</v>
      </c>
      <c r="G22" s="36">
        <f t="shared" si="7"/>
        <v>0.91724236851422103</v>
      </c>
      <c r="H22" s="3"/>
    </row>
    <row r="23" spans="2:8" x14ac:dyDescent="0.25">
      <c r="B23" s="19" t="s">
        <v>13</v>
      </c>
      <c r="C23" s="34">
        <f t="shared" si="4"/>
        <v>21020.999999999996</v>
      </c>
      <c r="D23" s="34">
        <f t="shared" si="4"/>
        <v>39074.508200000004</v>
      </c>
      <c r="E23" s="34">
        <f t="shared" si="5"/>
        <v>60095.508199999997</v>
      </c>
      <c r="F23" s="45">
        <f t="shared" si="6"/>
        <v>0.34979319802141212</v>
      </c>
      <c r="G23" s="36">
        <f t="shared" si="7"/>
        <v>0.65020680197858793</v>
      </c>
      <c r="H23" s="3"/>
    </row>
    <row r="24" spans="2:8" x14ac:dyDescent="0.25">
      <c r="B24" s="19" t="s">
        <v>14</v>
      </c>
      <c r="C24" s="34">
        <f t="shared" si="4"/>
        <v>41841.600000000006</v>
      </c>
      <c r="D24" s="34">
        <f t="shared" si="4"/>
        <v>9800.4267999999993</v>
      </c>
      <c r="E24" s="34">
        <f t="shared" si="5"/>
        <v>51642.026800000007</v>
      </c>
      <c r="F24" s="45">
        <f t="shared" si="6"/>
        <v>0.81022381561523071</v>
      </c>
      <c r="G24" s="36">
        <f t="shared" si="7"/>
        <v>0.18977618438476931</v>
      </c>
      <c r="H24" s="3"/>
    </row>
    <row r="25" spans="2:8" x14ac:dyDescent="0.25">
      <c r="B25" s="19" t="s">
        <v>15</v>
      </c>
      <c r="C25" s="34">
        <f t="shared" si="4"/>
        <v>219542.40000000002</v>
      </c>
      <c r="D25" s="34">
        <f t="shared" si="4"/>
        <v>74087.597999999998</v>
      </c>
      <c r="E25" s="34">
        <f t="shared" si="5"/>
        <v>293629.99800000002</v>
      </c>
      <c r="F25" s="45">
        <f t="shared" si="6"/>
        <v>0.7476838248658777</v>
      </c>
      <c r="G25" s="36">
        <f t="shared" si="7"/>
        <v>0.25231617513412236</v>
      </c>
      <c r="H25" s="3"/>
    </row>
    <row r="26" spans="2:8" x14ac:dyDescent="0.25">
      <c r="B26" s="20"/>
      <c r="C26" s="46"/>
      <c r="D26" s="46"/>
      <c r="E26" s="21"/>
      <c r="F26" s="21"/>
      <c r="G26" s="11"/>
      <c r="H26" s="3"/>
    </row>
    <row r="27" spans="2:8" ht="15.75" thickBot="1" x14ac:dyDescent="0.3">
      <c r="B27" s="22" t="s">
        <v>27</v>
      </c>
      <c r="C27" s="37">
        <f>SUM(C20:C25)</f>
        <v>4756316.4000000004</v>
      </c>
      <c r="D27" s="37">
        <f>SUM(D20:D25)</f>
        <v>6067894.1194000002</v>
      </c>
      <c r="E27" s="37">
        <f>SUM(E20:E25)</f>
        <v>10824210.519399999</v>
      </c>
      <c r="F27" s="47">
        <f>C27/E27</f>
        <v>0.43941462441767526</v>
      </c>
      <c r="G27" s="48">
        <f t="shared" si="7"/>
        <v>0.56058537558232491</v>
      </c>
      <c r="H27" s="3"/>
    </row>
    <row r="29" spans="2:8" x14ac:dyDescent="0.25">
      <c r="B29" s="61" t="s">
        <v>17</v>
      </c>
      <c r="C29" s="3"/>
      <c r="D29" s="3" t="s">
        <v>114</v>
      </c>
      <c r="E29" s="3"/>
      <c r="F29" s="92">
        <f>E41/E68</f>
        <v>0.31960104610756285</v>
      </c>
      <c r="G29" s="3"/>
      <c r="H29" s="3"/>
    </row>
    <row r="30" spans="2:8" ht="15.75" thickBot="1" x14ac:dyDescent="0.3">
      <c r="B30" s="3"/>
      <c r="C30" s="3"/>
      <c r="D30" s="3"/>
      <c r="E30" s="3"/>
      <c r="F30" s="3"/>
      <c r="G30" s="3"/>
      <c r="H30" s="3"/>
    </row>
    <row r="31" spans="2:8" x14ac:dyDescent="0.25">
      <c r="B31" s="196" t="s">
        <v>20</v>
      </c>
      <c r="C31" s="197"/>
      <c r="D31" s="197"/>
      <c r="E31" s="197"/>
      <c r="F31" s="197"/>
      <c r="G31" s="197"/>
      <c r="H31" s="198"/>
    </row>
    <row r="32" spans="2:8" x14ac:dyDescent="0.25">
      <c r="B32" s="20"/>
      <c r="C32" s="21"/>
      <c r="D32" s="21"/>
      <c r="E32" s="21"/>
      <c r="F32" s="21"/>
      <c r="G32" s="21"/>
      <c r="H32" s="11"/>
    </row>
    <row r="33" spans="2:8" ht="57" x14ac:dyDescent="0.25">
      <c r="B33" s="31" t="s">
        <v>21</v>
      </c>
      <c r="C33" s="32" t="s">
        <v>22</v>
      </c>
      <c r="D33" s="32" t="s">
        <v>23</v>
      </c>
      <c r="E33" s="32" t="s">
        <v>24</v>
      </c>
      <c r="F33" s="32" t="s">
        <v>16</v>
      </c>
      <c r="G33" s="32" t="s">
        <v>25</v>
      </c>
      <c r="H33" s="33" t="s">
        <v>26</v>
      </c>
    </row>
    <row r="34" spans="2:8" x14ac:dyDescent="0.25">
      <c r="B34" s="19" t="s">
        <v>8</v>
      </c>
      <c r="C34" s="14">
        <f>'Existing Rates &amp; Forecast Vols'!C21*'Existing Rates &amp; Forecast Vols'!F21*12</f>
        <v>1523119.68</v>
      </c>
      <c r="D34" s="14">
        <f>'Existing Rates &amp; Forecast Vols'!D21*'Existing Rates &amp; Forecast Vols'!G21</f>
        <v>1411562.5259999998</v>
      </c>
      <c r="E34" s="34">
        <f>C34+D34</f>
        <v>2934682.2059999998</v>
      </c>
      <c r="F34" s="35"/>
      <c r="G34" s="34">
        <f>E34-F34</f>
        <v>2934682.2059999998</v>
      </c>
      <c r="H34" s="36">
        <f>G34/G$41</f>
        <v>0.58605184235926455</v>
      </c>
    </row>
    <row r="35" spans="2:8" x14ac:dyDescent="0.25">
      <c r="B35" s="19" t="s">
        <v>10</v>
      </c>
      <c r="C35" s="14">
        <f>'Existing Rates &amp; Forecast Vols'!C22*'Existing Rates &amp; Forecast Vols'!F22*12</f>
        <v>329163.83999999997</v>
      </c>
      <c r="D35" s="14">
        <f>'Existing Rates &amp; Forecast Vols'!D22*'Existing Rates &amp; Forecast Vols'!G22</f>
        <v>341602.9045</v>
      </c>
      <c r="E35" s="34">
        <f t="shared" ref="E35:E39" si="8">C35+D35</f>
        <v>670766.74450000003</v>
      </c>
      <c r="F35" s="35"/>
      <c r="G35" s="34">
        <f t="shared" ref="G35:G39" si="9">E35-F35</f>
        <v>670766.74450000003</v>
      </c>
      <c r="H35" s="36">
        <f t="shared" ref="H35:H39" si="10">G35/G$41</f>
        <v>0.13395116023256085</v>
      </c>
    </row>
    <row r="36" spans="2:8" x14ac:dyDescent="0.25">
      <c r="B36" s="19" t="s">
        <v>11</v>
      </c>
      <c r="C36" s="14">
        <f>'Existing Rates &amp; Forecast Vols'!C23*'Existing Rates &amp; Forecast Vols'!F23*12</f>
        <v>528889.19999999995</v>
      </c>
      <c r="D36" s="14">
        <f>'Existing Rates &amp; Forecast Vols'!D23*'Existing Rates &amp; Forecast Vols'!H23</f>
        <v>863683.27679999999</v>
      </c>
      <c r="E36" s="34">
        <f t="shared" si="8"/>
        <v>1392572.4767999998</v>
      </c>
      <c r="F36" s="34">
        <f>'Existing Rates &amp; Forecast Vols'!D28*'Existing Rates &amp; Forecast Vols'!H28</f>
        <v>126649.2</v>
      </c>
      <c r="G36" s="34">
        <f t="shared" si="9"/>
        <v>1265923.2767999999</v>
      </c>
      <c r="H36" s="36">
        <f t="shared" si="10"/>
        <v>0.25280306914912243</v>
      </c>
    </row>
    <row r="37" spans="2:8" x14ac:dyDescent="0.25">
      <c r="B37" s="19" t="s">
        <v>13</v>
      </c>
      <c r="C37" s="14">
        <f>'Existing Rates &amp; Forecast Vols'!C24*'Existing Rates &amp; Forecast Vols'!F24*12</f>
        <v>8673.84</v>
      </c>
      <c r="D37" s="14">
        <f>'Existing Rates &amp; Forecast Vols'!D24*'Existing Rates &amp; Forecast Vols'!G24</f>
        <v>15301.7345</v>
      </c>
      <c r="E37" s="34">
        <f t="shared" si="8"/>
        <v>23975.574500000002</v>
      </c>
      <c r="F37" s="35"/>
      <c r="G37" s="34">
        <f t="shared" si="9"/>
        <v>23975.574500000002</v>
      </c>
      <c r="H37" s="36">
        <f t="shared" si="10"/>
        <v>4.787887962321602E-3</v>
      </c>
    </row>
    <row r="38" spans="2:8" x14ac:dyDescent="0.25">
      <c r="B38" s="19" t="s">
        <v>14</v>
      </c>
      <c r="C38" s="14">
        <f>'Existing Rates &amp; Forecast Vols'!C25*'Existing Rates &amp; Forecast Vols'!F25*12</f>
        <v>2115.6</v>
      </c>
      <c r="D38" s="14">
        <f>'Existing Rates &amp; Forecast Vols'!D25*'Existing Rates &amp; Forecast Vols'!H25</f>
        <v>280.89600000000002</v>
      </c>
      <c r="E38" s="34">
        <f t="shared" si="8"/>
        <v>2396.4960000000001</v>
      </c>
      <c r="F38" s="35"/>
      <c r="G38" s="34">
        <f t="shared" si="9"/>
        <v>2396.4960000000001</v>
      </c>
      <c r="H38" s="36">
        <f t="shared" si="10"/>
        <v>4.7857682618415964E-4</v>
      </c>
    </row>
    <row r="39" spans="2:8" x14ac:dyDescent="0.25">
      <c r="B39" s="19" t="s">
        <v>15</v>
      </c>
      <c r="C39" s="14">
        <f>'Existing Rates &amp; Forecast Vols'!C26*'Existing Rates &amp; Forecast Vols'!F26*12</f>
        <v>73680</v>
      </c>
      <c r="D39" s="14">
        <f>'Existing Rates &amp; Forecast Vols'!D26*'Existing Rates &amp; Forecast Vols'!H26</f>
        <v>36122.806199999999</v>
      </c>
      <c r="E39" s="34">
        <f t="shared" si="8"/>
        <v>109802.80619999999</v>
      </c>
      <c r="F39" s="35"/>
      <c r="G39" s="34">
        <f t="shared" si="9"/>
        <v>109802.80619999999</v>
      </c>
      <c r="H39" s="36">
        <f t="shared" si="10"/>
        <v>2.1927463470546315E-2</v>
      </c>
    </row>
    <row r="40" spans="2:8" x14ac:dyDescent="0.25">
      <c r="B40" s="20"/>
      <c r="C40" s="21"/>
      <c r="D40" s="21"/>
      <c r="E40" s="21"/>
      <c r="F40" s="21"/>
      <c r="G40" s="21"/>
      <c r="H40" s="11"/>
    </row>
    <row r="41" spans="2:8" ht="15.75" thickBot="1" x14ac:dyDescent="0.3">
      <c r="B41" s="22" t="s">
        <v>27</v>
      </c>
      <c r="C41" s="37">
        <f t="shared" ref="C41:H41" si="11">SUM(C34:C39)</f>
        <v>2465642.1599999997</v>
      </c>
      <c r="D41" s="37">
        <f t="shared" si="11"/>
        <v>2668554.1439999999</v>
      </c>
      <c r="E41" s="37">
        <f t="shared" si="11"/>
        <v>5134196.3039999995</v>
      </c>
      <c r="F41" s="37">
        <f t="shared" si="11"/>
        <v>126649.2</v>
      </c>
      <c r="G41" s="37">
        <f t="shared" si="11"/>
        <v>5007547.1040000003</v>
      </c>
      <c r="H41" s="49">
        <f t="shared" si="11"/>
        <v>0.99999999999999989</v>
      </c>
    </row>
    <row r="42" spans="2:8" ht="15.75" thickBot="1" x14ac:dyDescent="0.3">
      <c r="B42" s="3"/>
      <c r="C42" s="39"/>
      <c r="D42" s="39"/>
      <c r="E42" s="39"/>
      <c r="F42" s="39"/>
      <c r="G42" s="39"/>
      <c r="H42" s="3"/>
    </row>
    <row r="43" spans="2:8" x14ac:dyDescent="0.25">
      <c r="B43" s="199" t="s">
        <v>28</v>
      </c>
      <c r="C43" s="200"/>
      <c r="D43" s="200"/>
      <c r="E43" s="200"/>
      <c r="F43" s="200"/>
      <c r="G43" s="201"/>
      <c r="H43" s="3"/>
    </row>
    <row r="44" spans="2:8" x14ac:dyDescent="0.25">
      <c r="B44" s="40"/>
      <c r="C44" s="41"/>
      <c r="D44" s="41"/>
      <c r="E44" s="41"/>
      <c r="F44" s="41"/>
      <c r="G44" s="42"/>
      <c r="H44" s="3"/>
    </row>
    <row r="45" spans="2:8" ht="28.5" x14ac:dyDescent="0.25">
      <c r="B45" s="202" t="s">
        <v>21</v>
      </c>
      <c r="C45" s="32" t="s">
        <v>22</v>
      </c>
      <c r="D45" s="32" t="s">
        <v>23</v>
      </c>
      <c r="E45" s="32" t="s">
        <v>25</v>
      </c>
      <c r="F45" s="32" t="s">
        <v>22</v>
      </c>
      <c r="G45" s="33" t="s">
        <v>23</v>
      </c>
      <c r="H45" s="3"/>
    </row>
    <row r="46" spans="2:8" x14ac:dyDescent="0.25">
      <c r="B46" s="202"/>
      <c r="C46" s="43" t="s">
        <v>29</v>
      </c>
      <c r="D46" s="43" t="s">
        <v>29</v>
      </c>
      <c r="E46" s="43" t="s">
        <v>29</v>
      </c>
      <c r="F46" s="43" t="s">
        <v>30</v>
      </c>
      <c r="G46" s="44" t="s">
        <v>30</v>
      </c>
      <c r="H46" s="3"/>
    </row>
    <row r="47" spans="2:8" x14ac:dyDescent="0.25">
      <c r="B47" s="19" t="s">
        <v>8</v>
      </c>
      <c r="C47" s="34">
        <f>C34</f>
        <v>1523119.68</v>
      </c>
      <c r="D47" s="34">
        <f>D34</f>
        <v>1411562.5259999998</v>
      </c>
      <c r="E47" s="34">
        <f>C47+D47</f>
        <v>2934682.2059999998</v>
      </c>
      <c r="F47" s="45">
        <f>C47/E47</f>
        <v>0.51900668388759774</v>
      </c>
      <c r="G47" s="36">
        <f>D47/E47</f>
        <v>0.48099331611240226</v>
      </c>
      <c r="H47" s="3"/>
    </row>
    <row r="48" spans="2:8" x14ac:dyDescent="0.25">
      <c r="B48" s="19" t="s">
        <v>10</v>
      </c>
      <c r="C48" s="34">
        <f t="shared" ref="C48:D52" si="12">C35</f>
        <v>329163.83999999997</v>
      </c>
      <c r="D48" s="34">
        <f t="shared" si="12"/>
        <v>341602.9045</v>
      </c>
      <c r="E48" s="34">
        <f t="shared" ref="E48:E52" si="13">C48+D48</f>
        <v>670766.74450000003</v>
      </c>
      <c r="F48" s="45">
        <f t="shared" ref="F48:F52" si="14">C48/E48</f>
        <v>0.49072772718534791</v>
      </c>
      <c r="G48" s="36">
        <f t="shared" ref="G48:G52" si="15">D48/E48</f>
        <v>0.50927227281465204</v>
      </c>
      <c r="H48" s="3"/>
    </row>
    <row r="49" spans="2:8" x14ac:dyDescent="0.25">
      <c r="B49" s="19" t="s">
        <v>11</v>
      </c>
      <c r="C49" s="34">
        <f t="shared" si="12"/>
        <v>528889.19999999995</v>
      </c>
      <c r="D49" s="34">
        <f>D36-F36</f>
        <v>737034.07680000004</v>
      </c>
      <c r="E49" s="34">
        <f t="shared" si="13"/>
        <v>1265923.2768000001</v>
      </c>
      <c r="F49" s="45">
        <f t="shared" si="14"/>
        <v>0.41778930026227629</v>
      </c>
      <c r="G49" s="36">
        <f t="shared" si="15"/>
        <v>0.58221069973772366</v>
      </c>
      <c r="H49" s="3"/>
    </row>
    <row r="50" spans="2:8" x14ac:dyDescent="0.25">
      <c r="B50" s="19" t="s">
        <v>13</v>
      </c>
      <c r="C50" s="34">
        <f t="shared" si="12"/>
        <v>8673.84</v>
      </c>
      <c r="D50" s="34">
        <f t="shared" si="12"/>
        <v>15301.7345</v>
      </c>
      <c r="E50" s="34">
        <f t="shared" si="13"/>
        <v>23975.574500000002</v>
      </c>
      <c r="F50" s="45">
        <f t="shared" si="14"/>
        <v>0.36177819221808427</v>
      </c>
      <c r="G50" s="36">
        <f t="shared" si="15"/>
        <v>0.63822180778191562</v>
      </c>
      <c r="H50" s="3"/>
    </row>
    <row r="51" spans="2:8" x14ac:dyDescent="0.25">
      <c r="B51" s="19" t="s">
        <v>14</v>
      </c>
      <c r="C51" s="34">
        <f t="shared" si="12"/>
        <v>2115.6</v>
      </c>
      <c r="D51" s="34">
        <f t="shared" si="12"/>
        <v>280.89600000000002</v>
      </c>
      <c r="E51" s="34">
        <f t="shared" si="13"/>
        <v>2396.4960000000001</v>
      </c>
      <c r="F51" s="45">
        <f t="shared" si="14"/>
        <v>0.882788871752759</v>
      </c>
      <c r="G51" s="36">
        <f t="shared" si="15"/>
        <v>0.11721112824724098</v>
      </c>
      <c r="H51" s="3"/>
    </row>
    <row r="52" spans="2:8" x14ac:dyDescent="0.25">
      <c r="B52" s="19" t="s">
        <v>15</v>
      </c>
      <c r="C52" s="34">
        <f t="shared" si="12"/>
        <v>73680</v>
      </c>
      <c r="D52" s="34">
        <f t="shared" si="12"/>
        <v>36122.806199999999</v>
      </c>
      <c r="E52" s="34">
        <f t="shared" si="13"/>
        <v>109802.80619999999</v>
      </c>
      <c r="F52" s="45">
        <f t="shared" si="14"/>
        <v>0.67102110182681296</v>
      </c>
      <c r="G52" s="36">
        <f t="shared" si="15"/>
        <v>0.32897889817318715</v>
      </c>
      <c r="H52" s="3"/>
    </row>
    <row r="53" spans="2:8" x14ac:dyDescent="0.25">
      <c r="B53" s="20"/>
      <c r="C53" s="46"/>
      <c r="D53" s="46"/>
      <c r="E53" s="21"/>
      <c r="F53" s="21"/>
      <c r="G53" s="11"/>
      <c r="H53" s="3"/>
    </row>
    <row r="54" spans="2:8" ht="15.75" thickBot="1" x14ac:dyDescent="0.3">
      <c r="B54" s="22" t="s">
        <v>27</v>
      </c>
      <c r="C54" s="37">
        <f>SUM(C47:C52)</f>
        <v>2465642.1599999997</v>
      </c>
      <c r="D54" s="37">
        <f>SUM(D47:D52)</f>
        <v>2541904.9439999997</v>
      </c>
      <c r="E54" s="37">
        <f>SUM(E47:E52)</f>
        <v>5007547.1040000003</v>
      </c>
      <c r="F54" s="47">
        <f>C54/E54</f>
        <v>0.49238521551409048</v>
      </c>
      <c r="G54" s="48">
        <f t="shared" ref="G54" si="16">D54/E54</f>
        <v>0.50761478448590935</v>
      </c>
      <c r="H54" s="3"/>
    </row>
    <row r="56" spans="2:8" x14ac:dyDescent="0.25">
      <c r="B56" s="61" t="s">
        <v>18</v>
      </c>
      <c r="C56" s="3"/>
      <c r="D56" s="3"/>
      <c r="E56" s="3"/>
      <c r="F56" s="3"/>
      <c r="G56" s="3"/>
      <c r="H56" s="3"/>
    </row>
    <row r="57" spans="2:8" ht="15.75" thickBot="1" x14ac:dyDescent="0.3">
      <c r="B57" s="3"/>
      <c r="C57" s="3"/>
      <c r="D57" s="3"/>
      <c r="E57" s="3"/>
      <c r="F57" s="3"/>
      <c r="G57" s="3"/>
      <c r="H57" s="3"/>
    </row>
    <row r="58" spans="2:8" x14ac:dyDescent="0.25">
      <c r="B58" s="196" t="s">
        <v>20</v>
      </c>
      <c r="C58" s="197"/>
      <c r="D58" s="197"/>
      <c r="E58" s="197"/>
      <c r="F58" s="197"/>
      <c r="G58" s="197"/>
      <c r="H58" s="198"/>
    </row>
    <row r="59" spans="2:8" x14ac:dyDescent="0.25">
      <c r="B59" s="20"/>
      <c r="C59" s="21"/>
      <c r="D59" s="21"/>
      <c r="E59" s="21"/>
      <c r="F59" s="21"/>
      <c r="G59" s="21"/>
      <c r="H59" s="11"/>
    </row>
    <row r="60" spans="2:8" ht="57" x14ac:dyDescent="0.25">
      <c r="B60" s="31" t="s">
        <v>21</v>
      </c>
      <c r="C60" s="32" t="s">
        <v>22</v>
      </c>
      <c r="D60" s="32" t="s">
        <v>23</v>
      </c>
      <c r="E60" s="32" t="s">
        <v>24</v>
      </c>
      <c r="F60" s="32" t="s">
        <v>16</v>
      </c>
      <c r="G60" s="32" t="s">
        <v>25</v>
      </c>
      <c r="H60" s="33" t="s">
        <v>26</v>
      </c>
    </row>
    <row r="61" spans="2:8" x14ac:dyDescent="0.25">
      <c r="B61" s="19" t="s">
        <v>8</v>
      </c>
      <c r="C61" s="14">
        <f t="shared" ref="C61:D66" si="17">C7+C34</f>
        <v>5346887.16</v>
      </c>
      <c r="D61" s="14">
        <f t="shared" si="17"/>
        <v>3602278.3795999996</v>
      </c>
      <c r="E61" s="34">
        <f>C61+D61</f>
        <v>8949165.5395999998</v>
      </c>
      <c r="F61" s="35"/>
      <c r="G61" s="34">
        <f>E61-F61</f>
        <v>8949165.5395999998</v>
      </c>
      <c r="H61" s="36">
        <f>G61/G$68</f>
        <v>0.56526670964017034</v>
      </c>
    </row>
    <row r="62" spans="2:8" x14ac:dyDescent="0.25">
      <c r="B62" s="19" t="s">
        <v>10</v>
      </c>
      <c r="C62" s="14">
        <f t="shared" si="17"/>
        <v>740287.92</v>
      </c>
      <c r="D62" s="14">
        <f t="shared" si="17"/>
        <v>1446647.5550999998</v>
      </c>
      <c r="E62" s="34">
        <f t="shared" ref="E62:E66" si="18">C62+D62</f>
        <v>2186935.4750999999</v>
      </c>
      <c r="F62" s="35"/>
      <c r="G62" s="34">
        <f t="shared" ref="G62:G66" si="19">E62-F62</f>
        <v>2186935.4750999999</v>
      </c>
      <c r="H62" s="36">
        <f t="shared" ref="H62:H66" si="20">G62/G$68</f>
        <v>0.13813598762196927</v>
      </c>
    </row>
    <row r="63" spans="2:8" x14ac:dyDescent="0.25">
      <c r="B63" s="19" t="s">
        <v>11</v>
      </c>
      <c r="C63" s="14">
        <f t="shared" si="17"/>
        <v>767909.03999999992</v>
      </c>
      <c r="D63" s="14">
        <f t="shared" si="17"/>
        <v>3618838.9590000003</v>
      </c>
      <c r="E63" s="34">
        <f t="shared" si="18"/>
        <v>4386747.9989999998</v>
      </c>
      <c r="F63" s="34">
        <f>F9+F36</f>
        <v>232633.8</v>
      </c>
      <c r="G63" s="34">
        <f t="shared" si="19"/>
        <v>4154114.199</v>
      </c>
      <c r="H63" s="36">
        <f t="shared" si="20"/>
        <v>0.26239122009170007</v>
      </c>
    </row>
    <row r="64" spans="2:8" x14ac:dyDescent="0.25">
      <c r="B64" s="19" t="s">
        <v>13</v>
      </c>
      <c r="C64" s="14">
        <f t="shared" si="17"/>
        <v>29694.839999999997</v>
      </c>
      <c r="D64" s="14">
        <f t="shared" si="17"/>
        <v>54376.242700000003</v>
      </c>
      <c r="E64" s="34">
        <f t="shared" si="18"/>
        <v>84071.082699999999</v>
      </c>
      <c r="F64" s="35"/>
      <c r="G64" s="34">
        <f t="shared" si="19"/>
        <v>84071.082699999999</v>
      </c>
      <c r="H64" s="36">
        <f t="shared" si="20"/>
        <v>5.310281062902291E-3</v>
      </c>
    </row>
    <row r="65" spans="2:8" x14ac:dyDescent="0.25">
      <c r="B65" s="19" t="s">
        <v>14</v>
      </c>
      <c r="C65" s="14">
        <f t="shared" si="17"/>
        <v>43957.200000000004</v>
      </c>
      <c r="D65" s="14">
        <f t="shared" si="17"/>
        <v>10081.3228</v>
      </c>
      <c r="E65" s="34">
        <f t="shared" si="18"/>
        <v>54038.522800000006</v>
      </c>
      <c r="F65" s="35"/>
      <c r="G65" s="34">
        <f t="shared" si="19"/>
        <v>54038.522800000006</v>
      </c>
      <c r="H65" s="36">
        <f t="shared" si="20"/>
        <v>3.4132990212109369E-3</v>
      </c>
    </row>
    <row r="66" spans="2:8" x14ac:dyDescent="0.25">
      <c r="B66" s="19" t="s">
        <v>15</v>
      </c>
      <c r="C66" s="14">
        <f t="shared" si="17"/>
        <v>293222.40000000002</v>
      </c>
      <c r="D66" s="14">
        <f t="shared" si="17"/>
        <v>110210.40419999999</v>
      </c>
      <c r="E66" s="34">
        <f t="shared" si="18"/>
        <v>403432.80420000001</v>
      </c>
      <c r="F66" s="35"/>
      <c r="G66" s="34">
        <f t="shared" si="19"/>
        <v>403432.80420000001</v>
      </c>
      <c r="H66" s="36">
        <f t="shared" si="20"/>
        <v>2.5482502562047153E-2</v>
      </c>
    </row>
    <row r="67" spans="2:8" x14ac:dyDescent="0.25">
      <c r="B67" s="20"/>
      <c r="C67" s="21"/>
      <c r="D67" s="21"/>
      <c r="E67" s="21"/>
      <c r="F67" s="21"/>
      <c r="G67" s="21"/>
      <c r="H67" s="11"/>
    </row>
    <row r="68" spans="2:8" ht="15.75" thickBot="1" x14ac:dyDescent="0.3">
      <c r="B68" s="22" t="s">
        <v>27</v>
      </c>
      <c r="C68" s="37">
        <f t="shared" ref="C68:H68" si="21">SUM(C61:C66)</f>
        <v>7221958.5600000005</v>
      </c>
      <c r="D68" s="37">
        <f t="shared" si="21"/>
        <v>8842432.8633999992</v>
      </c>
      <c r="E68" s="37">
        <f t="shared" si="21"/>
        <v>16064391.423399998</v>
      </c>
      <c r="F68" s="37">
        <f t="shared" si="21"/>
        <v>232633.8</v>
      </c>
      <c r="G68" s="37">
        <f t="shared" si="21"/>
        <v>15831757.623399999</v>
      </c>
      <c r="H68" s="49">
        <f t="shared" si="21"/>
        <v>1</v>
      </c>
    </row>
    <row r="69" spans="2:8" ht="15.75" thickBot="1" x14ac:dyDescent="0.3">
      <c r="B69" s="3"/>
      <c r="C69" s="39"/>
      <c r="D69" s="39"/>
      <c r="E69" s="39"/>
      <c r="F69" s="39"/>
      <c r="G69" s="39"/>
      <c r="H69" s="3"/>
    </row>
    <row r="70" spans="2:8" x14ac:dyDescent="0.25">
      <c r="B70" s="199" t="s">
        <v>28</v>
      </c>
      <c r="C70" s="200"/>
      <c r="D70" s="200"/>
      <c r="E70" s="200"/>
      <c r="F70" s="200"/>
      <c r="G70" s="201"/>
      <c r="H70" s="3"/>
    </row>
    <row r="71" spans="2:8" x14ac:dyDescent="0.25">
      <c r="B71" s="40"/>
      <c r="C71" s="41"/>
      <c r="D71" s="41"/>
      <c r="E71" s="41"/>
      <c r="F71" s="41"/>
      <c r="G71" s="42"/>
      <c r="H71" s="3"/>
    </row>
    <row r="72" spans="2:8" ht="28.5" x14ac:dyDescent="0.25">
      <c r="B72" s="202" t="s">
        <v>21</v>
      </c>
      <c r="C72" s="32" t="s">
        <v>31</v>
      </c>
      <c r="D72" s="32" t="s">
        <v>23</v>
      </c>
      <c r="E72" s="32" t="s">
        <v>25</v>
      </c>
      <c r="F72" s="32" t="s">
        <v>22</v>
      </c>
      <c r="G72" s="33" t="s">
        <v>23</v>
      </c>
      <c r="H72" s="3"/>
    </row>
    <row r="73" spans="2:8" x14ac:dyDescent="0.25">
      <c r="B73" s="202"/>
      <c r="C73" s="43" t="s">
        <v>29</v>
      </c>
      <c r="D73" s="43" t="s">
        <v>29</v>
      </c>
      <c r="E73" s="43" t="s">
        <v>29</v>
      </c>
      <c r="F73" s="43" t="s">
        <v>30</v>
      </c>
      <c r="G73" s="44" t="s">
        <v>30</v>
      </c>
      <c r="H73" s="3"/>
    </row>
    <row r="74" spans="2:8" x14ac:dyDescent="0.25">
      <c r="B74" s="19" t="s">
        <v>8</v>
      </c>
      <c r="C74" s="34">
        <f>C61</f>
        <v>5346887.16</v>
      </c>
      <c r="D74" s="34">
        <f>D61</f>
        <v>3602278.3795999996</v>
      </c>
      <c r="E74" s="34">
        <f>C74+D74</f>
        <v>8949165.5395999998</v>
      </c>
      <c r="F74" s="45">
        <f>C74/E74</f>
        <v>0.59747326567377246</v>
      </c>
      <c r="G74" s="36">
        <f>D74/E74</f>
        <v>0.40252673432622754</v>
      </c>
      <c r="H74" s="3"/>
    </row>
    <row r="75" spans="2:8" x14ac:dyDescent="0.25">
      <c r="B75" s="19" t="s">
        <v>10</v>
      </c>
      <c r="C75" s="34">
        <f t="shared" ref="C75:D79" si="22">C62</f>
        <v>740287.92</v>
      </c>
      <c r="D75" s="34">
        <f t="shared" si="22"/>
        <v>1446647.5550999998</v>
      </c>
      <c r="E75" s="34">
        <f t="shared" ref="E75:E79" si="23">C75+D75</f>
        <v>2186935.4750999999</v>
      </c>
      <c r="F75" s="45">
        <f t="shared" ref="F75:F79" si="24">C75/E75</f>
        <v>0.33850469226402286</v>
      </c>
      <c r="G75" s="36">
        <f t="shared" ref="G75:G79" si="25">D75/E75</f>
        <v>0.66149530773597709</v>
      </c>
      <c r="H75" s="3"/>
    </row>
    <row r="76" spans="2:8" x14ac:dyDescent="0.25">
      <c r="B76" s="19" t="s">
        <v>11</v>
      </c>
      <c r="C76" s="34">
        <f t="shared" si="22"/>
        <v>767909.03999999992</v>
      </c>
      <c r="D76" s="34">
        <f>D63-F63</f>
        <v>3386205.1590000005</v>
      </c>
      <c r="E76" s="34">
        <f t="shared" si="23"/>
        <v>4154114.1990000005</v>
      </c>
      <c r="F76" s="45">
        <f t="shared" si="24"/>
        <v>0.18485506252689318</v>
      </c>
      <c r="G76" s="36">
        <f t="shared" si="25"/>
        <v>0.81514493747310679</v>
      </c>
      <c r="H76" s="3"/>
    </row>
    <row r="77" spans="2:8" x14ac:dyDescent="0.25">
      <c r="B77" s="19" t="s">
        <v>13</v>
      </c>
      <c r="C77" s="34">
        <f t="shared" si="22"/>
        <v>29694.839999999997</v>
      </c>
      <c r="D77" s="34">
        <f t="shared" si="22"/>
        <v>54376.242700000003</v>
      </c>
      <c r="E77" s="34">
        <f t="shared" si="23"/>
        <v>84071.082699999999</v>
      </c>
      <c r="F77" s="45">
        <f t="shared" si="24"/>
        <v>0.35321110477384154</v>
      </c>
      <c r="G77" s="36">
        <f t="shared" si="25"/>
        <v>0.64678889522615846</v>
      </c>
      <c r="H77" s="3"/>
    </row>
    <row r="78" spans="2:8" x14ac:dyDescent="0.25">
      <c r="B78" s="19" t="s">
        <v>14</v>
      </c>
      <c r="C78" s="34">
        <f t="shared" si="22"/>
        <v>43957.200000000004</v>
      </c>
      <c r="D78" s="34">
        <f t="shared" si="22"/>
        <v>10081.3228</v>
      </c>
      <c r="E78" s="34">
        <f t="shared" si="23"/>
        <v>54038.522800000006</v>
      </c>
      <c r="F78" s="45">
        <f t="shared" si="24"/>
        <v>0.81344192480405852</v>
      </c>
      <c r="G78" s="36">
        <f t="shared" si="25"/>
        <v>0.1865580751959415</v>
      </c>
      <c r="H78" s="3"/>
    </row>
    <row r="79" spans="2:8" x14ac:dyDescent="0.25">
      <c r="B79" s="19" t="s">
        <v>15</v>
      </c>
      <c r="C79" s="34">
        <f t="shared" si="22"/>
        <v>293222.40000000002</v>
      </c>
      <c r="D79" s="34">
        <f t="shared" si="22"/>
        <v>110210.40419999999</v>
      </c>
      <c r="E79" s="34">
        <f t="shared" si="23"/>
        <v>403432.80420000001</v>
      </c>
      <c r="F79" s="45">
        <f t="shared" si="24"/>
        <v>0.72681843654596889</v>
      </c>
      <c r="G79" s="36">
        <f t="shared" si="25"/>
        <v>0.27318156345403105</v>
      </c>
      <c r="H79" s="3"/>
    </row>
    <row r="80" spans="2:8" x14ac:dyDescent="0.25">
      <c r="B80" s="20"/>
      <c r="C80" s="46"/>
      <c r="D80" s="46"/>
      <c r="E80" s="21"/>
      <c r="F80" s="21"/>
      <c r="G80" s="11"/>
      <c r="H80" s="3"/>
    </row>
    <row r="81" spans="2:8" ht="15.75" thickBot="1" x14ac:dyDescent="0.3">
      <c r="B81" s="22" t="s">
        <v>27</v>
      </c>
      <c r="C81" s="37">
        <f>SUM(C74:C79)</f>
        <v>7221958.5600000005</v>
      </c>
      <c r="D81" s="37">
        <f>SUM(D74:D79)</f>
        <v>8609799.0633999985</v>
      </c>
      <c r="E81" s="37">
        <f>SUM(E74:E79)</f>
        <v>15831757.623399999</v>
      </c>
      <c r="F81" s="47">
        <f>C81/E81</f>
        <v>0.45616909580056003</v>
      </c>
      <c r="G81" s="48">
        <f t="shared" ref="G81" si="26">D81/E81</f>
        <v>0.54383090419944002</v>
      </c>
      <c r="H81" s="3"/>
    </row>
    <row r="82" spans="2:8" x14ac:dyDescent="0.25">
      <c r="B82" s="3"/>
      <c r="C82" s="3"/>
      <c r="D82" s="3"/>
      <c r="E82" s="3"/>
      <c r="F82" s="3"/>
      <c r="G82" s="3"/>
      <c r="H82" s="3"/>
    </row>
    <row r="83" spans="2:8" x14ac:dyDescent="0.25">
      <c r="B83" s="3" t="s">
        <v>32</v>
      </c>
      <c r="C83" s="3"/>
      <c r="D83" s="3"/>
      <c r="E83" s="3"/>
      <c r="F83" s="3"/>
      <c r="G83" s="3"/>
      <c r="H83" s="3"/>
    </row>
    <row r="84" spans="2:8" x14ac:dyDescent="0.25">
      <c r="B84" s="3" t="s">
        <v>33</v>
      </c>
      <c r="C84" s="3"/>
      <c r="D84" s="3"/>
      <c r="E84" s="3"/>
      <c r="F84" s="3"/>
      <c r="G84" s="3"/>
      <c r="H84" s="3"/>
    </row>
    <row r="85" spans="2:8" ht="8.25" customHeight="1" x14ac:dyDescent="0.25">
      <c r="B85" s="3"/>
      <c r="C85" s="3"/>
      <c r="D85" s="3"/>
      <c r="E85" s="3"/>
      <c r="F85" s="3"/>
      <c r="G85" s="3"/>
      <c r="H85" s="3"/>
    </row>
    <row r="86" spans="2:8" x14ac:dyDescent="0.25">
      <c r="B86" s="3" t="s">
        <v>34</v>
      </c>
      <c r="C86" s="3"/>
      <c r="D86" s="3"/>
      <c r="E86" s="3"/>
      <c r="F86" s="3"/>
      <c r="G86" s="3"/>
      <c r="H86" s="3"/>
    </row>
    <row r="87" spans="2:8" x14ac:dyDescent="0.25">
      <c r="B87" s="3"/>
      <c r="C87" s="3"/>
      <c r="D87" s="3"/>
      <c r="E87" s="3"/>
      <c r="F87" s="3"/>
      <c r="G87" s="3"/>
      <c r="H87" s="3"/>
    </row>
    <row r="88" spans="2:8" ht="29.25" x14ac:dyDescent="0.25">
      <c r="C88" s="1" t="s">
        <v>118</v>
      </c>
      <c r="D88" s="1" t="s">
        <v>17</v>
      </c>
      <c r="E88" s="3"/>
      <c r="F88" s="3"/>
      <c r="G88" s="3"/>
      <c r="H88" s="3"/>
    </row>
    <row r="89" spans="2:8" x14ac:dyDescent="0.25">
      <c r="B89" s="3" t="s">
        <v>8</v>
      </c>
      <c r="C89" s="97">
        <f>E7/E61</f>
        <v>0.67207197218399306</v>
      </c>
      <c r="D89" s="98">
        <f>1-C89</f>
        <v>0.32792802781600694</v>
      </c>
    </row>
    <row r="90" spans="2:8" x14ac:dyDescent="0.25">
      <c r="B90" s="3" t="s">
        <v>10</v>
      </c>
      <c r="C90" s="97">
        <f t="shared" ref="C90:C93" si="27">E8/E62</f>
        <v>0.69328462035701877</v>
      </c>
      <c r="D90" s="98">
        <f t="shared" ref="D90:D94" si="28">1-C90</f>
        <v>0.30671537964298123</v>
      </c>
    </row>
    <row r="91" spans="2:8" x14ac:dyDescent="0.25">
      <c r="B91" s="3" t="s">
        <v>11</v>
      </c>
      <c r="C91" s="97">
        <f t="shared" si="27"/>
        <v>0.68255015398252883</v>
      </c>
      <c r="D91" s="98">
        <f t="shared" si="28"/>
        <v>0.31744984601747117</v>
      </c>
    </row>
    <row r="92" spans="2:8" x14ac:dyDescent="0.25">
      <c r="B92" s="3" t="s">
        <v>13</v>
      </c>
      <c r="C92" s="97">
        <f t="shared" si="27"/>
        <v>0.71481782165748176</v>
      </c>
      <c r="D92" s="98">
        <f t="shared" si="28"/>
        <v>0.28518217834251824</v>
      </c>
    </row>
    <row r="93" spans="2:8" x14ac:dyDescent="0.25">
      <c r="B93" s="3" t="s">
        <v>14</v>
      </c>
      <c r="C93" s="97">
        <f t="shared" si="27"/>
        <v>0.9556520815924302</v>
      </c>
      <c r="D93" s="98">
        <f t="shared" si="28"/>
        <v>4.4347918407569797E-2</v>
      </c>
    </row>
    <row r="94" spans="2:8" x14ac:dyDescent="0.25">
      <c r="B94" s="3" t="s">
        <v>15</v>
      </c>
      <c r="C94" s="97">
        <f>E12/E66-0.04</f>
        <v>0.68782876093148404</v>
      </c>
      <c r="D94" s="98">
        <f t="shared" si="28"/>
        <v>0.31217123906851596</v>
      </c>
    </row>
  </sheetData>
  <mergeCells count="10">
    <mergeCell ref="B2:C2"/>
    <mergeCell ref="B58:H58"/>
    <mergeCell ref="B70:G70"/>
    <mergeCell ref="B72:B73"/>
    <mergeCell ref="B4:H4"/>
    <mergeCell ref="B16:G16"/>
    <mergeCell ref="B18:B19"/>
    <mergeCell ref="B31:H31"/>
    <mergeCell ref="B43:G43"/>
    <mergeCell ref="B45:B46"/>
  </mergeCells>
  <pageMargins left="0.70866141732283461" right="0.70866141732283461" top="0.74803149606299213" bottom="0.74803149606299213" header="0.31496062992125984" footer="0.31496062992125984"/>
  <pageSetup paperSize="5" scale="6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28"/>
  <sheetViews>
    <sheetView workbookViewId="0">
      <selection activeCell="D43" sqref="D43"/>
    </sheetView>
  </sheetViews>
  <sheetFormatPr defaultRowHeight="15" x14ac:dyDescent="0.25"/>
  <cols>
    <col min="1" max="1" width="2.7109375" customWidth="1"/>
    <col min="2" max="2" width="21.85546875" customWidth="1"/>
    <col min="3" max="3" width="14.42578125" customWidth="1"/>
    <col min="4" max="4" width="10.7109375" bestFit="1" customWidth="1"/>
    <col min="5" max="5" width="14" bestFit="1" customWidth="1"/>
    <col min="6" max="6" width="13.5703125" customWidth="1"/>
    <col min="8" max="8" width="2" customWidth="1"/>
    <col min="9" max="9" width="12.28515625" bestFit="1" customWidth="1"/>
  </cols>
  <sheetData>
    <row r="2" spans="2:9" x14ac:dyDescent="0.25">
      <c r="B2" s="61" t="s">
        <v>18</v>
      </c>
      <c r="C2" s="3"/>
      <c r="D2" s="3"/>
      <c r="E2" s="3"/>
      <c r="F2" s="3"/>
      <c r="G2" s="3"/>
      <c r="H2" s="3"/>
      <c r="I2" s="3"/>
    </row>
    <row r="3" spans="2:9" ht="15.75" thickBot="1" x14ac:dyDescent="0.3">
      <c r="B3" s="3"/>
      <c r="C3" s="3"/>
      <c r="D3" s="3"/>
      <c r="E3" s="3"/>
      <c r="F3" s="3"/>
      <c r="G3" s="3"/>
      <c r="H3" s="3"/>
      <c r="I3" s="3"/>
    </row>
    <row r="4" spans="2:9" x14ac:dyDescent="0.25">
      <c r="B4" s="205" t="s">
        <v>46</v>
      </c>
      <c r="C4" s="206"/>
      <c r="D4" s="206"/>
      <c r="E4" s="206"/>
      <c r="F4" s="206"/>
      <c r="G4" s="206"/>
      <c r="H4" s="206"/>
      <c r="I4" s="207"/>
    </row>
    <row r="5" spans="2:9" x14ac:dyDescent="0.25">
      <c r="B5" s="208" t="s">
        <v>35</v>
      </c>
      <c r="C5" s="209"/>
      <c r="D5" s="209"/>
      <c r="E5" s="209"/>
      <c r="F5" s="209"/>
      <c r="G5" s="209"/>
      <c r="H5" s="209"/>
      <c r="I5" s="210"/>
    </row>
    <row r="6" spans="2:9" x14ac:dyDescent="0.25">
      <c r="B6" s="20"/>
      <c r="C6" s="21"/>
      <c r="D6" s="21"/>
      <c r="E6" s="21"/>
      <c r="F6" s="21"/>
      <c r="G6" s="21"/>
      <c r="H6" s="21"/>
      <c r="I6" s="11"/>
    </row>
    <row r="7" spans="2:9" ht="71.25" x14ac:dyDescent="0.25">
      <c r="B7" s="50" t="s">
        <v>21</v>
      </c>
      <c r="C7" s="32" t="s">
        <v>48</v>
      </c>
      <c r="D7" s="32" t="s">
        <v>37</v>
      </c>
      <c r="E7" s="32" t="s">
        <v>38</v>
      </c>
      <c r="F7" s="32" t="s">
        <v>39</v>
      </c>
      <c r="G7" s="32" t="s">
        <v>40</v>
      </c>
      <c r="H7" s="51"/>
      <c r="I7" s="33" t="s">
        <v>41</v>
      </c>
    </row>
    <row r="8" spans="2:9" x14ac:dyDescent="0.25">
      <c r="B8" s="19" t="s">
        <v>8</v>
      </c>
      <c r="C8" s="34">
        <v>11959720</v>
      </c>
      <c r="D8" s="52">
        <v>1.1188</v>
      </c>
      <c r="E8" s="34">
        <v>10012615</v>
      </c>
      <c r="F8" s="34">
        <f>887427</f>
        <v>887427</v>
      </c>
      <c r="G8" s="53">
        <f t="shared" ref="G8:G13" si="0">(E8+F8)/C8</f>
        <v>0.91139608619599788</v>
      </c>
      <c r="H8" s="54"/>
      <c r="I8" s="44" t="s">
        <v>42</v>
      </c>
    </row>
    <row r="9" spans="2:9" x14ac:dyDescent="0.25">
      <c r="B9" s="19" t="s">
        <v>10</v>
      </c>
      <c r="C9" s="34">
        <v>2395011</v>
      </c>
      <c r="D9" s="52">
        <v>1.1188</v>
      </c>
      <c r="E9" s="34">
        <v>2446814</v>
      </c>
      <c r="F9" s="34">
        <f>171803</f>
        <v>171803</v>
      </c>
      <c r="G9" s="53">
        <f t="shared" si="0"/>
        <v>1.0933632455132773</v>
      </c>
      <c r="H9" s="54"/>
      <c r="I9" s="44" t="s">
        <v>43</v>
      </c>
    </row>
    <row r="10" spans="2:9" x14ac:dyDescent="0.25">
      <c r="B10" s="19" t="s">
        <v>11</v>
      </c>
      <c r="C10" s="34">
        <v>4132293</v>
      </c>
      <c r="D10" s="52">
        <v>1.1188</v>
      </c>
      <c r="E10" s="34">
        <v>4647757</v>
      </c>
      <c r="F10" s="34">
        <f>297618</f>
        <v>297618</v>
      </c>
      <c r="G10" s="53">
        <f t="shared" si="0"/>
        <v>1.1967629110520479</v>
      </c>
      <c r="H10" s="54"/>
      <c r="I10" s="44" t="s">
        <v>43</v>
      </c>
    </row>
    <row r="11" spans="2:9" x14ac:dyDescent="0.25">
      <c r="B11" s="19" t="s">
        <v>13</v>
      </c>
      <c r="C11" s="34">
        <v>37273</v>
      </c>
      <c r="D11" s="52">
        <v>1.1188</v>
      </c>
      <c r="E11" s="34">
        <v>94061</v>
      </c>
      <c r="F11" s="34">
        <f>3257</f>
        <v>3257</v>
      </c>
      <c r="G11" s="55">
        <f t="shared" si="0"/>
        <v>2.6109516271832156</v>
      </c>
      <c r="H11" s="54"/>
      <c r="I11" s="44" t="s">
        <v>43</v>
      </c>
    </row>
    <row r="12" spans="2:9" x14ac:dyDescent="0.25">
      <c r="B12" s="19" t="s">
        <v>14</v>
      </c>
      <c r="C12" s="34">
        <v>83224</v>
      </c>
      <c r="D12" s="52">
        <v>1.1188</v>
      </c>
      <c r="E12" s="34">
        <v>60460</v>
      </c>
      <c r="F12" s="34">
        <f>5731</f>
        <v>5731</v>
      </c>
      <c r="G12" s="55">
        <f t="shared" si="0"/>
        <v>0.7953354801499567</v>
      </c>
      <c r="H12" s="54"/>
      <c r="I12" s="44" t="s">
        <v>43</v>
      </c>
    </row>
    <row r="13" spans="2:9" x14ac:dyDescent="0.25">
      <c r="B13" s="19" t="s">
        <v>15</v>
      </c>
      <c r="C13" s="34">
        <v>508745</v>
      </c>
      <c r="D13" s="52">
        <v>1.1188</v>
      </c>
      <c r="E13" s="34">
        <v>451374</v>
      </c>
      <c r="F13" s="34">
        <v>37349</v>
      </c>
      <c r="G13" s="53">
        <f t="shared" si="0"/>
        <v>0.96064433065681232</v>
      </c>
      <c r="H13" s="54"/>
      <c r="I13" s="44" t="s">
        <v>44</v>
      </c>
    </row>
    <row r="14" spans="2:9" x14ac:dyDescent="0.25">
      <c r="B14" s="19"/>
      <c r="C14" s="35"/>
      <c r="D14" s="35"/>
      <c r="E14" s="35"/>
      <c r="F14" s="35"/>
      <c r="G14" s="35"/>
      <c r="H14" s="56"/>
      <c r="I14" s="57"/>
    </row>
    <row r="15" spans="2:9" ht="15.75" thickBot="1" x14ac:dyDescent="0.3">
      <c r="B15" s="22" t="s">
        <v>27</v>
      </c>
      <c r="C15" s="58">
        <f>SUM(C8:C13)</f>
        <v>19116266</v>
      </c>
      <c r="D15" s="23"/>
      <c r="E15" s="58">
        <f>SUM(E8:E13)</f>
        <v>17713081</v>
      </c>
      <c r="F15" s="58">
        <f>SUM(F8:F13)</f>
        <v>1403185</v>
      </c>
      <c r="G15" s="23"/>
      <c r="H15" s="59"/>
      <c r="I15" s="60"/>
    </row>
    <row r="17" spans="2:9" ht="46.5" customHeight="1" x14ac:dyDescent="0.25">
      <c r="B17" s="204" t="s">
        <v>45</v>
      </c>
      <c r="C17" s="204"/>
      <c r="D17" s="204"/>
      <c r="E17" s="204"/>
      <c r="F17" s="204"/>
      <c r="G17" s="204"/>
      <c r="H17" s="204"/>
      <c r="I17" s="204"/>
    </row>
    <row r="18" spans="2:9" ht="8.25" customHeight="1" x14ac:dyDescent="0.25">
      <c r="B18" s="86"/>
      <c r="C18" s="86"/>
      <c r="D18" s="86"/>
      <c r="E18" s="86"/>
      <c r="F18" s="86"/>
      <c r="G18" s="86"/>
      <c r="H18" s="86"/>
      <c r="I18" s="86"/>
    </row>
    <row r="19" spans="2:9" ht="30" customHeight="1" x14ac:dyDescent="0.25">
      <c r="B19" s="204" t="s">
        <v>49</v>
      </c>
      <c r="C19" s="204"/>
      <c r="D19" s="204"/>
      <c r="E19" s="204"/>
      <c r="F19" s="204"/>
      <c r="G19" s="204"/>
      <c r="H19" s="204"/>
      <c r="I19" s="204"/>
    </row>
    <row r="20" spans="2:9" ht="8.25" customHeight="1" x14ac:dyDescent="0.25">
      <c r="B20" s="86"/>
      <c r="C20" s="86"/>
      <c r="D20" s="86"/>
      <c r="E20" s="86"/>
      <c r="F20" s="86"/>
      <c r="G20" s="86"/>
      <c r="H20" s="86"/>
      <c r="I20" s="86"/>
    </row>
    <row r="21" spans="2:9" ht="60.75" customHeight="1" x14ac:dyDescent="0.25">
      <c r="B21" s="204" t="s">
        <v>47</v>
      </c>
      <c r="C21" s="204"/>
      <c r="D21" s="204"/>
      <c r="E21" s="204"/>
      <c r="F21" s="204"/>
      <c r="G21" s="204"/>
      <c r="H21" s="204"/>
      <c r="I21" s="204"/>
    </row>
    <row r="22" spans="2:9" ht="8.25" customHeight="1" x14ac:dyDescent="0.25">
      <c r="B22" s="86"/>
      <c r="C22" s="86"/>
      <c r="D22" s="86"/>
      <c r="E22" s="86"/>
      <c r="F22" s="86"/>
      <c r="G22" s="86"/>
      <c r="H22" s="86"/>
      <c r="I22" s="86"/>
    </row>
    <row r="23" spans="2:9" ht="30" customHeight="1" x14ac:dyDescent="0.25">
      <c r="B23" s="204" t="s">
        <v>175</v>
      </c>
      <c r="C23" s="204"/>
      <c r="D23" s="204"/>
      <c r="E23" s="204"/>
      <c r="F23" s="204"/>
      <c r="G23" s="204"/>
      <c r="H23" s="204"/>
      <c r="I23" s="204"/>
    </row>
    <row r="25" spans="2:9" x14ac:dyDescent="0.25">
      <c r="B25" s="203" t="s">
        <v>173</v>
      </c>
      <c r="C25" s="203"/>
      <c r="D25" s="203"/>
      <c r="E25" s="203"/>
      <c r="F25" s="203"/>
      <c r="G25" s="203"/>
    </row>
    <row r="26" spans="2:9" x14ac:dyDescent="0.25">
      <c r="B26" s="155" t="s">
        <v>171</v>
      </c>
      <c r="C26" s="155"/>
      <c r="D26" s="155"/>
      <c r="E26" s="178">
        <v>19494443</v>
      </c>
      <c r="F26" s="155"/>
      <c r="G26" s="155"/>
    </row>
    <row r="27" spans="2:9" x14ac:dyDescent="0.25">
      <c r="B27" s="155" t="s">
        <v>172</v>
      </c>
      <c r="C27" s="155"/>
      <c r="D27" s="155"/>
      <c r="E27" s="178">
        <f>C15</f>
        <v>19116266</v>
      </c>
      <c r="F27" s="155"/>
      <c r="G27" s="155"/>
    </row>
    <row r="28" spans="2:9" x14ac:dyDescent="0.25">
      <c r="B28" s="155" t="s">
        <v>132</v>
      </c>
      <c r="C28" s="155"/>
      <c r="D28" s="155"/>
      <c r="E28" s="178">
        <f>E27-E26</f>
        <v>-378177</v>
      </c>
      <c r="F28" s="155"/>
      <c r="G28" s="155"/>
    </row>
  </sheetData>
  <mergeCells count="7">
    <mergeCell ref="B25:G25"/>
    <mergeCell ref="B23:I23"/>
    <mergeCell ref="B4:I4"/>
    <mergeCell ref="B5:I5"/>
    <mergeCell ref="B17:I17"/>
    <mergeCell ref="B19:I19"/>
    <mergeCell ref="B21:I21"/>
  </mergeCells>
  <pageMargins left="0.7" right="0.7" top="0.75" bottom="0.75" header="0.3" footer="0.3"/>
  <pageSetup scale="8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53"/>
  <sheetViews>
    <sheetView topLeftCell="A22" workbookViewId="0">
      <selection activeCell="J41" sqref="J41"/>
    </sheetView>
  </sheetViews>
  <sheetFormatPr defaultRowHeight="15" x14ac:dyDescent="0.25"/>
  <cols>
    <col min="1" max="1" width="2.7109375" customWidth="1"/>
    <col min="2" max="2" width="21.85546875" customWidth="1"/>
    <col min="3" max="3" width="14.42578125" customWidth="1"/>
    <col min="4" max="5" width="13.5703125" customWidth="1"/>
    <col min="6" max="6" width="13.85546875" bestFit="1" customWidth="1"/>
    <col min="7" max="7" width="11.140625" customWidth="1"/>
    <col min="8" max="8" width="15.7109375" bestFit="1" customWidth="1"/>
  </cols>
  <sheetData>
    <row r="2" spans="2:8" ht="18.75" thickBot="1" x14ac:dyDescent="0.3">
      <c r="B2" s="68" t="s">
        <v>54</v>
      </c>
    </row>
    <row r="3" spans="2:8" x14ac:dyDescent="0.25">
      <c r="B3" s="199" t="s">
        <v>50</v>
      </c>
      <c r="C3" s="200"/>
      <c r="D3" s="200"/>
      <c r="E3" s="200"/>
      <c r="F3" s="200"/>
      <c r="G3" s="200"/>
      <c r="H3" s="201"/>
    </row>
    <row r="4" spans="2:8" x14ac:dyDescent="0.25">
      <c r="B4" s="20"/>
      <c r="C4" s="21"/>
      <c r="D4" s="21"/>
      <c r="E4" s="21"/>
      <c r="F4" s="21"/>
      <c r="G4" s="21"/>
      <c r="H4" s="11"/>
    </row>
    <row r="5" spans="2:8" ht="85.5" x14ac:dyDescent="0.25">
      <c r="B5" s="50" t="s">
        <v>21</v>
      </c>
      <c r="C5" s="32" t="s">
        <v>36</v>
      </c>
      <c r="D5" s="32" t="s">
        <v>39</v>
      </c>
      <c r="E5" s="32" t="s">
        <v>55</v>
      </c>
      <c r="F5" s="32" t="s">
        <v>38</v>
      </c>
      <c r="G5" s="32" t="s">
        <v>51</v>
      </c>
      <c r="H5" s="33" t="s">
        <v>52</v>
      </c>
    </row>
    <row r="6" spans="2:8" x14ac:dyDescent="0.25">
      <c r="B6" s="19" t="s">
        <v>8</v>
      </c>
      <c r="C6" s="34">
        <f>'R|C Ratio'!C$8</f>
        <v>11959720</v>
      </c>
      <c r="D6" s="34">
        <f>'R|C Ratio'!F$8</f>
        <v>887427</v>
      </c>
      <c r="E6" s="34">
        <f>C6-D6</f>
        <v>11072293</v>
      </c>
      <c r="F6" s="34">
        <f>'R|C Ratio'!E$8</f>
        <v>10012615</v>
      </c>
      <c r="G6" s="67">
        <f t="shared" ref="G6:G11" si="0">(H6+D6)/C6</f>
        <v>0.9113636272421094</v>
      </c>
      <c r="H6" s="63">
        <f>H13-(H7+H8+H9+H10+H11)</f>
        <v>10012226.800000001</v>
      </c>
    </row>
    <row r="7" spans="2:8" x14ac:dyDescent="0.25">
      <c r="B7" s="19" t="s">
        <v>10</v>
      </c>
      <c r="C7" s="34">
        <f>'R|C Ratio'!C$9</f>
        <v>2395011</v>
      </c>
      <c r="D7" s="34">
        <f>'R|C Ratio'!F$9</f>
        <v>171803</v>
      </c>
      <c r="E7" s="34">
        <f t="shared" ref="E7:E11" si="1">C7-D7</f>
        <v>2223208</v>
      </c>
      <c r="F7" s="34">
        <f>'R|C Ratio'!E$9</f>
        <v>2446814</v>
      </c>
      <c r="G7" s="62">
        <f t="shared" si="0"/>
        <v>1.0933632455132773</v>
      </c>
      <c r="H7" s="63">
        <v>2446814</v>
      </c>
    </row>
    <row r="8" spans="2:8" x14ac:dyDescent="0.25">
      <c r="B8" s="19" t="s">
        <v>11</v>
      </c>
      <c r="C8" s="34">
        <f>'R|C Ratio'!C$10</f>
        <v>4132293</v>
      </c>
      <c r="D8" s="34">
        <f>'R|C Ratio'!F$10</f>
        <v>297618</v>
      </c>
      <c r="E8" s="34">
        <f t="shared" si="1"/>
        <v>3834675</v>
      </c>
      <c r="F8" s="34">
        <f>'R|C Ratio'!E$10</f>
        <v>4647757</v>
      </c>
      <c r="G8" s="62">
        <f t="shared" si="0"/>
        <v>1.1967629110520479</v>
      </c>
      <c r="H8" s="63">
        <v>4647757</v>
      </c>
    </row>
    <row r="9" spans="2:8" x14ac:dyDescent="0.25">
      <c r="B9" s="19" t="s">
        <v>13</v>
      </c>
      <c r="C9" s="34">
        <f>'R|C Ratio'!C$11</f>
        <v>37273</v>
      </c>
      <c r="D9" s="34">
        <f>'R|C Ratio'!F$11</f>
        <v>3257</v>
      </c>
      <c r="E9" s="34">
        <f t="shared" si="1"/>
        <v>34016</v>
      </c>
      <c r="F9" s="34">
        <f>'R|C Ratio'!E$11</f>
        <v>94061</v>
      </c>
      <c r="G9" s="67">
        <f t="shared" si="0"/>
        <v>2.6109516271832156</v>
      </c>
      <c r="H9" s="63">
        <v>94061</v>
      </c>
    </row>
    <row r="10" spans="2:8" x14ac:dyDescent="0.25">
      <c r="B10" s="19" t="s">
        <v>14</v>
      </c>
      <c r="C10" s="34">
        <f>'R|C Ratio'!C$12</f>
        <v>83224</v>
      </c>
      <c r="D10" s="34">
        <f>'R|C Ratio'!F$12</f>
        <v>5731</v>
      </c>
      <c r="E10" s="34">
        <f t="shared" si="1"/>
        <v>77493</v>
      </c>
      <c r="F10" s="34">
        <f>'R|C Ratio'!E$12</f>
        <v>60460</v>
      </c>
      <c r="G10" s="67">
        <f t="shared" si="0"/>
        <v>0.79999999999999993</v>
      </c>
      <c r="H10" s="63">
        <v>60848.2</v>
      </c>
    </row>
    <row r="11" spans="2:8" x14ac:dyDescent="0.25">
      <c r="B11" s="19" t="s">
        <v>15</v>
      </c>
      <c r="C11" s="34">
        <f>'R|C Ratio'!C$13</f>
        <v>508745</v>
      </c>
      <c r="D11" s="34">
        <f>'R|C Ratio'!F$13</f>
        <v>37349</v>
      </c>
      <c r="E11" s="34">
        <f t="shared" si="1"/>
        <v>471396</v>
      </c>
      <c r="F11" s="34">
        <f>'R|C Ratio'!E$13</f>
        <v>451374</v>
      </c>
      <c r="G11" s="62">
        <f t="shared" si="0"/>
        <v>0.96064433065681232</v>
      </c>
      <c r="H11" s="63">
        <v>451374</v>
      </c>
    </row>
    <row r="12" spans="2:8" x14ac:dyDescent="0.25">
      <c r="B12" s="19"/>
      <c r="C12" s="35"/>
      <c r="D12" s="35"/>
      <c r="E12" s="35"/>
      <c r="F12" s="35"/>
      <c r="G12" s="35"/>
      <c r="H12" s="57"/>
    </row>
    <row r="13" spans="2:8" ht="15.75" thickBot="1" x14ac:dyDescent="0.3">
      <c r="B13" s="22" t="s">
        <v>27</v>
      </c>
      <c r="C13" s="58">
        <f>SUM(C6:C11)</f>
        <v>19116266</v>
      </c>
      <c r="D13" s="58">
        <f>SUM(D6:D11)</f>
        <v>1403185</v>
      </c>
      <c r="E13" s="58">
        <f>SUM(E6:E11)</f>
        <v>17713081</v>
      </c>
      <c r="F13" s="58">
        <f>SUM(F6:F11)</f>
        <v>17713081</v>
      </c>
      <c r="G13" s="23"/>
      <c r="H13" s="64">
        <f>F13</f>
        <v>17713081</v>
      </c>
    </row>
    <row r="14" spans="2:8" ht="7.5" customHeight="1" x14ac:dyDescent="0.25">
      <c r="B14" s="3"/>
      <c r="C14" s="3"/>
      <c r="D14" s="3"/>
      <c r="E14" s="3"/>
      <c r="F14" s="3"/>
      <c r="G14" s="3"/>
      <c r="H14" s="3"/>
    </row>
    <row r="15" spans="2:8" x14ac:dyDescent="0.25">
      <c r="B15" s="65" t="s">
        <v>53</v>
      </c>
      <c r="C15" s="66" t="str">
        <f>IF((H6+H7+H8+H9+H10+H11)-F13&lt;1,"YES","NO")</f>
        <v>YES</v>
      </c>
      <c r="D15" s="3"/>
      <c r="E15" s="3"/>
      <c r="F15" s="3"/>
      <c r="G15" s="3"/>
      <c r="H15" s="3"/>
    </row>
    <row r="17" spans="2:8" ht="18.75" thickBot="1" x14ac:dyDescent="0.3">
      <c r="B17" s="68" t="s">
        <v>56</v>
      </c>
    </row>
    <row r="18" spans="2:8" x14ac:dyDescent="0.25">
      <c r="B18" s="199" t="s">
        <v>50</v>
      </c>
      <c r="C18" s="200"/>
      <c r="D18" s="200"/>
      <c r="E18" s="200"/>
      <c r="F18" s="200"/>
      <c r="G18" s="200"/>
      <c r="H18" s="201"/>
    </row>
    <row r="19" spans="2:8" x14ac:dyDescent="0.25">
      <c r="B19" s="20"/>
      <c r="C19" s="21"/>
      <c r="D19" s="21"/>
      <c r="E19" s="21"/>
      <c r="F19" s="21"/>
      <c r="G19" s="21"/>
      <c r="H19" s="11"/>
    </row>
    <row r="20" spans="2:8" ht="85.5" x14ac:dyDescent="0.25">
      <c r="B20" s="50" t="s">
        <v>21</v>
      </c>
      <c r="C20" s="32" t="s">
        <v>36</v>
      </c>
      <c r="D20" s="32" t="s">
        <v>39</v>
      </c>
      <c r="E20" s="32" t="s">
        <v>55</v>
      </c>
      <c r="F20" s="32" t="s">
        <v>38</v>
      </c>
      <c r="G20" s="32" t="s">
        <v>51</v>
      </c>
      <c r="H20" s="33" t="s">
        <v>52</v>
      </c>
    </row>
    <row r="21" spans="2:8" x14ac:dyDescent="0.25">
      <c r="B21" s="19" t="s">
        <v>8</v>
      </c>
      <c r="C21" s="34">
        <f>'R|C Ratio'!C$8</f>
        <v>11959720</v>
      </c>
      <c r="D21" s="34">
        <f>'R|C Ratio'!F$8</f>
        <v>887427</v>
      </c>
      <c r="E21" s="34">
        <f>C21-D21</f>
        <v>11072293</v>
      </c>
      <c r="F21" s="34">
        <f>'R|C Ratio'!E$8</f>
        <v>10012615</v>
      </c>
      <c r="G21" s="67">
        <f t="shared" ref="G21:G26" si="2">(H21+D21)/C21</f>
        <v>0.9113636272421094</v>
      </c>
      <c r="H21" s="63">
        <v>10012226.800000001</v>
      </c>
    </row>
    <row r="22" spans="2:8" x14ac:dyDescent="0.25">
      <c r="B22" s="19" t="s">
        <v>10</v>
      </c>
      <c r="C22" s="34">
        <f>'R|C Ratio'!C$9</f>
        <v>2395011</v>
      </c>
      <c r="D22" s="34">
        <f>'R|C Ratio'!F$9</f>
        <v>171803</v>
      </c>
      <c r="E22" s="34">
        <f t="shared" ref="E22:E26" si="3">C22-D22</f>
        <v>2223208</v>
      </c>
      <c r="F22" s="34">
        <f>'R|C Ratio'!E$9</f>
        <v>2446814</v>
      </c>
      <c r="G22" s="62">
        <f t="shared" si="2"/>
        <v>1.0933632455132773</v>
      </c>
      <c r="H22" s="63">
        <v>2446814</v>
      </c>
    </row>
    <row r="23" spans="2:8" x14ac:dyDescent="0.25">
      <c r="B23" s="19" t="s">
        <v>11</v>
      </c>
      <c r="C23" s="34">
        <f>'R|C Ratio'!C$10</f>
        <v>4132293</v>
      </c>
      <c r="D23" s="34">
        <f>'R|C Ratio'!F$10</f>
        <v>297618</v>
      </c>
      <c r="E23" s="34">
        <f t="shared" si="3"/>
        <v>3834675</v>
      </c>
      <c r="F23" s="34">
        <f>'R|C Ratio'!E$10</f>
        <v>4647757</v>
      </c>
      <c r="G23" s="62">
        <f t="shared" si="2"/>
        <v>1.1967629110520479</v>
      </c>
      <c r="H23" s="63">
        <v>4647757</v>
      </c>
    </row>
    <row r="24" spans="2:8" x14ac:dyDescent="0.25">
      <c r="B24" s="19" t="s">
        <v>13</v>
      </c>
      <c r="C24" s="34">
        <f>'R|C Ratio'!C$11</f>
        <v>37273</v>
      </c>
      <c r="D24" s="34">
        <f>'R|C Ratio'!F$11</f>
        <v>3257</v>
      </c>
      <c r="E24" s="34">
        <f t="shared" si="3"/>
        <v>34016</v>
      </c>
      <c r="F24" s="34">
        <f>'R|C Ratio'!E$11</f>
        <v>94061</v>
      </c>
      <c r="G24" s="67">
        <f t="shared" si="2"/>
        <v>2.3622151798889317</v>
      </c>
      <c r="H24" s="63">
        <f>H28-(H21+H22+H23+H25+H26)</f>
        <v>84789.846400000155</v>
      </c>
    </row>
    <row r="25" spans="2:8" x14ac:dyDescent="0.25">
      <c r="B25" s="19" t="s">
        <v>14</v>
      </c>
      <c r="C25" s="34">
        <f>'R|C Ratio'!C$12</f>
        <v>83224</v>
      </c>
      <c r="D25" s="34">
        <f>'R|C Ratio'!F$12</f>
        <v>5731</v>
      </c>
      <c r="E25" s="34">
        <f t="shared" si="3"/>
        <v>77493</v>
      </c>
      <c r="F25" s="34">
        <f>'R|C Ratio'!E$12</f>
        <v>60460</v>
      </c>
      <c r="G25" s="67">
        <f t="shared" si="2"/>
        <v>0.91139999999999999</v>
      </c>
      <c r="H25" s="63">
        <v>70119.353600000002</v>
      </c>
    </row>
    <row r="26" spans="2:8" x14ac:dyDescent="0.25">
      <c r="B26" s="19" t="s">
        <v>15</v>
      </c>
      <c r="C26" s="34">
        <f>'R|C Ratio'!C$13</f>
        <v>508745</v>
      </c>
      <c r="D26" s="34">
        <f>'R|C Ratio'!F$13</f>
        <v>37349</v>
      </c>
      <c r="E26" s="34">
        <f t="shared" si="3"/>
        <v>471396</v>
      </c>
      <c r="F26" s="34">
        <f>'R|C Ratio'!E$13</f>
        <v>451374</v>
      </c>
      <c r="G26" s="62">
        <f t="shared" si="2"/>
        <v>0.96064433065681232</v>
      </c>
      <c r="H26" s="63">
        <v>451374</v>
      </c>
    </row>
    <row r="27" spans="2:8" x14ac:dyDescent="0.25">
      <c r="B27" s="19"/>
      <c r="C27" s="35"/>
      <c r="D27" s="35"/>
      <c r="E27" s="35"/>
      <c r="F27" s="35"/>
      <c r="G27" s="35"/>
      <c r="H27" s="57"/>
    </row>
    <row r="28" spans="2:8" ht="15.75" thickBot="1" x14ac:dyDescent="0.3">
      <c r="B28" s="22" t="s">
        <v>27</v>
      </c>
      <c r="C28" s="58">
        <f>SUM(C21:C26)</f>
        <v>19116266</v>
      </c>
      <c r="D28" s="58">
        <f>SUM(D21:D26)</f>
        <v>1403185</v>
      </c>
      <c r="E28" s="58">
        <f>SUM(E21:E26)</f>
        <v>17713081</v>
      </c>
      <c r="F28" s="58">
        <f>SUM(F21:F26)</f>
        <v>17713081</v>
      </c>
      <c r="G28" s="23"/>
      <c r="H28" s="64">
        <f>F28</f>
        <v>17713081</v>
      </c>
    </row>
    <row r="29" spans="2:8" ht="7.5" customHeight="1" x14ac:dyDescent="0.25">
      <c r="B29" s="3"/>
      <c r="C29" s="3"/>
      <c r="D29" s="3"/>
      <c r="E29" s="3"/>
      <c r="F29" s="3"/>
      <c r="G29" s="3"/>
      <c r="H29" s="3"/>
    </row>
    <row r="30" spans="2:8" x14ac:dyDescent="0.25">
      <c r="B30" s="65" t="s">
        <v>53</v>
      </c>
      <c r="C30" s="66" t="str">
        <f>IF((H21+H22+H23+H24+H25+H26)-F28&lt;1,"YES","NO")</f>
        <v>YES</v>
      </c>
      <c r="D30" s="3"/>
      <c r="E30" s="3"/>
      <c r="F30" s="3"/>
      <c r="G30" s="3"/>
      <c r="H30" s="3"/>
    </row>
    <row r="32" spans="2:8" ht="18.75" thickBot="1" x14ac:dyDescent="0.3">
      <c r="B32" s="68" t="s">
        <v>57</v>
      </c>
    </row>
    <row r="33" spans="2:8" x14ac:dyDescent="0.25">
      <c r="B33" s="199" t="s">
        <v>50</v>
      </c>
      <c r="C33" s="200"/>
      <c r="D33" s="200"/>
      <c r="E33" s="200"/>
      <c r="F33" s="200"/>
      <c r="G33" s="200"/>
      <c r="H33" s="201"/>
    </row>
    <row r="34" spans="2:8" x14ac:dyDescent="0.25">
      <c r="B34" s="20"/>
      <c r="C34" s="21"/>
      <c r="D34" s="21"/>
      <c r="E34" s="21"/>
      <c r="F34" s="21"/>
      <c r="G34" s="21"/>
      <c r="H34" s="11"/>
    </row>
    <row r="35" spans="2:8" ht="85.5" x14ac:dyDescent="0.25">
      <c r="B35" s="50" t="s">
        <v>21</v>
      </c>
      <c r="C35" s="32" t="s">
        <v>36</v>
      </c>
      <c r="D35" s="32" t="s">
        <v>39</v>
      </c>
      <c r="E35" s="32" t="s">
        <v>55</v>
      </c>
      <c r="F35" s="32" t="s">
        <v>38</v>
      </c>
      <c r="G35" s="32" t="s">
        <v>51</v>
      </c>
      <c r="H35" s="33" t="s">
        <v>52</v>
      </c>
    </row>
    <row r="36" spans="2:8" x14ac:dyDescent="0.25">
      <c r="B36" s="19" t="s">
        <v>8</v>
      </c>
      <c r="C36" s="34">
        <f>'R|C Ratio'!C$8</f>
        <v>11959720</v>
      </c>
      <c r="D36" s="34">
        <f>'R|C Ratio'!F$8</f>
        <v>887427</v>
      </c>
      <c r="E36" s="34">
        <f>C36-D36</f>
        <v>11072293</v>
      </c>
      <c r="F36" s="34">
        <f>'R|C Ratio'!E$8</f>
        <v>10012615</v>
      </c>
      <c r="G36" s="67">
        <f t="shared" ref="G36:G41" si="4">(H36+D36)/C36</f>
        <v>0.91496067132006442</v>
      </c>
      <c r="H36" s="63">
        <f>H43-(H37+H38+H39+H40+H41)</f>
        <v>10055246.440000001</v>
      </c>
    </row>
    <row r="37" spans="2:8" x14ac:dyDescent="0.25">
      <c r="B37" s="19" t="s">
        <v>10</v>
      </c>
      <c r="C37" s="34">
        <f>'R|C Ratio'!C$9</f>
        <v>2395011</v>
      </c>
      <c r="D37" s="34">
        <f>'R|C Ratio'!F$9</f>
        <v>171803</v>
      </c>
      <c r="E37" s="34">
        <f t="shared" ref="E37:E41" si="5">C37-D37</f>
        <v>2223208</v>
      </c>
      <c r="F37" s="34">
        <f>'R|C Ratio'!E$9</f>
        <v>2446814</v>
      </c>
      <c r="G37" s="62">
        <f t="shared" si="4"/>
        <v>1.0933632455132773</v>
      </c>
      <c r="H37" s="63">
        <v>2446814</v>
      </c>
    </row>
    <row r="38" spans="2:8" x14ac:dyDescent="0.25">
      <c r="B38" s="19" t="s">
        <v>11</v>
      </c>
      <c r="C38" s="34">
        <f>'R|C Ratio'!C$10</f>
        <v>4132293</v>
      </c>
      <c r="D38" s="34">
        <f>'R|C Ratio'!F$10</f>
        <v>297618</v>
      </c>
      <c r="E38" s="34">
        <f t="shared" si="5"/>
        <v>3834675</v>
      </c>
      <c r="F38" s="34">
        <f>'R|C Ratio'!E$10</f>
        <v>4647757</v>
      </c>
      <c r="G38" s="62">
        <f t="shared" si="4"/>
        <v>1.1967629110520479</v>
      </c>
      <c r="H38" s="63">
        <v>4647757</v>
      </c>
    </row>
    <row r="39" spans="2:8" x14ac:dyDescent="0.25">
      <c r="B39" s="19" t="s">
        <v>13</v>
      </c>
      <c r="C39" s="34">
        <f>'R|C Ratio'!C$11</f>
        <v>37273</v>
      </c>
      <c r="D39" s="34">
        <f>'R|C Ratio'!F$11</f>
        <v>3257</v>
      </c>
      <c r="E39" s="34">
        <f t="shared" si="5"/>
        <v>34016</v>
      </c>
      <c r="F39" s="34">
        <f>'R|C Ratio'!E$11</f>
        <v>94061</v>
      </c>
      <c r="G39" s="67">
        <f t="shared" si="4"/>
        <v>1.1999999999999997</v>
      </c>
      <c r="H39" s="63">
        <v>41470.599999999991</v>
      </c>
    </row>
    <row r="40" spans="2:8" x14ac:dyDescent="0.25">
      <c r="B40" s="19" t="s">
        <v>14</v>
      </c>
      <c r="C40" s="34">
        <f>'R|C Ratio'!C$12</f>
        <v>83224</v>
      </c>
      <c r="D40" s="34">
        <f>'R|C Ratio'!F$12</f>
        <v>5731</v>
      </c>
      <c r="E40" s="34">
        <f t="shared" si="5"/>
        <v>77493</v>
      </c>
      <c r="F40" s="34">
        <f>'R|C Ratio'!E$12</f>
        <v>60460</v>
      </c>
      <c r="G40" s="67">
        <f t="shared" si="4"/>
        <v>0.91500000000000004</v>
      </c>
      <c r="H40" s="63">
        <v>70418.960000000006</v>
      </c>
    </row>
    <row r="41" spans="2:8" x14ac:dyDescent="0.25">
      <c r="B41" s="19" t="s">
        <v>15</v>
      </c>
      <c r="C41" s="34">
        <f>'R|C Ratio'!C$13</f>
        <v>508745</v>
      </c>
      <c r="D41" s="34">
        <f>'R|C Ratio'!F$13</f>
        <v>37349</v>
      </c>
      <c r="E41" s="34">
        <f t="shared" si="5"/>
        <v>471396</v>
      </c>
      <c r="F41" s="34">
        <f>'R|C Ratio'!E$13</f>
        <v>451374</v>
      </c>
      <c r="G41" s="62">
        <f t="shared" si="4"/>
        <v>0.96064433065681232</v>
      </c>
      <c r="H41" s="63">
        <v>451374</v>
      </c>
    </row>
    <row r="42" spans="2:8" x14ac:dyDescent="0.25">
      <c r="B42" s="19"/>
      <c r="C42" s="35"/>
      <c r="D42" s="35"/>
      <c r="E42" s="35"/>
      <c r="F42" s="35"/>
      <c r="G42" s="35"/>
      <c r="H42" s="57"/>
    </row>
    <row r="43" spans="2:8" ht="15.75" thickBot="1" x14ac:dyDescent="0.3">
      <c r="B43" s="22" t="s">
        <v>27</v>
      </c>
      <c r="C43" s="58">
        <f>SUM(C36:C41)</f>
        <v>19116266</v>
      </c>
      <c r="D43" s="58">
        <f>SUM(D36:D41)</f>
        <v>1403185</v>
      </c>
      <c r="E43" s="58">
        <f>SUM(E36:E41)</f>
        <v>17713081</v>
      </c>
      <c r="F43" s="58">
        <f>SUM(F36:F41)</f>
        <v>17713081</v>
      </c>
      <c r="G43" s="23"/>
      <c r="H43" s="64">
        <f>F43</f>
        <v>17713081</v>
      </c>
    </row>
    <row r="44" spans="2:8" ht="7.5" customHeight="1" x14ac:dyDescent="0.25">
      <c r="B44" s="3"/>
      <c r="C44" s="3"/>
      <c r="D44" s="3"/>
      <c r="E44" s="3"/>
      <c r="F44" s="3"/>
      <c r="G44" s="3"/>
      <c r="H44" s="3"/>
    </row>
    <row r="45" spans="2:8" x14ac:dyDescent="0.25">
      <c r="B45" s="65" t="s">
        <v>53</v>
      </c>
      <c r="C45" s="66" t="str">
        <f>IF((H36+H37+H38+H39+H40+H41)-F43&lt;1,"YES","NO")</f>
        <v>YES</v>
      </c>
      <c r="D45" s="3"/>
      <c r="E45" s="3"/>
      <c r="F45" s="3"/>
      <c r="G45" s="3"/>
      <c r="H45" s="3"/>
    </row>
    <row r="47" spans="2:8" ht="30" customHeight="1" x14ac:dyDescent="0.25">
      <c r="B47" s="204" t="s">
        <v>58</v>
      </c>
      <c r="C47" s="204"/>
      <c r="D47" s="204"/>
      <c r="E47" s="204"/>
      <c r="F47" s="204"/>
      <c r="G47" s="204"/>
      <c r="H47" s="204"/>
    </row>
    <row r="49" spans="2:6" x14ac:dyDescent="0.25">
      <c r="B49" s="3"/>
      <c r="C49" s="69" t="s">
        <v>80</v>
      </c>
      <c r="D49" s="69" t="s">
        <v>81</v>
      </c>
      <c r="E49" s="69" t="s">
        <v>74</v>
      </c>
      <c r="F49" s="69" t="s">
        <v>82</v>
      </c>
    </row>
    <row r="50" spans="2:6" x14ac:dyDescent="0.25">
      <c r="B50" s="3" t="s">
        <v>13</v>
      </c>
      <c r="C50" s="88">
        <f>'R|C Ratio'!G11</f>
        <v>2.6109516271832156</v>
      </c>
      <c r="D50" s="88">
        <f>G39</f>
        <v>1.1999999999999997</v>
      </c>
      <c r="E50" s="88">
        <f>C50-D50</f>
        <v>1.4109516271832159</v>
      </c>
      <c r="F50" s="88">
        <f>E50*0.25</f>
        <v>0.35273790679580397</v>
      </c>
    </row>
    <row r="52" spans="2:6" x14ac:dyDescent="0.25">
      <c r="B52" s="3" t="s">
        <v>84</v>
      </c>
      <c r="C52" s="69">
        <v>2013</v>
      </c>
      <c r="D52" s="69">
        <v>2014</v>
      </c>
      <c r="E52" s="69">
        <v>2015</v>
      </c>
      <c r="F52" s="69">
        <v>2016</v>
      </c>
    </row>
    <row r="53" spans="2:6" x14ac:dyDescent="0.25">
      <c r="B53" s="3" t="s">
        <v>13</v>
      </c>
      <c r="C53" s="88">
        <f>C50-F50</f>
        <v>2.2582137203874115</v>
      </c>
      <c r="D53" s="88">
        <f>C53-F50</f>
        <v>1.9054758135916074</v>
      </c>
      <c r="E53" s="88">
        <f>D53-F50</f>
        <v>1.5527379067958034</v>
      </c>
      <c r="F53" s="88">
        <f>E53-F50</f>
        <v>1.1999999999999993</v>
      </c>
    </row>
  </sheetData>
  <mergeCells count="4">
    <mergeCell ref="B3:H3"/>
    <mergeCell ref="B18:H18"/>
    <mergeCell ref="B33:H33"/>
    <mergeCell ref="B47:H4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0"/>
  <sheetViews>
    <sheetView workbookViewId="0">
      <selection activeCell="H15" sqref="H15"/>
    </sheetView>
  </sheetViews>
  <sheetFormatPr defaultRowHeight="14.25" x14ac:dyDescent="0.2"/>
  <cols>
    <col min="1" max="1" width="2.7109375" style="3" customWidth="1"/>
    <col min="2" max="2" width="21.42578125" style="3" bestFit="1" customWidth="1"/>
    <col min="3" max="3" width="1.7109375" style="3" customWidth="1"/>
    <col min="4" max="4" width="12.28515625" style="3" bestFit="1" customWidth="1"/>
    <col min="5" max="5" width="4.7109375" style="3" customWidth="1"/>
    <col min="6" max="6" width="12.28515625" style="3" bestFit="1" customWidth="1"/>
    <col min="7" max="7" width="4.7109375" style="3" customWidth="1"/>
    <col min="8" max="8" width="12.5703125" style="3" customWidth="1"/>
    <col min="9" max="16384" width="9.140625" style="3"/>
  </cols>
  <sheetData>
    <row r="1" spans="2:9" ht="15" thickBot="1" x14ac:dyDescent="0.25"/>
    <row r="2" spans="2:9" ht="14.25" customHeight="1" x14ac:dyDescent="0.2">
      <c r="B2" s="211" t="s">
        <v>59</v>
      </c>
      <c r="C2" s="212"/>
      <c r="D2" s="212"/>
      <c r="E2" s="212"/>
      <c r="F2" s="212"/>
      <c r="G2" s="212"/>
      <c r="H2" s="213"/>
      <c r="I2" s="70"/>
    </row>
    <row r="3" spans="2:9" ht="28.5" x14ac:dyDescent="0.2">
      <c r="B3" s="19" t="s">
        <v>21</v>
      </c>
      <c r="C3" s="35"/>
      <c r="D3" s="13" t="s">
        <v>60</v>
      </c>
      <c r="E3" s="35"/>
      <c r="F3" s="13" t="s">
        <v>17</v>
      </c>
      <c r="G3" s="35"/>
      <c r="H3" s="44" t="s">
        <v>18</v>
      </c>
    </row>
    <row r="4" spans="2:9" ht="6.75" customHeight="1" x14ac:dyDescent="0.2">
      <c r="B4" s="20"/>
      <c r="C4" s="21"/>
      <c r="D4" s="76"/>
      <c r="E4" s="21"/>
      <c r="F4" s="76"/>
      <c r="G4" s="21"/>
      <c r="H4" s="11"/>
    </row>
    <row r="5" spans="2:9" x14ac:dyDescent="0.2">
      <c r="B5" s="19" t="s">
        <v>8</v>
      </c>
      <c r="C5" s="35"/>
      <c r="D5" s="45">
        <f>'Existing F_V Ratios'!F20</f>
        <v>0.63575992615000965</v>
      </c>
      <c r="E5" s="35"/>
      <c r="F5" s="45">
        <f>'Existing F_V Ratios'!F47</f>
        <v>0.51900668388759774</v>
      </c>
      <c r="G5" s="35"/>
      <c r="H5" s="36">
        <f>'Existing F_V Ratios'!F74</f>
        <v>0.59747326567377246</v>
      </c>
    </row>
    <row r="6" spans="2:9" x14ac:dyDescent="0.2">
      <c r="B6" s="19" t="s">
        <v>10</v>
      </c>
      <c r="C6" s="35"/>
      <c r="D6" s="45">
        <f>'Existing F_V Ratios'!F21</f>
        <v>0.27115984633010087</v>
      </c>
      <c r="E6" s="35"/>
      <c r="F6" s="45">
        <f>'Existing F_V Ratios'!F48</f>
        <v>0.49072772718534791</v>
      </c>
      <c r="G6" s="35"/>
      <c r="H6" s="36">
        <f>'Existing F_V Ratios'!F75</f>
        <v>0.33850469226402286</v>
      </c>
    </row>
    <row r="7" spans="2:9" x14ac:dyDescent="0.2">
      <c r="B7" s="19" t="s">
        <v>11</v>
      </c>
      <c r="C7" s="35"/>
      <c r="D7" s="45">
        <f>'Existing F_V Ratios'!F22</f>
        <v>8.2757631485779068E-2</v>
      </c>
      <c r="E7" s="35"/>
      <c r="F7" s="45">
        <f>'Existing F_V Ratios'!F49</f>
        <v>0.41778930026227629</v>
      </c>
      <c r="G7" s="35"/>
      <c r="H7" s="36">
        <f>'Existing F_V Ratios'!F76</f>
        <v>0.18485506252689318</v>
      </c>
    </row>
    <row r="8" spans="2:9" x14ac:dyDescent="0.2">
      <c r="B8" s="19" t="s">
        <v>13</v>
      </c>
      <c r="C8" s="35"/>
      <c r="D8" s="45">
        <f>'Existing F_V Ratios'!F23</f>
        <v>0.34979319802141212</v>
      </c>
      <c r="E8" s="35"/>
      <c r="F8" s="45">
        <f>'Existing F_V Ratios'!F50</f>
        <v>0.36177819221808427</v>
      </c>
      <c r="G8" s="35"/>
      <c r="H8" s="36">
        <f>'Existing F_V Ratios'!F77</f>
        <v>0.35321110477384154</v>
      </c>
    </row>
    <row r="9" spans="2:9" x14ac:dyDescent="0.2">
      <c r="B9" s="19" t="s">
        <v>14</v>
      </c>
      <c r="C9" s="35"/>
      <c r="D9" s="45">
        <f>'Existing F_V Ratios'!F24</f>
        <v>0.81022381561523071</v>
      </c>
      <c r="E9" s="35"/>
      <c r="F9" s="45">
        <f>'Existing F_V Ratios'!F51</f>
        <v>0.882788871752759</v>
      </c>
      <c r="G9" s="35"/>
      <c r="H9" s="36">
        <f>'Existing F_V Ratios'!F78</f>
        <v>0.81344192480405852</v>
      </c>
    </row>
    <row r="10" spans="2:9" x14ac:dyDescent="0.2">
      <c r="B10" s="19" t="s">
        <v>15</v>
      </c>
      <c r="C10" s="35"/>
      <c r="D10" s="45">
        <f>'Existing F_V Ratios'!F25</f>
        <v>0.7476838248658777</v>
      </c>
      <c r="E10" s="35"/>
      <c r="F10" s="45">
        <f>'Existing F_V Ratios'!F52</f>
        <v>0.67102110182681296</v>
      </c>
      <c r="G10" s="35"/>
      <c r="H10" s="36">
        <f>'Existing F_V Ratios'!F79</f>
        <v>0.72681843654596889</v>
      </c>
    </row>
    <row r="11" spans="2:9" ht="15" thickBot="1" x14ac:dyDescent="0.25">
      <c r="B11" s="20"/>
      <c r="C11" s="21"/>
      <c r="D11" s="21"/>
      <c r="E11" s="21"/>
      <c r="F11" s="21"/>
      <c r="G11" s="21"/>
      <c r="H11" s="11"/>
    </row>
    <row r="12" spans="2:9" ht="15" thickBot="1" x14ac:dyDescent="0.25">
      <c r="B12" s="214" t="s">
        <v>62</v>
      </c>
      <c r="C12" s="215"/>
      <c r="D12" s="215"/>
      <c r="E12" s="215"/>
      <c r="F12" s="215"/>
      <c r="G12" s="215"/>
      <c r="H12" s="216"/>
    </row>
    <row r="13" spans="2:9" ht="57" x14ac:dyDescent="0.2">
      <c r="B13" s="79" t="s">
        <v>21</v>
      </c>
      <c r="C13" s="80"/>
      <c r="D13" s="81" t="s">
        <v>60</v>
      </c>
      <c r="E13" s="80"/>
      <c r="F13" s="81" t="s">
        <v>17</v>
      </c>
      <c r="G13" s="80"/>
      <c r="H13" s="82" t="s">
        <v>61</v>
      </c>
    </row>
    <row r="14" spans="2:9" x14ac:dyDescent="0.2">
      <c r="B14" s="20"/>
      <c r="C14" s="21"/>
      <c r="D14" s="76"/>
      <c r="E14" s="21"/>
      <c r="F14" s="76"/>
      <c r="G14" s="21"/>
      <c r="H14" s="11"/>
    </row>
    <row r="15" spans="2:9" x14ac:dyDescent="0.2">
      <c r="B15" s="19" t="s">
        <v>8</v>
      </c>
      <c r="C15" s="35"/>
      <c r="D15" s="74">
        <f>'Existing F_V Ratios'!C20/'Existing Rates &amp; Forecast Vols'!F7/12</f>
        <v>18.170000000000002</v>
      </c>
      <c r="E15" s="75"/>
      <c r="F15" s="74">
        <f>'Existing F_V Ratios'!C47/'Existing Rates &amp; Forecast Vols'!F21/12</f>
        <v>15.57</v>
      </c>
      <c r="G15" s="75"/>
      <c r="H15" s="176">
        <f>'Target R|C Ratios'!H21*'F_V Analysis'!H5/'Existing Rates &amp; Forecast Vols'!F35/12</f>
        <v>19.405315643733587</v>
      </c>
    </row>
    <row r="16" spans="2:9" x14ac:dyDescent="0.2">
      <c r="B16" s="19" t="s">
        <v>10</v>
      </c>
      <c r="C16" s="35"/>
      <c r="D16" s="74">
        <f>'Existing F_V Ratios'!C21/'Existing Rates &amp; Forecast Vols'!F8/12</f>
        <v>20.980000000000004</v>
      </c>
      <c r="E16" s="75"/>
      <c r="F16" s="74">
        <f>'Existing F_V Ratios'!C48/'Existing Rates &amp; Forecast Vols'!F22/12</f>
        <v>30.889999999999997</v>
      </c>
      <c r="G16" s="75"/>
      <c r="H16" s="176">
        <f>'Target R|C Ratios'!H22*'F_V Analysis'!H6/'Existing Rates &amp; Forecast Vols'!F36/12</f>
        <v>27.378620259728379</v>
      </c>
    </row>
    <row r="17" spans="2:8" x14ac:dyDescent="0.2">
      <c r="B17" s="19" t="s">
        <v>11</v>
      </c>
      <c r="C17" s="35"/>
      <c r="D17" s="74">
        <f>'Existing F_V Ratios'!C22/'Existing Rates &amp; Forecast Vols'!F9/12</f>
        <v>133.68</v>
      </c>
      <c r="E17" s="75"/>
      <c r="F17" s="74">
        <f>'Existing F_V Ratios'!C49/'Existing Rates &amp; Forecast Vols'!F23/12</f>
        <v>557.9</v>
      </c>
      <c r="G17" s="75"/>
      <c r="H17" s="176">
        <f>'Target R|C Ratios'!H23*'F_V Analysis'!H7/'Existing Rates &amp; Forecast Vols'!F37/12</f>
        <v>314.02098349590847</v>
      </c>
    </row>
    <row r="18" spans="2:8" x14ac:dyDescent="0.2">
      <c r="B18" s="19" t="s">
        <v>13</v>
      </c>
      <c r="C18" s="35"/>
      <c r="D18" s="74">
        <f>'Existing F_V Ratios'!C23/'Existing Rates &amp; Forecast Vols'!F10/12</f>
        <v>70.069999999999979</v>
      </c>
      <c r="E18" s="75"/>
      <c r="F18" s="74">
        <f>'Existing F_V Ratios'!C50/'Existing Rates &amp; Forecast Vols'!F24/12</f>
        <v>51.63</v>
      </c>
      <c r="G18" s="75"/>
      <c r="H18" s="176">
        <f>'Target R|C Ratios'!H24*'F_V Analysis'!H8/'Existing Rates &amp; Forecast Vols'!F38/12</f>
        <v>63.992981454163214</v>
      </c>
    </row>
    <row r="19" spans="2:8" x14ac:dyDescent="0.2">
      <c r="B19" s="19" t="s">
        <v>14</v>
      </c>
      <c r="C19" s="35"/>
      <c r="D19" s="74">
        <f>'Existing F_V Ratios'!C24/'Existing Rates &amp; Forecast Vols'!F11/12</f>
        <v>3.7900000000000005</v>
      </c>
      <c r="E19" s="75"/>
      <c r="F19" s="74">
        <f>'Existing F_V Ratios'!C51/'Existing Rates &amp; Forecast Vols'!F25/12</f>
        <v>4.3</v>
      </c>
      <c r="G19" s="75"/>
      <c r="H19" s="176">
        <f>'Target R|C Ratios'!H25*'F_V Analysis'!H9/'Existing Rates &amp; Forecast Vols'!F39/12</f>
        <v>4.9460650328130766</v>
      </c>
    </row>
    <row r="20" spans="2:8" ht="15" thickBot="1" x14ac:dyDescent="0.25">
      <c r="B20" s="22" t="s">
        <v>15</v>
      </c>
      <c r="C20" s="23"/>
      <c r="D20" s="77">
        <f>'Existing F_V Ratios'!C25/'Existing Rates &amp; Forecast Vols'!F12/12</f>
        <v>4.95</v>
      </c>
      <c r="E20" s="78"/>
      <c r="F20" s="77">
        <f>'Existing F_V Ratios'!C52/'Existing Rates &amp; Forecast Vols'!F26/12</f>
        <v>3.0700000000000003</v>
      </c>
      <c r="G20" s="78"/>
      <c r="H20" s="177">
        <f>'Target R|C Ratios'!H26*'F_V Analysis'!H10/'Existing Rates &amp; Forecast Vols'!F40/12</f>
        <v>4.7996685536268169</v>
      </c>
    </row>
  </sheetData>
  <mergeCells count="2">
    <mergeCell ref="B2:H2"/>
    <mergeCell ref="B12:H1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21"/>
  <sheetViews>
    <sheetView workbookViewId="0">
      <selection activeCell="F25" sqref="F25"/>
    </sheetView>
  </sheetViews>
  <sheetFormatPr defaultRowHeight="14.25" x14ac:dyDescent="0.2"/>
  <cols>
    <col min="1" max="1" width="2.7109375" style="3" customWidth="1"/>
    <col min="2" max="2" width="22.140625" style="3" customWidth="1"/>
    <col min="3" max="4" width="14" style="3" customWidth="1"/>
    <col min="5" max="5" width="1.7109375" style="3" customWidth="1"/>
    <col min="6" max="6" width="9.85546875" style="3" bestFit="1" customWidth="1"/>
    <col min="7" max="16384" width="9.140625" style="3"/>
  </cols>
  <sheetData>
    <row r="1" spans="2:7" ht="15" thickBot="1" x14ac:dyDescent="0.25"/>
    <row r="2" spans="2:7" ht="15" x14ac:dyDescent="0.25">
      <c r="B2" s="199" t="s">
        <v>69</v>
      </c>
      <c r="C2" s="200"/>
      <c r="D2" s="200"/>
      <c r="E2" s="200"/>
      <c r="F2" s="200"/>
      <c r="G2" s="201"/>
    </row>
    <row r="3" spans="2:7" x14ac:dyDescent="0.2">
      <c r="B3" s="20"/>
      <c r="C3" s="21"/>
      <c r="D3" s="21"/>
      <c r="E3" s="21"/>
      <c r="F3" s="21"/>
      <c r="G3" s="11"/>
    </row>
    <row r="4" spans="2:7" ht="71.25" x14ac:dyDescent="0.2">
      <c r="B4" s="218" t="s">
        <v>21</v>
      </c>
      <c r="C4" s="13" t="s">
        <v>63</v>
      </c>
      <c r="D4" s="13" t="s">
        <v>64</v>
      </c>
      <c r="E4" s="35"/>
      <c r="F4" s="13" t="s">
        <v>65</v>
      </c>
      <c r="G4" s="15" t="s">
        <v>66</v>
      </c>
    </row>
    <row r="5" spans="2:7" x14ac:dyDescent="0.2">
      <c r="B5" s="218"/>
      <c r="C5" s="43" t="s">
        <v>67</v>
      </c>
      <c r="D5" s="43" t="s">
        <v>68</v>
      </c>
      <c r="E5" s="35"/>
      <c r="F5" s="35"/>
      <c r="G5" s="57"/>
    </row>
    <row r="6" spans="2:7" x14ac:dyDescent="0.2">
      <c r="B6" s="19" t="s">
        <v>8</v>
      </c>
      <c r="C6" s="16">
        <v>5.22</v>
      </c>
      <c r="D6" s="16">
        <v>24.17</v>
      </c>
      <c r="E6" s="35"/>
      <c r="F6" s="16">
        <f>'F_V Analysis'!H15</f>
        <v>19.405315643733587</v>
      </c>
      <c r="G6" s="72" t="b">
        <f t="shared" ref="G6:G11" si="0">AND((C6&lt;F6),(D6&gt;F6))</f>
        <v>1</v>
      </c>
    </row>
    <row r="7" spans="2:7" x14ac:dyDescent="0.2">
      <c r="B7" s="19" t="s">
        <v>10</v>
      </c>
      <c r="C7" s="16">
        <v>11.23</v>
      </c>
      <c r="D7" s="16">
        <v>35.590000000000003</v>
      </c>
      <c r="E7" s="35"/>
      <c r="F7" s="16">
        <f>'F_V Analysis'!H16</f>
        <v>27.378620259728379</v>
      </c>
      <c r="G7" s="72" t="b">
        <f t="shared" si="0"/>
        <v>1</v>
      </c>
    </row>
    <row r="8" spans="2:7" x14ac:dyDescent="0.2">
      <c r="B8" s="19" t="s">
        <v>11</v>
      </c>
      <c r="C8" s="16">
        <v>52.8</v>
      </c>
      <c r="D8" s="16">
        <v>145.84</v>
      </c>
      <c r="E8" s="35"/>
      <c r="F8" s="83">
        <f>'F_V Analysis'!H17</f>
        <v>314.02098349590847</v>
      </c>
      <c r="G8" s="84" t="b">
        <f t="shared" si="0"/>
        <v>0</v>
      </c>
    </row>
    <row r="9" spans="2:7" x14ac:dyDescent="0.2">
      <c r="B9" s="19" t="s">
        <v>13</v>
      </c>
      <c r="C9" s="16">
        <v>0.42</v>
      </c>
      <c r="D9" s="16">
        <v>11.16</v>
      </c>
      <c r="E9" s="35"/>
      <c r="F9" s="83">
        <f>'F_V Analysis'!H18</f>
        <v>63.992981454163214</v>
      </c>
      <c r="G9" s="84" t="b">
        <f t="shared" si="0"/>
        <v>0</v>
      </c>
    </row>
    <row r="10" spans="2:7" x14ac:dyDescent="0.2">
      <c r="B10" s="19" t="s">
        <v>14</v>
      </c>
      <c r="C10" s="16">
        <v>0.28999999999999998</v>
      </c>
      <c r="D10" s="16">
        <v>10.220000000000001</v>
      </c>
      <c r="E10" s="35"/>
      <c r="F10" s="16">
        <f>'F_V Analysis'!H19</f>
        <v>4.9460650328130766</v>
      </c>
      <c r="G10" s="72" t="b">
        <f t="shared" si="0"/>
        <v>1</v>
      </c>
    </row>
    <row r="11" spans="2:7" ht="15" thickBot="1" x14ac:dyDescent="0.25">
      <c r="B11" s="22" t="s">
        <v>15</v>
      </c>
      <c r="C11" s="24">
        <v>0.12</v>
      </c>
      <c r="D11" s="24">
        <v>11.17</v>
      </c>
      <c r="E11" s="23"/>
      <c r="F11" s="24">
        <f>'F_V Analysis'!H20</f>
        <v>4.7996685536268169</v>
      </c>
      <c r="G11" s="73" t="b">
        <f t="shared" si="0"/>
        <v>1</v>
      </c>
    </row>
    <row r="13" spans="2:7" x14ac:dyDescent="0.2">
      <c r="B13" s="3" t="s">
        <v>32</v>
      </c>
    </row>
    <row r="14" spans="2:7" ht="29.25" customHeight="1" x14ac:dyDescent="0.2">
      <c r="B14" s="217" t="s">
        <v>71</v>
      </c>
      <c r="C14" s="217"/>
      <c r="D14" s="217"/>
      <c r="E14" s="217"/>
      <c r="F14" s="217"/>
      <c r="G14" s="217"/>
    </row>
    <row r="15" spans="2:7" ht="8.25" customHeight="1" x14ac:dyDescent="0.2">
      <c r="B15" s="85"/>
      <c r="C15" s="85"/>
      <c r="D15" s="85"/>
      <c r="E15" s="85"/>
      <c r="F15" s="85"/>
      <c r="G15" s="85"/>
    </row>
    <row r="16" spans="2:7" ht="30" customHeight="1" x14ac:dyDescent="0.2">
      <c r="B16" s="217" t="s">
        <v>176</v>
      </c>
      <c r="C16" s="217"/>
      <c r="D16" s="217"/>
      <c r="E16" s="217"/>
      <c r="F16" s="217"/>
      <c r="G16" s="217"/>
    </row>
    <row r="17" spans="2:7" ht="8.25" customHeight="1" x14ac:dyDescent="0.2">
      <c r="B17" s="85"/>
      <c r="C17" s="85"/>
      <c r="D17" s="85"/>
      <c r="E17" s="85"/>
      <c r="F17" s="85"/>
      <c r="G17" s="85"/>
    </row>
    <row r="18" spans="2:7" ht="45" customHeight="1" x14ac:dyDescent="0.2">
      <c r="B18" s="217" t="s">
        <v>179</v>
      </c>
      <c r="C18" s="217"/>
      <c r="D18" s="217"/>
      <c r="E18" s="217"/>
      <c r="F18" s="217"/>
      <c r="G18" s="217"/>
    </row>
    <row r="19" spans="2:7" ht="8.25" customHeight="1" x14ac:dyDescent="0.2">
      <c r="B19" s="85"/>
      <c r="C19" s="85"/>
      <c r="D19" s="85"/>
      <c r="E19" s="85"/>
      <c r="F19" s="85"/>
      <c r="G19" s="85"/>
    </row>
    <row r="20" spans="2:7" ht="30" customHeight="1" x14ac:dyDescent="0.2">
      <c r="B20" s="217" t="s">
        <v>70</v>
      </c>
      <c r="C20" s="217"/>
      <c r="D20" s="217"/>
      <c r="E20" s="217"/>
      <c r="F20" s="217"/>
      <c r="G20" s="217"/>
    </row>
    <row r="21" spans="2:7" ht="8.25" customHeight="1" x14ac:dyDescent="0.2">
      <c r="B21" s="85"/>
      <c r="C21" s="85"/>
      <c r="D21" s="85"/>
      <c r="E21" s="85"/>
      <c r="F21" s="85"/>
      <c r="G21" s="85"/>
    </row>
  </sheetData>
  <mergeCells count="6">
    <mergeCell ref="B20:G20"/>
    <mergeCell ref="B2:G2"/>
    <mergeCell ref="B4:B5"/>
    <mergeCell ref="B14:G14"/>
    <mergeCell ref="B16:G16"/>
    <mergeCell ref="B18:G1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9"/>
  <sheetViews>
    <sheetView workbookViewId="0">
      <selection activeCell="D9" sqref="D9"/>
    </sheetView>
  </sheetViews>
  <sheetFormatPr defaultRowHeight="14.25" x14ac:dyDescent="0.2"/>
  <cols>
    <col min="1" max="1" width="2.7109375" style="3" customWidth="1"/>
    <col min="2" max="2" width="21.42578125" style="3" bestFit="1" customWidth="1"/>
    <col min="3" max="5" width="9.140625" style="3"/>
    <col min="6" max="6" width="3.5703125" style="3" customWidth="1"/>
    <col min="7" max="16384" width="9.140625" style="3"/>
  </cols>
  <sheetData>
    <row r="1" spans="2:11" x14ac:dyDescent="0.2">
      <c r="B1" s="219" t="s">
        <v>177</v>
      </c>
      <c r="C1" s="219"/>
      <c r="D1" s="219"/>
      <c r="E1" s="219"/>
      <c r="F1" s="219"/>
      <c r="G1" s="219"/>
      <c r="H1" s="219"/>
      <c r="I1" s="219"/>
      <c r="J1" s="219"/>
      <c r="K1" s="219"/>
    </row>
    <row r="3" spans="2:11" ht="42.75" x14ac:dyDescent="0.2">
      <c r="B3" s="3" t="s">
        <v>21</v>
      </c>
      <c r="C3" s="1" t="s">
        <v>72</v>
      </c>
      <c r="D3" s="1" t="s">
        <v>73</v>
      </c>
      <c r="E3" s="3" t="s">
        <v>74</v>
      </c>
      <c r="G3" s="1" t="s">
        <v>75</v>
      </c>
      <c r="H3" s="1" t="s">
        <v>76</v>
      </c>
      <c r="I3" s="1" t="s">
        <v>77</v>
      </c>
      <c r="J3" s="1" t="s">
        <v>78</v>
      </c>
      <c r="K3" s="1" t="s">
        <v>79</v>
      </c>
    </row>
    <row r="4" spans="2:11" ht="6" customHeight="1" x14ac:dyDescent="0.2">
      <c r="C4" s="1"/>
      <c r="D4" s="1"/>
    </row>
    <row r="5" spans="2:11" ht="14.25" customHeight="1" x14ac:dyDescent="0.2">
      <c r="B5" s="219" t="s">
        <v>0</v>
      </c>
      <c r="C5" s="219"/>
      <c r="D5" s="219"/>
      <c r="E5" s="219"/>
      <c r="F5" s="219"/>
      <c r="G5" s="219"/>
      <c r="H5" s="219"/>
      <c r="I5" s="219"/>
      <c r="J5" s="219"/>
      <c r="K5" s="219"/>
    </row>
    <row r="6" spans="2:11" x14ac:dyDescent="0.2">
      <c r="B6" s="3" t="s">
        <v>8</v>
      </c>
      <c r="C6" s="87">
        <f>'Existing Rates &amp; Forecast Vols'!C7</f>
        <v>18.170000000000002</v>
      </c>
      <c r="D6" s="87">
        <f>'Floor_Ceiling Review'!F6</f>
        <v>19.405315643733587</v>
      </c>
      <c r="E6" s="87">
        <f>D6-C6</f>
        <v>1.2353156437335855</v>
      </c>
      <c r="F6" s="87"/>
      <c r="G6" s="87">
        <f>E6</f>
        <v>1.2353156437335855</v>
      </c>
      <c r="H6" s="87">
        <f>E6/2</f>
        <v>0.61765782186679274</v>
      </c>
      <c r="I6" s="87">
        <f>E6/3</f>
        <v>0.41177188124452851</v>
      </c>
      <c r="J6" s="87">
        <f>E6/4</f>
        <v>0.30882891093339637</v>
      </c>
      <c r="K6" s="87">
        <f>E6/5</f>
        <v>0.2470631287467171</v>
      </c>
    </row>
    <row r="7" spans="2:11" x14ac:dyDescent="0.2">
      <c r="B7" s="3" t="s">
        <v>10</v>
      </c>
      <c r="C7" s="87">
        <f>'Existing Rates &amp; Forecast Vols'!C8</f>
        <v>20.98</v>
      </c>
      <c r="D7" s="87">
        <f>'Floor_Ceiling Review'!F7</f>
        <v>27.378620259728379</v>
      </c>
      <c r="E7" s="87">
        <f t="shared" ref="E7:E11" si="0">D7-C7</f>
        <v>6.3986202597283786</v>
      </c>
      <c r="F7" s="87"/>
      <c r="G7" s="87">
        <f t="shared" ref="G7:G11" si="1">E7</f>
        <v>6.3986202597283786</v>
      </c>
      <c r="H7" s="87">
        <f t="shared" ref="H7:H11" si="2">E7/2</f>
        <v>3.1993101298641893</v>
      </c>
      <c r="I7" s="87">
        <f t="shared" ref="I7:I11" si="3">E7/3</f>
        <v>2.1328734199094597</v>
      </c>
      <c r="J7" s="87">
        <f t="shared" ref="J7:J11" si="4">E7/4</f>
        <v>1.5996550649320946</v>
      </c>
      <c r="K7" s="87">
        <f t="shared" ref="K7:K11" si="5">E7/5</f>
        <v>1.2797240519456756</v>
      </c>
    </row>
    <row r="8" spans="2:11" x14ac:dyDescent="0.2">
      <c r="B8" s="3" t="s">
        <v>11</v>
      </c>
      <c r="C8" s="87">
        <f>'Existing Rates &amp; Forecast Vols'!C9</f>
        <v>133.68</v>
      </c>
      <c r="D8" s="87">
        <f>'Floor_Ceiling Review'!D8</f>
        <v>145.84</v>
      </c>
      <c r="E8" s="87">
        <f t="shared" si="0"/>
        <v>12.159999999999997</v>
      </c>
      <c r="F8" s="87"/>
      <c r="G8" s="87">
        <f t="shared" si="1"/>
        <v>12.159999999999997</v>
      </c>
      <c r="H8" s="87">
        <f t="shared" si="2"/>
        <v>6.0799999999999983</v>
      </c>
      <c r="I8" s="87">
        <f t="shared" si="3"/>
        <v>4.0533333333333319</v>
      </c>
      <c r="J8" s="87">
        <f t="shared" si="4"/>
        <v>3.0399999999999991</v>
      </c>
      <c r="K8" s="87">
        <f t="shared" si="5"/>
        <v>2.4319999999999995</v>
      </c>
    </row>
    <row r="9" spans="2:11" x14ac:dyDescent="0.2">
      <c r="B9" s="3" t="s">
        <v>13</v>
      </c>
      <c r="C9" s="87">
        <f>'Existing Rates &amp; Forecast Vols'!C10</f>
        <v>70.069999999999993</v>
      </c>
      <c r="D9" s="87">
        <f>'Floor_Ceiling Review'!F9*0.5</f>
        <v>31.996490727081607</v>
      </c>
      <c r="E9" s="87">
        <f t="shared" si="0"/>
        <v>-38.073509272918386</v>
      </c>
      <c r="F9" s="87"/>
      <c r="G9" s="87">
        <f t="shared" si="1"/>
        <v>-38.073509272918386</v>
      </c>
      <c r="H9" s="87">
        <f t="shared" si="2"/>
        <v>-19.036754636459193</v>
      </c>
      <c r="I9" s="87">
        <f t="shared" si="3"/>
        <v>-12.691169757639463</v>
      </c>
      <c r="J9" s="87">
        <f t="shared" si="4"/>
        <v>-9.5183773182295965</v>
      </c>
      <c r="K9" s="87">
        <f t="shared" si="5"/>
        <v>-7.6147018545836769</v>
      </c>
    </row>
    <row r="10" spans="2:11" x14ac:dyDescent="0.2">
      <c r="B10" s="3" t="s">
        <v>14</v>
      </c>
      <c r="C10" s="87">
        <f>'Existing Rates &amp; Forecast Vols'!C11</f>
        <v>3.79</v>
      </c>
      <c r="D10" s="87">
        <f>'Floor_Ceiling Review'!F10</f>
        <v>4.9460650328130766</v>
      </c>
      <c r="E10" s="87">
        <f t="shared" si="0"/>
        <v>1.1560650328130766</v>
      </c>
      <c r="F10" s="87"/>
      <c r="G10" s="87">
        <f t="shared" si="1"/>
        <v>1.1560650328130766</v>
      </c>
      <c r="H10" s="87">
        <f t="shared" si="2"/>
        <v>0.5780325164065383</v>
      </c>
      <c r="I10" s="87">
        <f t="shared" si="3"/>
        <v>0.3853550109376922</v>
      </c>
      <c r="J10" s="87">
        <f t="shared" si="4"/>
        <v>0.28901625820326915</v>
      </c>
      <c r="K10" s="87">
        <f t="shared" si="5"/>
        <v>0.23121300656261531</v>
      </c>
    </row>
    <row r="11" spans="2:11" x14ac:dyDescent="0.2">
      <c r="B11" s="3" t="s">
        <v>15</v>
      </c>
      <c r="C11" s="87">
        <f>'Existing Rates &amp; Forecast Vols'!C12</f>
        <v>4.95</v>
      </c>
      <c r="D11" s="87">
        <f>'Floor_Ceiling Review'!F11</f>
        <v>4.7996685536268169</v>
      </c>
      <c r="E11" s="87">
        <f t="shared" si="0"/>
        <v>-0.1503314463731833</v>
      </c>
      <c r="F11" s="87"/>
      <c r="G11" s="87">
        <f t="shared" si="1"/>
        <v>-0.1503314463731833</v>
      </c>
      <c r="H11" s="87">
        <f t="shared" si="2"/>
        <v>-7.5165723186591649E-2</v>
      </c>
      <c r="I11" s="87">
        <f t="shared" si="3"/>
        <v>-5.011048212439443E-2</v>
      </c>
      <c r="J11" s="87">
        <f t="shared" si="4"/>
        <v>-3.7582861593295824E-2</v>
      </c>
      <c r="K11" s="87">
        <f t="shared" si="5"/>
        <v>-3.006628927463666E-2</v>
      </c>
    </row>
    <row r="13" spans="2:11" x14ac:dyDescent="0.2">
      <c r="B13" s="219" t="s">
        <v>17</v>
      </c>
      <c r="C13" s="219"/>
      <c r="D13" s="219"/>
      <c r="E13" s="219"/>
      <c r="F13" s="219"/>
      <c r="G13" s="219"/>
      <c r="H13" s="219"/>
      <c r="I13" s="219"/>
      <c r="J13" s="219"/>
      <c r="K13" s="219"/>
    </row>
    <row r="14" spans="2:11" x14ac:dyDescent="0.2">
      <c r="B14" s="3" t="s">
        <v>8</v>
      </c>
      <c r="C14" s="87">
        <f>'Existing Rates &amp; Forecast Vols'!C21</f>
        <v>15.57</v>
      </c>
      <c r="D14" s="87">
        <f>D6</f>
        <v>19.405315643733587</v>
      </c>
      <c r="E14" s="87">
        <f>D14-C14</f>
        <v>3.8353156437335869</v>
      </c>
      <c r="F14" s="87"/>
      <c r="G14" s="87">
        <f>E14</f>
        <v>3.8353156437335869</v>
      </c>
      <c r="H14" s="87">
        <f>E14/2</f>
        <v>1.9176578218667935</v>
      </c>
      <c r="I14" s="87">
        <f>E14/3</f>
        <v>1.2784385479111957</v>
      </c>
      <c r="J14" s="87">
        <f>E14/4</f>
        <v>0.95882891093339673</v>
      </c>
      <c r="K14" s="87">
        <f>E14/5</f>
        <v>0.76706312874671734</v>
      </c>
    </row>
    <row r="15" spans="2:11" x14ac:dyDescent="0.2">
      <c r="B15" s="3" t="s">
        <v>10</v>
      </c>
      <c r="C15" s="87">
        <f>'Existing Rates &amp; Forecast Vols'!C22</f>
        <v>30.89</v>
      </c>
      <c r="D15" s="87">
        <f t="shared" ref="D15:D19" si="6">D7</f>
        <v>27.378620259728379</v>
      </c>
      <c r="E15" s="87">
        <f t="shared" ref="E15:E19" si="7">D15-C15</f>
        <v>-3.5113797402716216</v>
      </c>
      <c r="F15" s="87"/>
      <c r="G15" s="87">
        <f t="shared" ref="G15:G19" si="8">E15</f>
        <v>-3.5113797402716216</v>
      </c>
      <c r="H15" s="87">
        <f t="shared" ref="H15:H19" si="9">E15/2</f>
        <v>-1.7556898701358108</v>
      </c>
      <c r="I15" s="87">
        <f t="shared" ref="I15:I19" si="10">E15/3</f>
        <v>-1.1704599134238738</v>
      </c>
      <c r="J15" s="87">
        <f t="shared" ref="J15:J19" si="11">E15/4</f>
        <v>-0.8778449350679054</v>
      </c>
      <c r="K15" s="87">
        <f t="shared" ref="K15:K19" si="12">E15/5</f>
        <v>-0.70227594805432436</v>
      </c>
    </row>
    <row r="16" spans="2:11" x14ac:dyDescent="0.2">
      <c r="B16" s="3" t="s">
        <v>11</v>
      </c>
      <c r="C16" s="87">
        <f>'Existing Rates &amp; Forecast Vols'!C23</f>
        <v>557.9</v>
      </c>
      <c r="D16" s="87">
        <f t="shared" si="6"/>
        <v>145.84</v>
      </c>
      <c r="E16" s="87">
        <f t="shared" si="7"/>
        <v>-412.05999999999995</v>
      </c>
      <c r="F16" s="87"/>
      <c r="G16" s="87">
        <f t="shared" si="8"/>
        <v>-412.05999999999995</v>
      </c>
      <c r="H16" s="87">
        <f t="shared" si="9"/>
        <v>-206.02999999999997</v>
      </c>
      <c r="I16" s="87">
        <f t="shared" si="10"/>
        <v>-137.35333333333332</v>
      </c>
      <c r="J16" s="87">
        <f t="shared" si="11"/>
        <v>-103.01499999999999</v>
      </c>
      <c r="K16" s="87">
        <f t="shared" si="12"/>
        <v>-82.411999999999992</v>
      </c>
    </row>
    <row r="17" spans="2:11" x14ac:dyDescent="0.2">
      <c r="B17" s="3" t="s">
        <v>13</v>
      </c>
      <c r="C17" s="87">
        <f>'Existing Rates &amp; Forecast Vols'!C24</f>
        <v>51.63</v>
      </c>
      <c r="D17" s="87">
        <f t="shared" si="6"/>
        <v>31.996490727081607</v>
      </c>
      <c r="E17" s="87">
        <f t="shared" si="7"/>
        <v>-19.633509272918396</v>
      </c>
      <c r="F17" s="87"/>
      <c r="G17" s="87">
        <f t="shared" si="8"/>
        <v>-19.633509272918396</v>
      </c>
      <c r="H17" s="87">
        <f t="shared" si="9"/>
        <v>-9.8167546364591978</v>
      </c>
      <c r="I17" s="87">
        <f t="shared" si="10"/>
        <v>-6.5445030909727988</v>
      </c>
      <c r="J17" s="87">
        <f t="shared" si="11"/>
        <v>-4.9083773182295989</v>
      </c>
      <c r="K17" s="87">
        <f t="shared" si="12"/>
        <v>-3.9267018545836789</v>
      </c>
    </row>
    <row r="18" spans="2:11" x14ac:dyDescent="0.2">
      <c r="B18" s="3" t="s">
        <v>14</v>
      </c>
      <c r="C18" s="87">
        <f>'Existing Rates &amp; Forecast Vols'!C25</f>
        <v>4.3</v>
      </c>
      <c r="D18" s="87">
        <f t="shared" si="6"/>
        <v>4.9460650328130766</v>
      </c>
      <c r="E18" s="87">
        <f t="shared" si="7"/>
        <v>0.64606503281307681</v>
      </c>
      <c r="F18" s="87"/>
      <c r="G18" s="87">
        <f t="shared" si="8"/>
        <v>0.64606503281307681</v>
      </c>
      <c r="H18" s="87">
        <f t="shared" si="9"/>
        <v>0.32303251640653841</v>
      </c>
      <c r="I18" s="87">
        <f t="shared" si="10"/>
        <v>0.21535501093769227</v>
      </c>
      <c r="J18" s="87">
        <f t="shared" si="11"/>
        <v>0.1615162582032692</v>
      </c>
      <c r="K18" s="87">
        <f t="shared" si="12"/>
        <v>0.12921300656261536</v>
      </c>
    </row>
    <row r="19" spans="2:11" x14ac:dyDescent="0.2">
      <c r="B19" s="3" t="s">
        <v>15</v>
      </c>
      <c r="C19" s="87">
        <f>'Existing Rates &amp; Forecast Vols'!C26</f>
        <v>3.07</v>
      </c>
      <c r="D19" s="87">
        <f t="shared" si="6"/>
        <v>4.7996685536268169</v>
      </c>
      <c r="E19" s="87">
        <f t="shared" si="7"/>
        <v>1.729668553626817</v>
      </c>
      <c r="F19" s="87"/>
      <c r="G19" s="87">
        <f t="shared" si="8"/>
        <v>1.729668553626817</v>
      </c>
      <c r="H19" s="87">
        <f t="shared" si="9"/>
        <v>0.86483427681340852</v>
      </c>
      <c r="I19" s="87">
        <f t="shared" si="10"/>
        <v>0.57655618454227231</v>
      </c>
      <c r="J19" s="87">
        <f t="shared" si="11"/>
        <v>0.43241713840670426</v>
      </c>
      <c r="K19" s="87">
        <f t="shared" si="12"/>
        <v>0.34593371072536339</v>
      </c>
    </row>
  </sheetData>
  <mergeCells count="3">
    <mergeCell ref="B5:K5"/>
    <mergeCell ref="B13:K13"/>
    <mergeCell ref="B1:K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4"/>
  <sheetViews>
    <sheetView workbookViewId="0">
      <selection activeCell="H5" sqref="H5:H10"/>
    </sheetView>
  </sheetViews>
  <sheetFormatPr defaultRowHeight="15" x14ac:dyDescent="0.25"/>
  <cols>
    <col min="1" max="1" width="2.7109375" customWidth="1"/>
    <col min="2" max="2" width="21.85546875" customWidth="1"/>
    <col min="3" max="3" width="14.42578125" customWidth="1"/>
    <col min="4" max="5" width="13.5703125" customWidth="1"/>
    <col min="6" max="6" width="13.85546875" bestFit="1" customWidth="1"/>
    <col min="7" max="7" width="11.140625" customWidth="1"/>
    <col min="8" max="8" width="14" bestFit="1" customWidth="1"/>
  </cols>
  <sheetData>
    <row r="1" spans="2:8" ht="15.75" thickBot="1" x14ac:dyDescent="0.3"/>
    <row r="2" spans="2:8" ht="18" x14ac:dyDescent="0.25">
      <c r="B2" s="220" t="s">
        <v>83</v>
      </c>
      <c r="C2" s="221"/>
      <c r="D2" s="221"/>
      <c r="E2" s="221"/>
      <c r="F2" s="221"/>
      <c r="G2" s="221"/>
      <c r="H2" s="222"/>
    </row>
    <row r="3" spans="2:8" x14ac:dyDescent="0.25">
      <c r="B3" s="20"/>
      <c r="C3" s="21"/>
      <c r="D3" s="21"/>
      <c r="E3" s="21"/>
      <c r="F3" s="21"/>
      <c r="G3" s="21"/>
      <c r="H3" s="11"/>
    </row>
    <row r="4" spans="2:8" ht="85.5" x14ac:dyDescent="0.25">
      <c r="B4" s="71" t="s">
        <v>21</v>
      </c>
      <c r="C4" s="32" t="s">
        <v>36</v>
      </c>
      <c r="D4" s="32" t="s">
        <v>39</v>
      </c>
      <c r="E4" s="32" t="s">
        <v>55</v>
      </c>
      <c r="F4" s="32" t="s">
        <v>38</v>
      </c>
      <c r="G4" s="32" t="s">
        <v>51</v>
      </c>
      <c r="H4" s="33" t="s">
        <v>52</v>
      </c>
    </row>
    <row r="5" spans="2:8" x14ac:dyDescent="0.25">
      <c r="B5" s="19" t="s">
        <v>8</v>
      </c>
      <c r="C5" s="34">
        <f>'R|C Ratio'!C$8</f>
        <v>11959720</v>
      </c>
      <c r="D5" s="34">
        <f>'R|C Ratio'!F$8</f>
        <v>887427</v>
      </c>
      <c r="E5" s="34">
        <f>C5-D5</f>
        <v>11072293</v>
      </c>
      <c r="F5" s="34">
        <f>'R|C Ratio'!E$8</f>
        <v>10012615</v>
      </c>
      <c r="G5" s="67">
        <f t="shared" ref="G5:G10" si="0">(H5+D5)/C5</f>
        <v>0.91168570757509371</v>
      </c>
      <c r="H5" s="63">
        <f>H12-(H6+H7+H8+H9+H10)</f>
        <v>10016078.7906</v>
      </c>
    </row>
    <row r="6" spans="2:8" x14ac:dyDescent="0.25">
      <c r="B6" s="19" t="s">
        <v>10</v>
      </c>
      <c r="C6" s="34">
        <f>'R|C Ratio'!C$9</f>
        <v>2395011</v>
      </c>
      <c r="D6" s="34">
        <f>'R|C Ratio'!F$9</f>
        <v>171803</v>
      </c>
      <c r="E6" s="34">
        <f t="shared" ref="E6:E10" si="1">C6-D6</f>
        <v>2223208</v>
      </c>
      <c r="F6" s="34">
        <f>'R|C Ratio'!E$9</f>
        <v>2446814</v>
      </c>
      <c r="G6" s="62">
        <f t="shared" si="0"/>
        <v>1.0933632455132773</v>
      </c>
      <c r="H6" s="63">
        <v>2446814</v>
      </c>
    </row>
    <row r="7" spans="2:8" x14ac:dyDescent="0.25">
      <c r="B7" s="19" t="s">
        <v>11</v>
      </c>
      <c r="C7" s="34">
        <f>'R|C Ratio'!C$10</f>
        <v>4132293</v>
      </c>
      <c r="D7" s="34">
        <f>'R|C Ratio'!F$10</f>
        <v>297618</v>
      </c>
      <c r="E7" s="34">
        <f t="shared" si="1"/>
        <v>3834675</v>
      </c>
      <c r="F7" s="34">
        <f>'R|C Ratio'!E$10</f>
        <v>4647757</v>
      </c>
      <c r="G7" s="62">
        <f t="shared" si="0"/>
        <v>1.1967629110520479</v>
      </c>
      <c r="H7" s="63">
        <v>4647757</v>
      </c>
    </row>
    <row r="8" spans="2:8" x14ac:dyDescent="0.25">
      <c r="B8" s="19" t="s">
        <v>13</v>
      </c>
      <c r="C8" s="34">
        <f>'R|C Ratio'!C$11</f>
        <v>37273</v>
      </c>
      <c r="D8" s="34">
        <f>'R|C Ratio'!F$11</f>
        <v>3257</v>
      </c>
      <c r="E8" s="34">
        <f t="shared" si="1"/>
        <v>34016</v>
      </c>
      <c r="F8" s="34">
        <f>'R|C Ratio'!E$11</f>
        <v>94061</v>
      </c>
      <c r="G8" s="67">
        <f t="shared" si="0"/>
        <v>2.2582</v>
      </c>
      <c r="H8" s="63">
        <v>80912.888600000006</v>
      </c>
    </row>
    <row r="9" spans="2:8" x14ac:dyDescent="0.25">
      <c r="B9" s="19" t="s">
        <v>14</v>
      </c>
      <c r="C9" s="34">
        <f>'R|C Ratio'!C$12</f>
        <v>83224</v>
      </c>
      <c r="D9" s="34">
        <f>'R|C Ratio'!F$12</f>
        <v>5731</v>
      </c>
      <c r="E9" s="34">
        <f t="shared" si="1"/>
        <v>77493</v>
      </c>
      <c r="F9" s="34">
        <f>'R|C Ratio'!E$12</f>
        <v>60460</v>
      </c>
      <c r="G9" s="67">
        <f t="shared" si="0"/>
        <v>0.91170000000000007</v>
      </c>
      <c r="H9" s="63">
        <v>70144.320800000001</v>
      </c>
    </row>
    <row r="10" spans="2:8" x14ac:dyDescent="0.25">
      <c r="B10" s="19" t="s">
        <v>15</v>
      </c>
      <c r="C10" s="34">
        <f>'R|C Ratio'!C$13</f>
        <v>508745</v>
      </c>
      <c r="D10" s="34">
        <f>'R|C Ratio'!F$13</f>
        <v>37349</v>
      </c>
      <c r="E10" s="34">
        <f t="shared" si="1"/>
        <v>471396</v>
      </c>
      <c r="F10" s="34">
        <f>'R|C Ratio'!E$13</f>
        <v>451374</v>
      </c>
      <c r="G10" s="62">
        <f t="shared" si="0"/>
        <v>0.96064433065681232</v>
      </c>
      <c r="H10" s="63">
        <v>451374</v>
      </c>
    </row>
    <row r="11" spans="2:8" x14ac:dyDescent="0.25">
      <c r="B11" s="19"/>
      <c r="C11" s="35"/>
      <c r="D11" s="35"/>
      <c r="E11" s="35"/>
      <c r="F11" s="35"/>
      <c r="G11" s="35"/>
      <c r="H11" s="57"/>
    </row>
    <row r="12" spans="2:8" ht="15.75" thickBot="1" x14ac:dyDescent="0.3">
      <c r="B12" s="22" t="s">
        <v>27</v>
      </c>
      <c r="C12" s="58">
        <f>SUM(C5:C10)</f>
        <v>19116266</v>
      </c>
      <c r="D12" s="58">
        <f>SUM(D5:D10)</f>
        <v>1403185</v>
      </c>
      <c r="E12" s="58">
        <f>SUM(E5:E10)</f>
        <v>17713081</v>
      </c>
      <c r="F12" s="58">
        <f>SUM(F5:F10)</f>
        <v>17713081</v>
      </c>
      <c r="G12" s="23"/>
      <c r="H12" s="64">
        <f>F12</f>
        <v>17713081</v>
      </c>
    </row>
    <row r="14" spans="2:8" x14ac:dyDescent="0.25">
      <c r="B14" s="65" t="s">
        <v>53</v>
      </c>
      <c r="C14" s="66" t="str">
        <f>IF((H5+H6+H7+H8+H9+H10)-F12&lt;1,"YES","NO")</f>
        <v>YES</v>
      </c>
    </row>
  </sheetData>
  <mergeCells count="1">
    <mergeCell ref="B2:H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25</vt:i4>
      </vt:variant>
    </vt:vector>
  </HeadingPairs>
  <TitlesOfParts>
    <vt:vector size="25" baseType="lpstr">
      <vt:lpstr>Cover Sheet</vt:lpstr>
      <vt:lpstr>Existing Rates &amp; Forecast Vols</vt:lpstr>
      <vt:lpstr>Existing F_V Ratios</vt:lpstr>
      <vt:lpstr>R|C Ratio</vt:lpstr>
      <vt:lpstr>Target R|C Ratios</vt:lpstr>
      <vt:lpstr>F_V Analysis</vt:lpstr>
      <vt:lpstr>Floor_Ceiling Review</vt:lpstr>
      <vt:lpstr>Target MSC Change</vt:lpstr>
      <vt:lpstr>2013 R|C Ratio Adj.</vt:lpstr>
      <vt:lpstr>2013 Rate Design</vt:lpstr>
      <vt:lpstr>2013 Area Rate Design</vt:lpstr>
      <vt:lpstr>2013 Reconciliation</vt:lpstr>
      <vt:lpstr>2014 R|C Ratio Adj.</vt:lpstr>
      <vt:lpstr>2014 Rate Design</vt:lpstr>
      <vt:lpstr>2014 Area Rate Design</vt:lpstr>
      <vt:lpstr>2014 Reconciliation</vt:lpstr>
      <vt:lpstr>2015 R|C Ratio Adj.</vt:lpstr>
      <vt:lpstr>2015 Rate Design</vt:lpstr>
      <vt:lpstr>2015 Area Rate Design</vt:lpstr>
      <vt:lpstr>2015 Reconciliation</vt:lpstr>
      <vt:lpstr>2016 R|C Ratio Adj.</vt:lpstr>
      <vt:lpstr>2016 Rate Design</vt:lpstr>
      <vt:lpstr>2016 Area Rate Design</vt:lpstr>
      <vt:lpstr>2016 Reconciliation</vt:lpstr>
      <vt:lpstr>Rate Design Summary</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Bradbury, Doug</dc:creator>
  <cp:lastModifiedBy>Bradbury, Doug</cp:lastModifiedBy>
  <cp:lastPrinted>2012-09-27T15:26:36Z</cp:lastPrinted>
  <dcterms:created xsi:type="dcterms:W3CDTF">2012-09-07T14:26:15Z</dcterms:created>
  <dcterms:modified xsi:type="dcterms:W3CDTF">2012-09-27T15:26:38Z</dcterms:modified>
</cp:coreProperties>
</file>