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5326" windowWidth="12120" windowHeight="5970" tabRatio="831" activeTab="0"/>
  </bookViews>
  <sheets>
    <sheet name="Summary" sheetId="1" r:id="rId1"/>
    <sheet name="Stats Sum" sheetId="2" r:id="rId2"/>
    <sheet name="Purchased Power Model " sheetId="3" r:id="rId3"/>
    <sheet name="Residential" sheetId="4" r:id="rId4"/>
    <sheet name="GS &lt; 50 kW" sheetId="5" r:id="rId5"/>
    <sheet name="GS &gt; 50 kW" sheetId="6" r:id="rId6"/>
    <sheet name="Rate Class Energy Model" sheetId="7" r:id="rId7"/>
    <sheet name="Rate Class Customer Model" sheetId="8" r:id="rId8"/>
    <sheet name="Rate Class Load Model" sheetId="9" r:id="rId9"/>
    <sheet name="Weather Analysis" sheetId="10" r:id="rId10"/>
    <sheet name="CDM Activity" sheetId="11" r:id="rId11"/>
    <sheet name="Data Input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Order1" hidden="1">255</definedName>
    <definedName name="_Sort" localSheetId="1" hidden="1">'[4]Sheet1'!$G$40:$K$40</definedName>
    <definedName name="_Sort" localSheetId="9" hidden="1">'[2]Sheet1'!$G$40:$K$40</definedName>
    <definedName name="_Sort" hidden="1">'[1]Sheet1'!$G$40:$K$40</definedName>
    <definedName name="_xlfn.BAHTTEXT" hidden="1">#NAME?</definedName>
    <definedName name="CAfile">'[3]Refs'!$B$2</definedName>
    <definedName name="CArevReq">'[3]Refs'!$B$6</definedName>
    <definedName name="ClassRange1">'[3]Refs'!$B$3</definedName>
    <definedName name="ClassRange2">'[3]Refs'!$B$4</definedName>
    <definedName name="FolderPath">'[3]Menu'!$C$8</definedName>
    <definedName name="NewRevReq">'[3]Refs'!$B$8</definedName>
    <definedName name="PAGE11" localSheetId="9">#REF!</definedName>
    <definedName name="PAGE11">#REF!</definedName>
    <definedName name="PAGE2" localSheetId="1">'[4]Sheet1'!$A$1:$I$40</definedName>
    <definedName name="PAGE2" localSheetId="9">'[2]Sheet1'!$A$1:$I$40</definedName>
    <definedName name="PAGE2">'[1]Sheet1'!$A$1:$I$40</definedName>
    <definedName name="PAGE3" localSheetId="9">#REF!</definedName>
    <definedName name="PAGE3">#REF!</definedName>
    <definedName name="PAGE4" localSheetId="9">#REF!</definedName>
    <definedName name="PAGE4">#REF!</definedName>
    <definedName name="PAGE7" localSheetId="9">#REF!</definedName>
    <definedName name="PAGE7">#REF!</definedName>
    <definedName name="PAGE9" localSheetId="9">#REF!</definedName>
    <definedName name="PAGE9">#REF!</definedName>
    <definedName name="_xlnm.Print_Area" localSheetId="10">'CDM Activity'!$A$1:$R$39</definedName>
    <definedName name="_xlnm.Print_Area" localSheetId="11">'Data Input'!$A$1:$AC$135</definedName>
    <definedName name="_xlnm.Print_Area" localSheetId="4">'GS &lt; 50 kW'!$L$75:$P$98</definedName>
    <definedName name="_xlnm.Print_Area" localSheetId="5">'GS &gt; 50 kW'!$L$75:$P$98</definedName>
    <definedName name="_xlnm.Print_Area" localSheetId="2">'Purchased Power Model '!$A$1:$J$166</definedName>
    <definedName name="_xlnm.Print_Area" localSheetId="7">'Rate Class Customer Model'!$A$1:$C$2</definedName>
    <definedName name="_xlnm.Print_Area" localSheetId="6">'Rate Class Energy Model'!$A$1:$I$2</definedName>
    <definedName name="_xlnm.Print_Area" localSheetId="8">'Rate Class Load Model'!$A$1:$A$1</definedName>
    <definedName name="_xlnm.Print_Area" localSheetId="3">'Residential'!$L$75:$P$98</definedName>
    <definedName name="_xlnm.Print_Titles" localSheetId="11">'Data Input'!$1:$4</definedName>
    <definedName name="RevReqLookupKey">'[3]Refs'!$B$5</definedName>
    <definedName name="RevReqRange">'[3]Refs'!$B$7</definedName>
  </definedNames>
  <calcPr fullCalcOnLoad="1" iterate="1" iterateCount="100" iterateDelta="0.001"/>
</workbook>
</file>

<file path=xl/comments12.xml><?xml version="1.0" encoding="utf-8"?>
<comments xmlns="http://schemas.openxmlformats.org/spreadsheetml/2006/main">
  <authors>
    <author>Author</author>
  </authors>
  <commentList>
    <comment ref="F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Use Customer Count month end Stats Report
</t>
        </r>
      </text>
    </comment>
    <comment ref="J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Use Customer Count month end Stats Report</t>
        </r>
      </text>
    </comment>
    <comment ref="O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Use Customer Count month end Stats Report</t>
        </r>
      </text>
    </comment>
    <comment ref="T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Per Customer Count month end Stats Report, always has been 7 a/c's - took # connections from Distribution stats report</t>
        </r>
      </text>
    </comment>
    <comment ref="Y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Use Customer Count month end Stats Report</t>
        </r>
      </text>
    </comment>
    <comment ref="AC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Use Customer Count month end Stats Report</t>
        </r>
      </text>
    </comment>
    <comment ref="E1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Dec02 was partly billed Jan03 so the stats are really skewed - I manually adjusted them here for the 'Commodity Prior Dec02' on Jan03 Commodity to match to purchases better
</t>
        </r>
      </text>
    </comment>
    <comment ref="I1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Dec02 was partly billed Jan03 so the stats are really skewed - I manually adjusted them here for the 'Commodity Prior Dec02' on Jan03 Commodity to match to purchases better
</t>
        </r>
      </text>
    </comment>
    <comment ref="M1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Dec02 was partly billed Jan03 so the stats are really skewed - I manually adjusted them here for the 'Commodity Prior Dec02' on Jan03 Commodity to match to purchases better
</t>
        </r>
      </text>
    </comment>
    <comment ref="N1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Dec02 was partly billed Jan03 so the stats are really skewed - I manually adjusted them here for the 'Commodity Prior Dec02' on Jan03 Commodity to match to purchases better
</t>
        </r>
      </text>
    </comment>
    <comment ref="W1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Dec02 was partly billed Jan03 so the stats are really skewed - I manually adjusted them here for the 'Commodity Prior Dec02' on Jan03 Commodity to match to purchases better
</t>
        </r>
      </text>
    </comment>
    <comment ref="E1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Dec02 was partly billed Jan03 so the stats are really skewed - I manually adjusted them here for the 'Commodity Prior Dec02' on Jan03 Commodity to match to purchases better
</t>
        </r>
      </text>
    </comment>
    <comment ref="I1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Dec02 was partly billed Jan03 so the stats are really skewed - I manually adjusted them here for the 'Commodity Prior Dec02' on Jan03 Commodity to match to purchases better
</t>
        </r>
      </text>
    </comment>
    <comment ref="M1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Dec02 was partly billed Jan03 so the stats are really skewed - I manually adjusted them here for the 'Commodity Prior Dec02' on Jan03 Commodity to match to purchases better
</t>
        </r>
      </text>
    </comment>
    <comment ref="N1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Dec02 was partly billed Jan03 so the stats are really skewed - I manually adjusted them here for the 'Commodity Prior Dec02' on Jan03 Commodity to match to purchases better
</t>
        </r>
      </text>
    </comment>
    <comment ref="W1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Dec02 was partly billed Jan03 so the stats are really skewed - I manually adjusted them here for the 'Commodity Prior Dec02' on Jan03 Commodity to match to purchases better
</t>
        </r>
      </text>
    </comment>
    <comment ref="E124" authorId="0">
      <text>
        <r>
          <rPr>
            <b/>
            <sz val="8"/>
            <rFont val="Tahoma"/>
            <family val="2"/>
          </rPr>
          <t>dpunkari: pulled from Dec11 unbilled (based Jan12 billed data to Jan 25/12)</t>
        </r>
      </text>
    </comment>
    <comment ref="I124" authorId="0">
      <text>
        <r>
          <rPr>
            <b/>
            <sz val="8"/>
            <rFont val="Tahoma"/>
            <family val="2"/>
          </rPr>
          <t>dpunkari: pulled from Dec11 unbilled (based Jan12 billed data to Jan 25/12)</t>
        </r>
      </text>
    </comment>
    <comment ref="M124" authorId="0">
      <text>
        <r>
          <rPr>
            <b/>
            <sz val="8"/>
            <rFont val="Tahoma"/>
            <family val="2"/>
          </rPr>
          <t>dpunkari: pulled from Dec11 unbilled (based Jan12 billed data to Jan 25/12)</t>
        </r>
      </text>
    </comment>
    <comment ref="N124" authorId="0">
      <text>
        <r>
          <rPr>
            <b/>
            <sz val="8"/>
            <rFont val="Tahoma"/>
            <family val="2"/>
          </rPr>
          <t>dpunkari: pulled from Dec11 unbilled (based Jan12 billed data to Jan 25/12)</t>
        </r>
      </text>
    </comment>
    <comment ref="R124" authorId="0">
      <text>
        <r>
          <rPr>
            <b/>
            <sz val="8"/>
            <rFont val="Tahoma"/>
            <family val="2"/>
          </rPr>
          <t>dpunkari: pulled from Dec11 unbilled (based Jan12 billed data to Jan 25/12)</t>
        </r>
      </text>
    </comment>
    <comment ref="S124" authorId="0">
      <text>
        <r>
          <rPr>
            <b/>
            <sz val="8"/>
            <rFont val="Tahoma"/>
            <family val="2"/>
          </rPr>
          <t>dpunkari: pulled from Dec11 unbilled (based Jan12 billed data to Jan 25/12)</t>
        </r>
      </text>
    </comment>
    <comment ref="W124" authorId="0">
      <text>
        <r>
          <rPr>
            <b/>
            <sz val="8"/>
            <rFont val="Tahoma"/>
            <family val="2"/>
          </rPr>
          <t>dpunkari: pulled from Dec11 unbilled (based Jan12 billed data to Jan 25/12)</t>
        </r>
      </text>
    </comment>
    <comment ref="AB124" authorId="0">
      <text>
        <r>
          <rPr>
            <b/>
            <sz val="8"/>
            <rFont val="Tahoma"/>
            <family val="2"/>
          </rPr>
          <t>dpunkari: pulled from Dec11 unbilled (based Jan12 billed data to Jan 25/12)</t>
        </r>
      </text>
    </comment>
  </commentList>
</comments>
</file>

<file path=xl/comments7.xml><?xml version="1.0" encoding="utf-8"?>
<comments xmlns="http://schemas.openxmlformats.org/spreadsheetml/2006/main">
  <authors>
    <author>BBacon</author>
  </authors>
  <commentList>
    <comment ref="I80" authorId="0">
      <text>
        <r>
          <rPr>
            <b/>
            <sz val="8"/>
            <rFont val="Tahoma"/>
            <family val="2"/>
          </rPr>
          <t>BBacon:</t>
        </r>
        <r>
          <rPr>
            <sz val="8"/>
            <rFont val="Tahoma"/>
            <family val="2"/>
          </rPr>
          <t xml:space="preserve">
Class specific with CDM included
</t>
        </r>
      </text>
    </comment>
  </commentList>
</comments>
</file>

<file path=xl/sharedStrings.xml><?xml version="1.0" encoding="utf-8"?>
<sst xmlns="http://schemas.openxmlformats.org/spreadsheetml/2006/main" count="485" uniqueCount="171">
  <si>
    <t>Purchased</t>
  </si>
  <si>
    <t>Loss Factor</t>
  </si>
  <si>
    <t>Total Billed</t>
  </si>
  <si>
    <t>Heating Degree Days</t>
  </si>
  <si>
    <t>Cooling Degree Days</t>
  </si>
  <si>
    <t>Number of Days in Month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</si>
  <si>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</si>
  <si>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</si>
  <si>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</si>
  <si>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</si>
  <si>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</si>
  <si>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</si>
  <si>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</si>
  <si>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</si>
  <si>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Weatther Normal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</si>
  <si>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</si>
  <si>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</si>
  <si>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</si>
  <si>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</si>
  <si>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</si>
  <si>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</si>
  <si>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</si>
  <si>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</si>
  <si>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</si>
  <si>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</si>
  <si>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</si>
  <si>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</si>
  <si>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</si>
  <si>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</si>
  <si>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</si>
  <si>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</si>
  <si>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</si>
  <si>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</si>
  <si>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</si>
  <si>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</si>
  <si>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</si>
  <si>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</si>
  <si>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</si>
  <si>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</si>
  <si>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</si>
  <si>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</si>
  <si>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</si>
  <si>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</si>
  <si>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</si>
  <si>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</si>
  <si>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</si>
  <si>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</si>
  <si>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</si>
  <si>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</si>
  <si>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</si>
  <si>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</si>
  <si>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</si>
  <si>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</si>
  <si>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</si>
  <si>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</si>
  <si>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</si>
  <si>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</si>
  <si>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</si>
  <si>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</si>
  <si>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</si>
  <si>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</si>
  <si>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</si>
  <si>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</si>
  <si>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</si>
  <si>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</si>
  <si>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</si>
  <si>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Check totals above sould be zero</t>
  </si>
  <si>
    <t>2008 Actual</t>
  </si>
  <si>
    <t>Number of Customers</t>
  </si>
  <si>
    <t>Residential</t>
  </si>
  <si>
    <t>GS&lt;50</t>
  </si>
  <si>
    <t>GS&gt;50</t>
  </si>
  <si>
    <t>USL</t>
  </si>
  <si>
    <t>Weather Normal</t>
  </si>
  <si>
    <t>Streetlights</t>
  </si>
  <si>
    <t xml:space="preserve">2009 Actual </t>
  </si>
  <si>
    <t xml:space="preserve">  Connections</t>
  </si>
  <si>
    <t>Total of Above</t>
  </si>
  <si>
    <t>Total from Model</t>
  </si>
  <si>
    <t>Check should all be zero</t>
  </si>
  <si>
    <t>Sentinels</t>
  </si>
  <si>
    <t xml:space="preserve">2010 Actual </t>
  </si>
  <si>
    <t>2012 Weather Normal</t>
  </si>
  <si>
    <t>Consumed</t>
  </si>
  <si>
    <t>CDM Activity</t>
  </si>
  <si>
    <t>Total to 2011</t>
  </si>
  <si>
    <t xml:space="preserve">2011 Actual </t>
  </si>
  <si>
    <t>2013 Weather Normal</t>
  </si>
  <si>
    <t>Number of Customers - 3 Main Classes</t>
  </si>
  <si>
    <t>Summary of Degree Day Information</t>
  </si>
  <si>
    <t>Summary of All Heating Degree Days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</si>
  <si>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</si>
  <si>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</si>
  <si>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</si>
  <si>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</si>
  <si>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</si>
  <si>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</si>
  <si>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</si>
  <si>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</si>
  <si>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</si>
  <si>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</si>
  <si>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</si>
  <si>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</si>
  <si>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</si>
  <si>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</si>
  <si>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10 Year Avg</t>
  </si>
  <si>
    <t>20 Year Trend</t>
  </si>
  <si>
    <t>Not Used</t>
  </si>
  <si>
    <t>Total Annual CDM Results</t>
  </si>
  <si>
    <t>Increase over previous year</t>
  </si>
  <si>
    <t>CDM Activity Variable</t>
  </si>
  <si>
    <t>Check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</si>
  <si>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</si>
  <si>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</si>
  <si>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</si>
  <si>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</si>
  <si>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</si>
  <si>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</si>
  <si>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</si>
  <si>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</si>
  <si>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</si>
  <si>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</si>
  <si>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</si>
  <si>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4 Year 2011 to 2014 target</t>
  </si>
  <si>
    <t>Lakeland Power Load Forecast for 2013 Rate Application</t>
  </si>
  <si>
    <t xml:space="preserve">Not used </t>
  </si>
  <si>
    <t>kW</t>
  </si>
  <si>
    <t>Lower 95.0%</t>
  </si>
  <si>
    <t>Upper 95.0%</t>
  </si>
  <si>
    <t>SUMMARY OUTPUT - No CDM with Number of Customers</t>
  </si>
  <si>
    <t>Class Specific</t>
  </si>
  <si>
    <t>CDM</t>
  </si>
  <si>
    <t>Predicted Consumed</t>
  </si>
  <si>
    <t>2013 Rate Class Specific 
(WN - Res and GS&lt;50kW)</t>
  </si>
  <si>
    <t>Power Purchased</t>
  </si>
  <si>
    <t>GS &lt; 50 kW</t>
  </si>
  <si>
    <t>GS &gt; 50 kW</t>
  </si>
  <si>
    <t>2013 Proposed Cost of Service Method</t>
  </si>
  <si>
    <t>Total OPA Annual CDM Results (Gross)</t>
  </si>
  <si>
    <t>Total OPA Annual CDM Results (Net)</t>
  </si>
  <si>
    <t xml:space="preserve"> # Difference</t>
  </si>
  <si>
    <t xml:space="preserve"> % Difference of Net</t>
  </si>
  <si>
    <t>Net</t>
  </si>
  <si>
    <t xml:space="preserve">times </t>
  </si>
  <si>
    <t>Historical Gross Up Value</t>
  </si>
  <si>
    <t>Gross-up</t>
  </si>
  <si>
    <t>Free ridership amount</t>
  </si>
  <si>
    <t>Actual</t>
  </si>
  <si>
    <t>Predicted</t>
  </si>
  <si>
    <t>Lakeland Power Distribution Ltd</t>
  </si>
  <si>
    <t>UPLIFTED</t>
  </si>
  <si>
    <t>Residential (NOT Uplifted)</t>
  </si>
  <si>
    <t>GS&lt;50 (NOT Uplifted)</t>
  </si>
  <si>
    <t>GS&gt;50 (NOT Uplifted)</t>
  </si>
  <si>
    <t>Streetlights  (NOT Uplifted)</t>
  </si>
  <si>
    <t>Sentinel lights  (NOT Uplifted)</t>
  </si>
  <si>
    <t>USL  (NOT Uplifted)</t>
  </si>
  <si>
    <t>Wholesale</t>
  </si>
  <si>
    <t xml:space="preserve">kWh </t>
  </si>
  <si>
    <t xml:space="preserve">Purchased kWh </t>
  </si>
  <si>
    <t>Billed</t>
  </si>
  <si>
    <t xml:space="preserve">Customers </t>
  </si>
  <si>
    <t xml:space="preserve">Billed </t>
  </si>
  <si>
    <t>Connections</t>
  </si>
  <si>
    <t>loss</t>
  </si>
  <si>
    <t>Check Total</t>
  </si>
  <si>
    <t>Jul/05-Apr/10</t>
  </si>
  <si>
    <t>Diff bw Consume vs Bill</t>
  </si>
  <si>
    <t>Total Purch</t>
  </si>
  <si>
    <t>Total Sold</t>
  </si>
  <si>
    <t>Loss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</si>
</sst>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%"/>
    <numFmt numFmtId="170" formatCode="#,##0;\(#,##0\)"/>
    <numFmt numFmtId="171" formatCode="0.0000"/>
    <numFmt numFmtId="172" formatCode="#,##0.0000"/>
    <numFmt numFmtId="173" formatCode="0.0000%"/>
    <numFmt numFmtId="174" formatCode="_(* #,##0.0_);_(* \(#,##0.0\);_(* &quot;-&quot;??_);_(@_)"/>
    <numFmt numFmtId="175" formatCode="_(* #,##0_);_(* \(#,##0\);_(* &quot;-&quot;??_);_(@_)"/>
    <numFmt numFmtId="176" formatCode="_-* #,##0_-;\-* #,##0_-;_-* &quot;-&quot;??_-;_-@_-"/>
    <numFmt numFmtId="177" formatCode="#,##0.0000_);\(#,##0.0000\)"/>
    <numFmt numFmtId="178" formatCode="#,##0.00000_);\(#,##0.00000\)"/>
    <numFmt numFmtId="179" formatCode="&quot;$&quot;#,##0.00000_);\(&quot;$&quot;#,##0.00000\)"/>
    <numFmt numFmtId="180" formatCode="&quot;$&quot;#,##0.0000_);\(&quot;$&quot;#,##0.0000\)"/>
    <numFmt numFmtId="181" formatCode="#,##0.0"/>
    <numFmt numFmtId="182" formatCode="#,##0.000"/>
    <numFmt numFmtId="183" formatCode="0.000"/>
    <numFmt numFmtId="184" formatCode="0.0"/>
    <numFmt numFmtId="185" formatCode="#,##0;\(#,###\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#,##0.0;\-#,##0.0"/>
    <numFmt numFmtId="192" formatCode="#,##0.0;\(#,##0\)"/>
    <numFmt numFmtId="193" formatCode="#,##0.0;\(#,##0.0\)"/>
    <numFmt numFmtId="194" formatCode="0.000%"/>
    <numFmt numFmtId="195" formatCode="#,##0.00;\(#,##0.00\)"/>
    <numFmt numFmtId="196" formatCode="0.0%;\(0.0%\)"/>
    <numFmt numFmtId="197" formatCode="0.0;\(0.0\)"/>
    <numFmt numFmtId="198" formatCode="0.0000%;\(0.0%\)"/>
    <numFmt numFmtId="199" formatCode="0;\(0,000\)"/>
    <numFmt numFmtId="200" formatCode="#,##0.000;\(#,##0.000\)"/>
    <numFmt numFmtId="201" formatCode="#,##0.0000;\(#,##0.0000\)"/>
    <numFmt numFmtId="202" formatCode="#,##0.00000;\(#,##0.00000\)"/>
    <numFmt numFmtId="203" formatCode="0;\(0\)"/>
    <numFmt numFmtId="204" formatCode="0.0;\(0.00\)"/>
    <numFmt numFmtId="205" formatCode="&quot;$&quot;#,##0.00000"/>
    <numFmt numFmtId="206" formatCode="&quot;$&quot;#,##0.0000"/>
    <numFmt numFmtId="207" formatCode="_-* #,##0.0_-;\-* #,##0.0_-;_-* &quot;-&quot;??_-;_-@_-"/>
    <numFmt numFmtId="208" formatCode="_-&quot;$&quot;* #,##0_-;\-&quot;$&quot;* #,##0_-;_-&quot;$&quot;* &quot;-&quot;??_-;_-@_-"/>
    <numFmt numFmtId="209" formatCode="0.0000000"/>
    <numFmt numFmtId="210" formatCode="0.000000"/>
    <numFmt numFmtId="211" formatCode="0.00000"/>
  </numFmts>
  <fonts count="5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7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42" applyNumberFormat="1" applyAlignment="1">
      <alignment horizontal="center"/>
    </xf>
    <xf numFmtId="17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7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right"/>
    </xf>
    <xf numFmtId="169" fontId="0" fillId="0" borderId="0" xfId="0" applyNumberFormat="1" applyFont="1" applyFill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69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32" borderId="0" xfId="0" applyFill="1" applyAlignment="1">
      <alignment horizontal="center"/>
    </xf>
    <xf numFmtId="37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  <xf numFmtId="168" fontId="0" fillId="0" borderId="0" xfId="42" applyFont="1" applyFill="1" applyBorder="1" applyAlignment="1">
      <alignment/>
    </xf>
    <xf numFmtId="168" fontId="0" fillId="0" borderId="11" xfId="42" applyFont="1" applyFill="1" applyBorder="1" applyAlignment="1">
      <alignment/>
    </xf>
    <xf numFmtId="175" fontId="0" fillId="0" borderId="0" xfId="42" applyNumberFormat="1" applyFont="1" applyFill="1" applyBorder="1" applyAlignment="1">
      <alignment/>
    </xf>
    <xf numFmtId="175" fontId="0" fillId="0" borderId="11" xfId="42" applyNumberFormat="1" applyFont="1" applyFill="1" applyBorder="1" applyAlignment="1">
      <alignment/>
    </xf>
    <xf numFmtId="9" fontId="0" fillId="0" borderId="0" xfId="70" applyFont="1" applyFill="1" applyBorder="1" applyAlignment="1">
      <alignment/>
    </xf>
    <xf numFmtId="168" fontId="0" fillId="0" borderId="0" xfId="48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8" fontId="8" fillId="0" borderId="0" xfId="48" applyFont="1" applyAlignment="1">
      <alignment/>
    </xf>
    <xf numFmtId="0" fontId="8" fillId="0" borderId="0" xfId="0" applyFont="1" applyAlignment="1">
      <alignment/>
    </xf>
    <xf numFmtId="168" fontId="13" fillId="0" borderId="0" xfId="48" applyFont="1" applyAlignment="1">
      <alignment horizontal="right"/>
    </xf>
    <xf numFmtId="0" fontId="13" fillId="0" borderId="13" xfId="0" applyFont="1" applyBorder="1" applyAlignment="1">
      <alignment horizontal="right"/>
    </xf>
    <xf numFmtId="0" fontId="8" fillId="0" borderId="0" xfId="0" applyFont="1" applyAlignment="1">
      <alignment horizontal="right"/>
    </xf>
    <xf numFmtId="168" fontId="8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174" fontId="0" fillId="0" borderId="11" xfId="42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76" fontId="0" fillId="0" borderId="0" xfId="47" applyNumberFormat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9" fontId="0" fillId="0" borderId="11" xfId="70" applyFont="1" applyFill="1" applyBorder="1" applyAlignment="1">
      <alignment/>
    </xf>
    <xf numFmtId="0" fontId="3" fillId="0" borderId="0" xfId="0" applyFont="1" applyAlignment="1">
      <alignment horizontal="center"/>
    </xf>
    <xf numFmtId="174" fontId="0" fillId="0" borderId="0" xfId="42" applyNumberFormat="1" applyFont="1" applyFill="1" applyBorder="1" applyAlignment="1">
      <alignment/>
    </xf>
    <xf numFmtId="169" fontId="0" fillId="0" borderId="0" xfId="70" applyNumberFormat="1" applyFont="1" applyFill="1" applyBorder="1" applyAlignment="1">
      <alignment/>
    </xf>
    <xf numFmtId="172" fontId="6" fillId="0" borderId="0" xfId="0" applyNumberFormat="1" applyFont="1" applyAlignment="1">
      <alignment horizontal="center"/>
    </xf>
    <xf numFmtId="9" fontId="0" fillId="0" borderId="0" xfId="70" applyFill="1" applyBorder="1" applyAlignment="1">
      <alignment horizontal="center"/>
    </xf>
    <xf numFmtId="9" fontId="0" fillId="0" borderId="0" xfId="7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0" fillId="0" borderId="14" xfId="0" applyNumberFormat="1" applyBorder="1" applyAlignment="1">
      <alignment/>
    </xf>
    <xf numFmtId="169" fontId="0" fillId="0" borderId="10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5" fontId="0" fillId="0" borderId="0" xfId="0" applyNumberFormat="1" applyAlignment="1">
      <alignment/>
    </xf>
    <xf numFmtId="169" fontId="0" fillId="0" borderId="0" xfId="70" applyNumberFormat="1" applyFont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194" fontId="0" fillId="0" borderId="0" xfId="70" applyNumberFormat="1" applyFont="1" applyAlignment="1">
      <alignment/>
    </xf>
    <xf numFmtId="0" fontId="0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0" fontId="0" fillId="0" borderId="0" xfId="70" applyNumberFormat="1" applyFont="1" applyFill="1" applyAlignment="1">
      <alignment horizontal="center" wrapText="1"/>
    </xf>
    <xf numFmtId="3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3" fontId="0" fillId="0" borderId="0" xfId="42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168" fontId="0" fillId="0" borderId="0" xfId="42" applyFont="1" applyFill="1" applyAlignment="1">
      <alignment/>
    </xf>
    <xf numFmtId="0" fontId="0" fillId="0" borderId="0" xfId="0" applyFill="1" applyAlignment="1" quotePrefix="1">
      <alignment/>
    </xf>
    <xf numFmtId="3" fontId="0" fillId="0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10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3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9" fontId="0" fillId="0" borderId="14" xfId="0" applyNumberFormat="1" applyFill="1" applyBorder="1" applyAlignment="1">
      <alignment horizontal="center"/>
    </xf>
    <xf numFmtId="0" fontId="3" fillId="32" borderId="19" xfId="67" applyFont="1" applyFill="1" applyBorder="1">
      <alignment/>
      <protection/>
    </xf>
    <xf numFmtId="175" fontId="0" fillId="32" borderId="20" xfId="46" applyNumberFormat="1" applyFont="1" applyFill="1" applyBorder="1" applyAlignment="1">
      <alignment/>
    </xf>
    <xf numFmtId="0" fontId="0" fillId="0" borderId="0" xfId="67" applyFont="1">
      <alignment/>
      <protection/>
    </xf>
    <xf numFmtId="175" fontId="0" fillId="0" borderId="0" xfId="46" applyNumberFormat="1" applyFont="1" applyFill="1" applyAlignment="1">
      <alignment/>
    </xf>
    <xf numFmtId="175" fontId="8" fillId="33" borderId="0" xfId="46" applyNumberFormat="1" applyFont="1" applyFill="1" applyAlignment="1">
      <alignment/>
    </xf>
    <xf numFmtId="0" fontId="0" fillId="0" borderId="0" xfId="67" applyFont="1" applyFill="1">
      <alignment/>
      <protection/>
    </xf>
    <xf numFmtId="175" fontId="8" fillId="0" borderId="0" xfId="46" applyNumberFormat="1" applyFont="1" applyAlignment="1">
      <alignment/>
    </xf>
    <xf numFmtId="0" fontId="3" fillId="0" borderId="0" xfId="67" applyFont="1" applyAlignment="1">
      <alignment horizontal="center"/>
      <protection/>
    </xf>
    <xf numFmtId="175" fontId="3" fillId="0" borderId="0" xfId="46" applyNumberFormat="1" applyFont="1" applyAlignment="1">
      <alignment horizontal="center"/>
    </xf>
    <xf numFmtId="175" fontId="13" fillId="0" borderId="0" xfId="46" applyNumberFormat="1" applyFont="1" applyAlignment="1">
      <alignment horizontal="center"/>
    </xf>
    <xf numFmtId="175" fontId="3" fillId="0" borderId="0" xfId="46" applyNumberFormat="1" applyFont="1" applyFill="1" applyAlignment="1">
      <alignment horizontal="center"/>
    </xf>
    <xf numFmtId="175" fontId="3" fillId="0" borderId="0" xfId="46" applyNumberFormat="1" applyFont="1" applyAlignment="1">
      <alignment horizontal="center" wrapText="1"/>
    </xf>
    <xf numFmtId="17" fontId="0" fillId="0" borderId="0" xfId="67" applyNumberFormat="1" applyFont="1">
      <alignment/>
      <protection/>
    </xf>
    <xf numFmtId="3" fontId="0" fillId="0" borderId="0" xfId="67" applyNumberFormat="1" applyFont="1" applyFill="1">
      <alignment/>
      <protection/>
    </xf>
    <xf numFmtId="175" fontId="0" fillId="0" borderId="0" xfId="46" applyNumberFormat="1" applyFont="1" applyAlignment="1">
      <alignment/>
    </xf>
    <xf numFmtId="3" fontId="0" fillId="0" borderId="0" xfId="67" applyNumberFormat="1" applyFont="1">
      <alignment/>
      <protection/>
    </xf>
    <xf numFmtId="175" fontId="0" fillId="0" borderId="0" xfId="46" applyNumberFormat="1" applyFont="1" applyBorder="1" applyAlignment="1">
      <alignment/>
    </xf>
    <xf numFmtId="3" fontId="0" fillId="0" borderId="0" xfId="67" applyNumberFormat="1" applyFont="1" applyBorder="1">
      <alignment/>
      <protection/>
    </xf>
    <xf numFmtId="0" fontId="0" fillId="0" borderId="0" xfId="67" applyFont="1" applyBorder="1">
      <alignment/>
      <protection/>
    </xf>
    <xf numFmtId="17" fontId="0" fillId="0" borderId="0" xfId="67" applyNumberFormat="1" applyFont="1" applyBorder="1">
      <alignment/>
      <protection/>
    </xf>
    <xf numFmtId="0" fontId="8" fillId="0" borderId="0" xfId="67" applyFont="1">
      <alignment/>
      <protection/>
    </xf>
    <xf numFmtId="175" fontId="8" fillId="0" borderId="0" xfId="46" applyNumberFormat="1" applyFont="1" applyFill="1" applyAlignment="1">
      <alignment/>
    </xf>
    <xf numFmtId="175" fontId="16" fillId="0" borderId="0" xfId="46" applyNumberFormat="1" applyFont="1" applyAlignment="1">
      <alignment/>
    </xf>
    <xf numFmtId="175" fontId="16" fillId="0" borderId="0" xfId="46" applyNumberFormat="1" applyFont="1" applyFill="1" applyAlignment="1">
      <alignment/>
    </xf>
    <xf numFmtId="175" fontId="16" fillId="0" borderId="0" xfId="46" applyNumberFormat="1" applyFont="1" applyAlignment="1">
      <alignment horizontal="right"/>
    </xf>
    <xf numFmtId="175" fontId="17" fillId="0" borderId="0" xfId="46" applyNumberFormat="1" applyFont="1" applyAlignment="1">
      <alignment/>
    </xf>
    <xf numFmtId="175" fontId="17" fillId="0" borderId="0" xfId="46" applyNumberFormat="1" applyFont="1" applyAlignment="1">
      <alignment horizontal="right"/>
    </xf>
    <xf numFmtId="10" fontId="17" fillId="0" borderId="0" xfId="71" applyNumberFormat="1" applyFont="1" applyAlignment="1">
      <alignment/>
    </xf>
    <xf numFmtId="175" fontId="0" fillId="0" borderId="0" xfId="67" applyNumberFormat="1" applyFont="1">
      <alignment/>
      <protection/>
    </xf>
    <xf numFmtId="10" fontId="0" fillId="0" borderId="0" xfId="71" applyNumberFormat="1" applyFont="1" applyAlignment="1">
      <alignment/>
    </xf>
    <xf numFmtId="0" fontId="0" fillId="10" borderId="0" xfId="0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67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_CDM monthly amounts" xfId="47"/>
    <cellStyle name="Comma_Horizon 2011 Load Forecast Model  June 25, 2010" xfId="48"/>
    <cellStyle name="Comma0" xfId="49"/>
    <cellStyle name="Currency" xfId="50"/>
    <cellStyle name="Currency [0]" xfId="51"/>
    <cellStyle name="Currency0" xfId="52"/>
    <cellStyle name="Date" xfId="53"/>
    <cellStyle name="Explanatory Text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punkari\Local%20Settings\Temporary%20Internet%20Files\Content.Outlook\2ASGRLW8\Dummy%20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g\Desktop\Dummy%20Fi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DC%20FTY%20-%20LF\CostAlloc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bacon\My%20Documents\Midland\2013%20Rate%20Application\2013%20Load%20Forecast\Dummy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>
        <row r="8">
          <cell r="C8" t="str">
            <v>C:\Documents and Settings\jcochrane.ERA-INC\My Documents\2008EDR\FTYv1.3</v>
          </cell>
        </row>
      </sheetData>
      <sheetData sheetId="6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92033309.2224772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" sqref="C3"/>
    </sheetView>
  </sheetViews>
  <sheetFormatPr defaultColWidth="9.140625" defaultRowHeight="12.75"/>
  <cols>
    <col min="1" max="1" width="32.7109375" style="0" customWidth="1"/>
    <col min="2" max="2" width="13.00390625" style="1" customWidth="1"/>
    <col min="3" max="3" width="12.57421875" style="1" customWidth="1"/>
    <col min="4" max="4" width="12.7109375" style="1" bestFit="1" customWidth="1"/>
    <col min="5" max="5" width="13.57421875" style="1" customWidth="1"/>
    <col min="6" max="6" width="12.7109375" style="1" customWidth="1"/>
    <col min="7" max="7" width="13.00390625" style="1" customWidth="1"/>
    <col min="8" max="8" width="12.7109375" style="1" bestFit="1" customWidth="1"/>
    <col min="9" max="11" width="12.8515625" style="1" customWidth="1"/>
    <col min="12" max="12" width="12.7109375" style="23" bestFit="1" customWidth="1"/>
    <col min="13" max="13" width="13.140625" style="23" customWidth="1"/>
    <col min="14" max="14" width="13.140625" style="1" customWidth="1"/>
    <col min="16" max="16" width="10.140625" style="0" bestFit="1" customWidth="1"/>
    <col min="17" max="17" width="12.8515625" style="0" bestFit="1" customWidth="1"/>
  </cols>
  <sheetData>
    <row r="1" spans="1:12" ht="15.75">
      <c r="A1" s="43" t="s">
        <v>124</v>
      </c>
      <c r="L1" s="33"/>
    </row>
    <row r="3" spans="2:14" ht="83.25" customHeight="1">
      <c r="B3" s="45" t="s">
        <v>52</v>
      </c>
      <c r="C3" s="45" t="s">
        <v>53</v>
      </c>
      <c r="D3" s="45" t="s">
        <v>54</v>
      </c>
      <c r="E3" s="45" t="s">
        <v>55</v>
      </c>
      <c r="F3" s="45" t="s">
        <v>56</v>
      </c>
      <c r="G3" s="45" t="s">
        <v>57</v>
      </c>
      <c r="H3" s="45" t="s">
        <v>67</v>
      </c>
      <c r="I3" s="45" t="s">
        <v>75</v>
      </c>
      <c r="J3" s="45" t="s">
        <v>81</v>
      </c>
      <c r="K3" s="45" t="s">
        <v>86</v>
      </c>
      <c r="L3" s="108" t="s">
        <v>82</v>
      </c>
      <c r="M3" s="108" t="s">
        <v>87</v>
      </c>
      <c r="N3" s="45" t="s">
        <v>133</v>
      </c>
    </row>
    <row r="4" spans="1:30" ht="12.75">
      <c r="A4" s="20" t="s">
        <v>60</v>
      </c>
      <c r="B4" s="6">
        <f>'Purchased Power Model '!B150</f>
        <v>238718386</v>
      </c>
      <c r="C4" s="29">
        <f>'Purchased Power Model '!B151</f>
        <v>246525602</v>
      </c>
      <c r="D4" s="29">
        <f>'Purchased Power Model '!B152</f>
        <v>242100886</v>
      </c>
      <c r="E4" s="29">
        <f>'Purchased Power Model '!B153</f>
        <v>236047562</v>
      </c>
      <c r="F4" s="29">
        <f>'Purchased Power Model '!B154</f>
        <v>229437606</v>
      </c>
      <c r="G4" s="29">
        <f>'Purchased Power Model '!B155</f>
        <v>230101605</v>
      </c>
      <c r="H4" s="29">
        <f>'Purchased Power Model '!B156</f>
        <v>233194447</v>
      </c>
      <c r="I4" s="29">
        <f>'Purchased Power Model '!B157</f>
        <v>225969773</v>
      </c>
      <c r="J4" s="29">
        <f>'Purchased Power Model '!B158</f>
        <v>221209083</v>
      </c>
      <c r="K4" s="29">
        <f>'Purchased Power Model '!B159</f>
        <v>221759892</v>
      </c>
      <c r="L4" s="109"/>
      <c r="P4" s="105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2.75">
      <c r="A5" s="20" t="s">
        <v>61</v>
      </c>
      <c r="B5" s="29">
        <f>'Purchased Power Model '!J150</f>
        <v>239720463.57141733</v>
      </c>
      <c r="C5" s="29">
        <f>'Purchased Power Model '!J151</f>
        <v>241645373.4028023</v>
      </c>
      <c r="D5" s="29">
        <f>'Purchased Power Model '!J152</f>
        <v>241409229.2852041</v>
      </c>
      <c r="E5" s="29">
        <f>'Purchased Power Model '!J153</f>
        <v>237579760.49331993</v>
      </c>
      <c r="F5" s="29">
        <f>'Purchased Power Model '!J154</f>
        <v>232376202.03049868</v>
      </c>
      <c r="G5" s="29">
        <f>'Purchased Power Model '!J155</f>
        <v>231565219.07945916</v>
      </c>
      <c r="H5" s="29">
        <f>'Purchased Power Model '!J156</f>
        <v>232110016.25180793</v>
      </c>
      <c r="I5" s="29">
        <f>'Purchased Power Model '!J157</f>
        <v>225718106.88929662</v>
      </c>
      <c r="J5" s="29">
        <f>'Purchased Power Model '!J158</f>
        <v>222087698.48747095</v>
      </c>
      <c r="K5" s="29">
        <f>'Purchased Power Model '!J159</f>
        <v>220852772.50872317</v>
      </c>
      <c r="L5" s="110">
        <f>'Purchased Power Model '!J160</f>
        <v>224791599.07541212</v>
      </c>
      <c r="M5" s="110">
        <f>'Purchased Power Model '!J161</f>
        <v>224468612.8212297</v>
      </c>
      <c r="N5" s="29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ht="12.75">
      <c r="A6" s="20" t="s">
        <v>9</v>
      </c>
      <c r="B6" s="44">
        <f aca="true" t="shared" si="0" ref="B6:K6">(B5-B4)/B4</f>
        <v>0.004197739387435921</v>
      </c>
      <c r="C6" s="44">
        <f t="shared" si="0"/>
        <v>-0.019796031558611555</v>
      </c>
      <c r="D6" s="44">
        <f t="shared" si="0"/>
        <v>-0.0028568946038301053</v>
      </c>
      <c r="E6" s="44">
        <f t="shared" si="0"/>
        <v>0.006491058328829207</v>
      </c>
      <c r="F6" s="44">
        <f t="shared" si="0"/>
        <v>0.012807822055546916</v>
      </c>
      <c r="G6" s="44">
        <f t="shared" si="0"/>
        <v>0.006360729554490333</v>
      </c>
      <c r="H6" s="44">
        <f t="shared" si="0"/>
        <v>-0.004650328351052339</v>
      </c>
      <c r="I6" s="44">
        <f t="shared" si="0"/>
        <v>-0.0011137158185461331</v>
      </c>
      <c r="J6" s="44">
        <f t="shared" si="0"/>
        <v>0.003971877987808279</v>
      </c>
      <c r="K6" s="44">
        <f t="shared" si="0"/>
        <v>-0.004090548038672523</v>
      </c>
      <c r="L6" s="111"/>
      <c r="M6" s="112"/>
      <c r="N6" s="48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2.75">
      <c r="A7" s="20"/>
      <c r="B7" s="41"/>
      <c r="C7" s="41"/>
      <c r="D7" s="41"/>
      <c r="E7" s="41"/>
      <c r="F7" s="41"/>
      <c r="G7" s="41"/>
      <c r="H7" s="41"/>
      <c r="I7" s="41"/>
      <c r="J7" s="41"/>
      <c r="K7" s="41"/>
      <c r="L7" s="109"/>
      <c r="Q7" s="115"/>
      <c r="R7" s="116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ht="12.75">
      <c r="A8" s="20" t="s">
        <v>63</v>
      </c>
      <c r="B8" s="29">
        <f>'Rate Class Energy Model'!G7</f>
        <v>215965040.79999998</v>
      </c>
      <c r="C8" s="29">
        <f>'Rate Class Energy Model'!G8</f>
        <v>217934352.70000002</v>
      </c>
      <c r="D8" s="29">
        <f>'Rate Class Energy Model'!G9</f>
        <v>220249772.73000002</v>
      </c>
      <c r="E8" s="29">
        <f>'Rate Class Energy Model'!G10</f>
        <v>222682516.43</v>
      </c>
      <c r="F8" s="29">
        <f>'Rate Class Energy Model'!G11</f>
        <v>215882598</v>
      </c>
      <c r="G8" s="29">
        <f>'Rate Class Energy Model'!G12</f>
        <v>218579500</v>
      </c>
      <c r="H8" s="29">
        <f>'Rate Class Energy Model'!G13</f>
        <v>219166243</v>
      </c>
      <c r="I8" s="29">
        <f>'Rate Class Energy Model'!G14</f>
        <v>210190317</v>
      </c>
      <c r="J8" s="29">
        <f>'Rate Class Energy Model'!G15</f>
        <v>206701675.99</v>
      </c>
      <c r="K8" s="29">
        <f>'Rate Class Energy Model'!G16</f>
        <v>205943132.53</v>
      </c>
      <c r="L8" s="110">
        <f>'Rate Class Energy Model'!N62</f>
        <v>205816874.50191525</v>
      </c>
      <c r="M8" s="110">
        <f>'Rate Class Energy Model'!N63</f>
        <v>203143087.16326517</v>
      </c>
      <c r="N8" s="29">
        <f>N45</f>
        <v>203770427.98181844</v>
      </c>
      <c r="P8" s="106">
        <f>N8/M8-1</f>
        <v>0.0030881721219933045</v>
      </c>
      <c r="Q8" s="11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ht="12.75">
      <c r="A9" s="20"/>
      <c r="B9" s="41"/>
      <c r="C9" s="41"/>
      <c r="D9" s="41"/>
      <c r="E9" s="41"/>
      <c r="F9" s="41"/>
      <c r="G9" s="41"/>
      <c r="I9" s="23"/>
      <c r="J9" s="23"/>
      <c r="K9" s="2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15.75">
      <c r="A10" s="43" t="s">
        <v>62</v>
      </c>
      <c r="Q10" s="11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12.75">
      <c r="A11" s="42" t="str">
        <f>'Rate Class Energy Model'!H2</f>
        <v>Residential</v>
      </c>
      <c r="N11" s="6"/>
      <c r="O11" s="105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12.75">
      <c r="A12" t="s">
        <v>49</v>
      </c>
      <c r="B12" s="6">
        <f>'Rate Class Customer Model'!B3</f>
        <v>7105</v>
      </c>
      <c r="C12" s="6">
        <f>'Rate Class Customer Model'!B4</f>
        <v>7212</v>
      </c>
      <c r="D12" s="6">
        <f>'Rate Class Customer Model'!B5</f>
        <v>7274</v>
      </c>
      <c r="E12" s="6">
        <f>'Rate Class Customer Model'!B6</f>
        <v>7326</v>
      </c>
      <c r="F12" s="6">
        <f>'Rate Class Customer Model'!B7</f>
        <v>7374</v>
      </c>
      <c r="G12" s="6">
        <f>'Rate Class Customer Model'!B8</f>
        <v>7393</v>
      </c>
      <c r="H12" s="6">
        <f>'Rate Class Customer Model'!B9</f>
        <v>7519</v>
      </c>
      <c r="I12" s="6">
        <f>'Rate Class Customer Model'!B10</f>
        <v>7637</v>
      </c>
      <c r="J12" s="6">
        <f>'Rate Class Customer Model'!B11</f>
        <v>7728</v>
      </c>
      <c r="K12" s="6">
        <f>'Rate Class Customer Model'!B12</f>
        <v>7880</v>
      </c>
      <c r="L12" s="27">
        <f>'Rate Class Customer Model'!B13</f>
        <v>7971.168879058739</v>
      </c>
      <c r="M12" s="27">
        <f>'Rate Class Customer Model'!B14</f>
        <v>8063.392550567836</v>
      </c>
      <c r="N12" s="6">
        <f>M12</f>
        <v>8063.392550567836</v>
      </c>
      <c r="Q12" s="115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12.75">
      <c r="A13" t="s">
        <v>50</v>
      </c>
      <c r="B13" s="6">
        <f>'Rate Class Energy Model'!H7</f>
        <v>79135152</v>
      </c>
      <c r="C13" s="6">
        <f>'Rate Class Energy Model'!H8</f>
        <v>81325470</v>
      </c>
      <c r="D13" s="6">
        <f>'Rate Class Energy Model'!H9</f>
        <v>81449395</v>
      </c>
      <c r="E13" s="6">
        <f>'Rate Class Energy Model'!H10</f>
        <v>82557208</v>
      </c>
      <c r="F13" s="6">
        <f>'Rate Class Energy Model'!H11</f>
        <v>78169630</v>
      </c>
      <c r="G13" s="6">
        <f>'Rate Class Energy Model'!H12</f>
        <v>79398441</v>
      </c>
      <c r="H13" s="6">
        <f>'Rate Class Energy Model'!H13</f>
        <v>80889261</v>
      </c>
      <c r="I13" s="6">
        <f>'Rate Class Energy Model'!H14</f>
        <v>80642283</v>
      </c>
      <c r="J13" s="6">
        <f>'Rate Class Energy Model'!H15</f>
        <v>79053121.92</v>
      </c>
      <c r="K13" s="6">
        <f>'Rate Class Energy Model'!H16</f>
        <v>77622640.94</v>
      </c>
      <c r="L13" s="27">
        <f>'Rate Class Energy Model'!H62</f>
        <v>77994770.68166046</v>
      </c>
      <c r="M13" s="27">
        <f>'Rate Class Energy Model'!H63</f>
        <v>77259128.06290062</v>
      </c>
      <c r="N13" s="6">
        <f>'Rate Class Energy Model'!H80</f>
        <v>78178087.80018549</v>
      </c>
      <c r="P13" s="105"/>
      <c r="Q13" s="117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8:30" ht="12.75">
      <c r="H14" s="49"/>
      <c r="I14" s="23"/>
      <c r="J14" s="23"/>
      <c r="K14" s="23"/>
      <c r="M14" s="112"/>
      <c r="N14" s="48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15" ht="12.75">
      <c r="A15" s="42" t="str">
        <f>'Rate Class Energy Model'!I2</f>
        <v>GS&lt;50</v>
      </c>
      <c r="N15" s="6"/>
      <c r="O15" s="105"/>
    </row>
    <row r="16" spans="1:14" ht="12.75">
      <c r="A16" t="s">
        <v>49</v>
      </c>
      <c r="B16" s="6">
        <f>'Rate Class Customer Model'!C3</f>
        <v>1469</v>
      </c>
      <c r="C16" s="6">
        <f>'Rate Class Customer Model'!C4</f>
        <v>1461</v>
      </c>
      <c r="D16" s="6">
        <f>'Rate Class Customer Model'!C5</f>
        <v>1465</v>
      </c>
      <c r="E16" s="6">
        <f>'Rate Class Customer Model'!C6</f>
        <v>1474</v>
      </c>
      <c r="F16" s="6">
        <f>'Rate Class Customer Model'!C7</f>
        <v>1478</v>
      </c>
      <c r="G16" s="6">
        <f>'Rate Class Customer Model'!C8</f>
        <v>1509</v>
      </c>
      <c r="H16" s="6">
        <f>'Rate Class Customer Model'!C9</f>
        <v>1535</v>
      </c>
      <c r="I16" s="6">
        <f>'Rate Class Customer Model'!C10</f>
        <v>1549</v>
      </c>
      <c r="J16" s="6">
        <f>'Rate Class Customer Model'!C11</f>
        <v>1553</v>
      </c>
      <c r="K16" s="6">
        <f>'Rate Class Customer Model'!C12</f>
        <v>1568</v>
      </c>
      <c r="L16" s="27">
        <f>'Rate Class Customer Model'!C13</f>
        <v>1579.4038729319202</v>
      </c>
      <c r="M16" s="27">
        <f>'Rate Class Customer Model'!C14</f>
        <v>1590.8906848420595</v>
      </c>
      <c r="N16" s="6">
        <f>M16</f>
        <v>1590.8906848420595</v>
      </c>
    </row>
    <row r="17" spans="1:16" ht="12.75">
      <c r="A17" t="s">
        <v>50</v>
      </c>
      <c r="B17" s="6">
        <f>'Rate Class Energy Model'!I7</f>
        <v>47266055.88684311</v>
      </c>
      <c r="C17" s="6">
        <f>'Rate Class Energy Model'!I8</f>
        <v>46156409.663598016</v>
      </c>
      <c r="D17" s="6">
        <f>'Rate Class Energy Model'!I9</f>
        <v>46865416.286536254</v>
      </c>
      <c r="E17" s="6">
        <f>'Rate Class Energy Model'!I10</f>
        <v>47637154.86152666</v>
      </c>
      <c r="F17" s="6">
        <f>'Rate Class Energy Model'!I11</f>
        <v>45481306</v>
      </c>
      <c r="G17" s="6">
        <f>'Rate Class Energy Model'!I12</f>
        <v>46091929</v>
      </c>
      <c r="H17" s="6">
        <f>'Rate Class Energy Model'!I13</f>
        <v>45412234</v>
      </c>
      <c r="I17" s="6">
        <f>'Rate Class Energy Model'!I14</f>
        <v>43415770</v>
      </c>
      <c r="J17" s="6">
        <f>'Rate Class Energy Model'!I15</f>
        <v>42988016</v>
      </c>
      <c r="K17" s="6">
        <f>'Rate Class Energy Model'!I16</f>
        <v>42681472.949999996</v>
      </c>
      <c r="L17" s="27">
        <f>'Rate Class Energy Model'!I62</f>
        <v>42493682.163996644</v>
      </c>
      <c r="M17" s="27">
        <f>'Rate Class Energy Model'!I63</f>
        <v>41707732.34120591</v>
      </c>
      <c r="N17" s="6">
        <f>'Rate Class Energy Model'!I80</f>
        <v>42716577.747596905</v>
      </c>
      <c r="P17" s="105"/>
    </row>
    <row r="18" spans="8:14" ht="12.75">
      <c r="H18" s="49"/>
      <c r="I18" s="23"/>
      <c r="J18" s="23"/>
      <c r="K18" s="23"/>
      <c r="M18" s="112"/>
      <c r="N18" s="48"/>
    </row>
    <row r="19" spans="1:14" ht="12.75">
      <c r="A19" s="42" t="str">
        <f>'Rate Class Energy Model'!J2</f>
        <v>GS&gt;50</v>
      </c>
      <c r="M19" s="27"/>
      <c r="N19" s="6"/>
    </row>
    <row r="20" spans="1:14" ht="12.75">
      <c r="A20" t="s">
        <v>49</v>
      </c>
      <c r="B20" s="6">
        <f>'Rate Class Customer Model'!D3</f>
        <v>93</v>
      </c>
      <c r="C20" s="6">
        <f>'Rate Class Customer Model'!D4</f>
        <v>97</v>
      </c>
      <c r="D20" s="6">
        <f>'Rate Class Customer Model'!D5</f>
        <v>95</v>
      </c>
      <c r="E20" s="6">
        <f>'Rate Class Customer Model'!D6</f>
        <v>98</v>
      </c>
      <c r="F20" s="6">
        <f>'Rate Class Customer Model'!D7</f>
        <v>92</v>
      </c>
      <c r="G20" s="6">
        <f>'Rate Class Customer Model'!D8</f>
        <v>96</v>
      </c>
      <c r="H20" s="6">
        <f>'Rate Class Customer Model'!D9</f>
        <v>98</v>
      </c>
      <c r="I20" s="6">
        <f>'Rate Class Customer Model'!D10</f>
        <v>100</v>
      </c>
      <c r="J20" s="6">
        <f>'Rate Class Customer Model'!D11</f>
        <v>100</v>
      </c>
      <c r="K20" s="27">
        <f>'Rate Class Customer Model'!D12</f>
        <v>101</v>
      </c>
      <c r="L20" s="27">
        <f>'Rate Class Customer Model'!D13</f>
        <v>101.93032783726642</v>
      </c>
      <c r="M20" s="27">
        <f>'Rate Class Customer Model'!D14</f>
        <v>102.86922507933276</v>
      </c>
      <c r="N20" s="6">
        <f>M20</f>
        <v>102.86922507933276</v>
      </c>
    </row>
    <row r="21" spans="1:16" ht="12.75">
      <c r="A21" t="s">
        <v>50</v>
      </c>
      <c r="B21" s="6">
        <f>'Rate Class Energy Model'!J7</f>
        <v>87393551.8</v>
      </c>
      <c r="C21" s="6">
        <f>'Rate Class Energy Model'!J8</f>
        <v>88224268.53</v>
      </c>
      <c r="D21" s="6">
        <f>'Rate Class Energy Model'!J9</f>
        <v>89703215</v>
      </c>
      <c r="E21" s="6">
        <f>'Rate Class Energy Model'!J10</f>
        <v>90288216</v>
      </c>
      <c r="F21" s="6">
        <f>'Rate Class Energy Model'!J11</f>
        <v>90034006</v>
      </c>
      <c r="G21" s="6">
        <f>'Rate Class Energy Model'!J12</f>
        <v>90911555</v>
      </c>
      <c r="H21" s="6">
        <f>'Rate Class Energy Model'!J13</f>
        <v>90745868</v>
      </c>
      <c r="I21" s="6">
        <f>'Rate Class Energy Model'!J14</f>
        <v>84055244</v>
      </c>
      <c r="J21" s="6">
        <f>'Rate Class Energy Model'!J15</f>
        <v>82607939</v>
      </c>
      <c r="K21" s="6">
        <f>'Rate Class Energy Model'!J16</f>
        <v>83596624.46000001</v>
      </c>
      <c r="L21" s="27">
        <f>'Rate Class Energy Model'!J62</f>
        <v>83315486.31308842</v>
      </c>
      <c r="M21" s="27">
        <f>'Rate Class Energy Model'!J63</f>
        <v>82191734.36720794</v>
      </c>
      <c r="N21" s="6">
        <f>'Rate Class Energy Model'!J80</f>
        <v>80890203.53677537</v>
      </c>
      <c r="P21" s="105"/>
    </row>
    <row r="22" spans="1:14" ht="12.75">
      <c r="A22" t="s">
        <v>51</v>
      </c>
      <c r="B22" s="6">
        <f>'Rate Class Load Model'!B2</f>
        <v>208332.89999999997</v>
      </c>
      <c r="C22" s="6">
        <f>'Rate Class Load Model'!B3</f>
        <v>219818.00999999998</v>
      </c>
      <c r="D22" s="6">
        <f>'Rate Class Load Model'!B4</f>
        <v>224392.23</v>
      </c>
      <c r="E22" s="6">
        <f>'Rate Class Load Model'!B5</f>
        <v>219273.48000000004</v>
      </c>
      <c r="F22" s="6">
        <f>'Rate Class Load Model'!B6</f>
        <v>228996.41</v>
      </c>
      <c r="G22" s="6">
        <f>'Rate Class Load Model'!B7</f>
        <v>234298.43</v>
      </c>
      <c r="H22" s="6">
        <f>'Rate Class Load Model'!B8</f>
        <v>226241.79</v>
      </c>
      <c r="I22" s="6">
        <f>'Rate Class Load Model'!B9</f>
        <v>208393.50000000003</v>
      </c>
      <c r="J22" s="27">
        <f>'Rate Class Load Model'!B10</f>
        <v>203585.50999999998</v>
      </c>
      <c r="K22" s="27">
        <f>'Rate Class Load Model'!B11</f>
        <v>202662.09</v>
      </c>
      <c r="L22" s="27">
        <f>'Rate Class Load Model'!B12</f>
        <v>206516.77406394822</v>
      </c>
      <c r="M22" s="27">
        <f>'Rate Class Load Model'!B13</f>
        <v>203731.2939931818</v>
      </c>
      <c r="N22" s="6">
        <f>N21*'Rate Class Load Model'!B27</f>
        <v>200505.14768665197</v>
      </c>
    </row>
    <row r="23" spans="8:14" ht="12.75">
      <c r="H23" s="49"/>
      <c r="I23" s="23"/>
      <c r="J23" s="23"/>
      <c r="K23" s="23"/>
      <c r="M23" s="113"/>
      <c r="N23" s="86"/>
    </row>
    <row r="24" spans="1:14" ht="12.75">
      <c r="A24" s="42" t="str">
        <f>'Rate Class Energy Model'!K2</f>
        <v>Sentinels</v>
      </c>
      <c r="M24" s="27"/>
      <c r="N24" s="6"/>
    </row>
    <row r="25" spans="1:14" ht="12.75">
      <c r="A25" t="s">
        <v>76</v>
      </c>
      <c r="B25" s="6">
        <f>'Rate Class Customer Model'!E3</f>
        <v>50</v>
      </c>
      <c r="C25" s="6">
        <f>'Rate Class Customer Model'!E4</f>
        <v>49</v>
      </c>
      <c r="D25" s="6">
        <f>'Rate Class Customer Model'!E5</f>
        <v>48</v>
      </c>
      <c r="E25" s="6">
        <f>'Rate Class Customer Model'!E6</f>
        <v>46</v>
      </c>
      <c r="F25" s="6">
        <f>'Rate Class Customer Model'!E7</f>
        <v>45</v>
      </c>
      <c r="G25" s="6">
        <f>'Rate Class Customer Model'!E8</f>
        <v>44</v>
      </c>
      <c r="H25" s="6">
        <f>'Rate Class Customer Model'!E9</f>
        <v>45</v>
      </c>
      <c r="I25" s="6">
        <f>'Rate Class Customer Model'!E10</f>
        <v>44</v>
      </c>
      <c r="J25" s="27">
        <f>'Rate Class Customer Model'!E11</f>
        <v>45</v>
      </c>
      <c r="K25" s="27">
        <f>'Rate Class Customer Model'!E12</f>
        <v>45</v>
      </c>
      <c r="L25" s="27">
        <f>'Rate Class Customer Model'!E13</f>
        <v>44.47626899020867</v>
      </c>
      <c r="M25" s="27">
        <f>'Rate Class Customer Model'!E14</f>
        <v>43.958633406431055</v>
      </c>
      <c r="N25" s="6">
        <f>M25</f>
        <v>43.958633406431055</v>
      </c>
    </row>
    <row r="26" spans="1:14" ht="12.75">
      <c r="A26" t="s">
        <v>50</v>
      </c>
      <c r="B26" s="6">
        <f>'Rate Class Energy Model'!K7</f>
        <v>41970</v>
      </c>
      <c r="C26" s="6">
        <f>'Rate Class Energy Model'!K8</f>
        <v>44229</v>
      </c>
      <c r="D26" s="6">
        <f>'Rate Class Energy Model'!K9</f>
        <v>42373.08</v>
      </c>
      <c r="E26" s="6">
        <f>'Rate Class Energy Model'!K10</f>
        <v>41442.520000000004</v>
      </c>
      <c r="F26" s="6">
        <f>'Rate Class Energy Model'!K11</f>
        <v>41334</v>
      </c>
      <c r="G26" s="6">
        <f>'Rate Class Energy Model'!K12</f>
        <v>40100</v>
      </c>
      <c r="H26" s="6">
        <f>'Rate Class Energy Model'!K13</f>
        <v>39860</v>
      </c>
      <c r="I26" s="6">
        <f>'Rate Class Energy Model'!K14</f>
        <v>40502</v>
      </c>
      <c r="J26" s="6">
        <f>'Rate Class Energy Model'!K15</f>
        <v>40765.11999999999</v>
      </c>
      <c r="K26" s="6">
        <f>'Rate Class Energy Model'!K16</f>
        <v>40399.119999999995</v>
      </c>
      <c r="L26" s="27">
        <f>'Rate Class Energy Model'!K62</f>
        <v>39761.98061936182</v>
      </c>
      <c r="M26" s="27">
        <f>'Rate Class Energy Model'!K63</f>
        <v>39124.69789755232</v>
      </c>
      <c r="N26" s="6">
        <f>'Rate Class Energy Model'!K80</f>
        <v>39145.7242810381</v>
      </c>
    </row>
    <row r="27" spans="1:14" ht="12.75">
      <c r="A27" t="s">
        <v>51</v>
      </c>
      <c r="B27" s="6">
        <f>'Rate Class Load Model'!C2</f>
        <v>116.24721841449409</v>
      </c>
      <c r="C27" s="6">
        <f>'Rate Class Load Model'!C3</f>
        <v>123.3064058956916</v>
      </c>
      <c r="D27" s="6">
        <f>'Rate Class Load Model'!C4</f>
        <v>118.10515873015873</v>
      </c>
      <c r="E27" s="6">
        <f>'Rate Class Load Model'!C5</f>
        <v>115.17148526077096</v>
      </c>
      <c r="F27" s="6">
        <f>'Rate Class Load Model'!C6</f>
        <v>114.95890022675735</v>
      </c>
      <c r="G27" s="6">
        <f>'Rate Class Load Model'!C7</f>
        <v>111.6638321995465</v>
      </c>
      <c r="H27" s="6">
        <f>'Rate Class Load Model'!C8</f>
        <v>110.71184746299953</v>
      </c>
      <c r="I27" s="6">
        <f>'Rate Class Load Model'!C9</f>
        <v>112.2132616487455</v>
      </c>
      <c r="J27" s="27">
        <f>'Rate Class Load Model'!C10</f>
        <v>112.24469216182739</v>
      </c>
      <c r="K27" s="27">
        <f>'Rate Class Load Model'!C11</f>
        <v>113.03526993717428</v>
      </c>
      <c r="L27" s="27">
        <f>'Rate Class Load Model'!C12</f>
        <v>110.49598654136445</v>
      </c>
      <c r="M27" s="27">
        <f>'Rate Class Load Model'!C13</f>
        <v>108.7250188492315</v>
      </c>
      <c r="N27" s="6">
        <f>N26*'Rate Class Load Model'!C27</f>
        <v>108.78344981646372</v>
      </c>
    </row>
    <row r="28" spans="2:14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27"/>
      <c r="M28" s="27"/>
      <c r="N28" s="6"/>
    </row>
    <row r="29" spans="1:14" ht="12.75">
      <c r="A29" s="42" t="str">
        <f>'Rate Class Energy Model'!L2</f>
        <v>Streetlights</v>
      </c>
      <c r="M29" s="27"/>
      <c r="N29" s="6"/>
    </row>
    <row r="30" spans="1:14" ht="12.75">
      <c r="A30" t="s">
        <v>76</v>
      </c>
      <c r="B30" s="6">
        <f>'Rate Class Customer Model'!F3</f>
        <v>2056</v>
      </c>
      <c r="C30" s="6">
        <f>'Rate Class Customer Model'!F4</f>
        <v>2058</v>
      </c>
      <c r="D30" s="6">
        <f>'Rate Class Customer Model'!F5</f>
        <v>2058</v>
      </c>
      <c r="E30" s="6">
        <f>'Rate Class Customer Model'!F6</f>
        <v>2058</v>
      </c>
      <c r="F30" s="6">
        <f>'Rate Class Customer Model'!F7</f>
        <v>2058</v>
      </c>
      <c r="G30" s="6">
        <f>'Rate Class Customer Model'!F8</f>
        <v>2058</v>
      </c>
      <c r="H30" s="6">
        <f>'Rate Class Customer Model'!F9</f>
        <v>2130</v>
      </c>
      <c r="I30" s="6">
        <f>'Rate Class Customer Model'!F10</f>
        <v>2130</v>
      </c>
      <c r="J30" s="27">
        <f>'Rate Class Customer Model'!F11</f>
        <v>2130</v>
      </c>
      <c r="K30" s="27">
        <f>'Rate Class Customer Model'!F12</f>
        <v>2130</v>
      </c>
      <c r="L30" s="27">
        <f>'Rate Class Customer Model'!F13</f>
        <v>2138.384906997319</v>
      </c>
      <c r="M30" s="27">
        <f>'Rate Class Customer Model'!F14</f>
        <v>2146.802821818748</v>
      </c>
      <c r="N30" s="6">
        <f>M30</f>
        <v>2146.802821818748</v>
      </c>
    </row>
    <row r="31" spans="1:14" ht="12.75">
      <c r="A31" t="s">
        <v>50</v>
      </c>
      <c r="B31" s="6">
        <f>'Rate Class Energy Model'!L7</f>
        <v>1812496</v>
      </c>
      <c r="C31" s="6">
        <f>'Rate Class Energy Model'!L8</f>
        <v>1881086.17</v>
      </c>
      <c r="D31" s="6">
        <f>'Rate Class Energy Model'!L9</f>
        <v>1891352.65</v>
      </c>
      <c r="E31" s="6">
        <f>'Rate Class Energy Model'!L10</f>
        <v>1884913.9100000001</v>
      </c>
      <c r="F31" s="6">
        <f>'Rate Class Energy Model'!L11</f>
        <v>1885256</v>
      </c>
      <c r="G31" s="6">
        <f>'Rate Class Energy Model'!L12</f>
        <v>1884914</v>
      </c>
      <c r="H31" s="6">
        <f>'Rate Class Energy Model'!L13</f>
        <v>1872292</v>
      </c>
      <c r="I31" s="6">
        <f>'Rate Class Energy Model'!L14</f>
        <v>1870097</v>
      </c>
      <c r="J31" s="6">
        <f>'Rate Class Energy Model'!L15</f>
        <v>1870097.95</v>
      </c>
      <c r="K31" s="6">
        <f>'Rate Class Energy Model'!L16</f>
        <v>1870092.06</v>
      </c>
      <c r="L31" s="27">
        <f>'Rate Class Energy Model'!L62</f>
        <v>1854852.6851961657</v>
      </c>
      <c r="M31" s="114">
        <f>'Rate Class Energy Model'!L63</f>
        <v>1839258.3805267646</v>
      </c>
      <c r="N31" s="6">
        <f>'Rate Class Energy Model'!L80</f>
        <v>1840246.8342175672</v>
      </c>
    </row>
    <row r="32" spans="1:14" ht="12.75">
      <c r="A32" t="s">
        <v>51</v>
      </c>
      <c r="B32" s="6">
        <f>'Rate Class Load Model'!D2</f>
        <v>5145.5</v>
      </c>
      <c r="C32" s="6">
        <f>'Rate Class Load Model'!D3</f>
        <v>5151.56</v>
      </c>
      <c r="D32" s="6">
        <f>'Rate Class Load Model'!D4</f>
        <v>5152.08</v>
      </c>
      <c r="E32" s="6">
        <f>'Rate Class Load Model'!D5</f>
        <v>5152.08</v>
      </c>
      <c r="F32" s="6">
        <f>'Rate Class Load Model'!D6</f>
        <v>5153.16</v>
      </c>
      <c r="G32" s="6">
        <f>'Rate Class Load Model'!D7</f>
        <v>5152.08</v>
      </c>
      <c r="H32" s="6">
        <f>'Rate Class Load Model'!D8</f>
        <v>5111.03</v>
      </c>
      <c r="I32" s="6">
        <f>'Rate Class Load Model'!D9</f>
        <v>5075.16</v>
      </c>
      <c r="J32" s="27">
        <f>'Rate Class Load Model'!D10</f>
        <v>5075.16</v>
      </c>
      <c r="K32" s="27">
        <f>'Rate Class Load Model'!D11</f>
        <v>5075.23</v>
      </c>
      <c r="L32" s="27">
        <f>'Rate Class Load Model'!D12</f>
        <v>5077.286946131697</v>
      </c>
      <c r="M32" s="27">
        <f>'Rate Class Load Model'!D13</f>
        <v>5034.600666965771</v>
      </c>
      <c r="N32" s="6">
        <f>N31*'Rate Class Load Model'!D27</f>
        <v>5037.306360556007</v>
      </c>
    </row>
    <row r="34" ht="12.75">
      <c r="A34" s="42" t="str">
        <f>'Rate Class Energy Model'!M2</f>
        <v>USL</v>
      </c>
    </row>
    <row r="35" spans="1:14" ht="12.75">
      <c r="A35" t="s">
        <v>76</v>
      </c>
      <c r="B35" s="6">
        <f>'Rate Class Customer Model'!G3</f>
        <v>71</v>
      </c>
      <c r="C35" s="6">
        <f>'Rate Class Customer Model'!G4</f>
        <v>70</v>
      </c>
      <c r="D35" s="6">
        <f>'Rate Class Customer Model'!G5</f>
        <v>70</v>
      </c>
      <c r="E35" s="6">
        <f>'Rate Class Customer Model'!G6</f>
        <v>68</v>
      </c>
      <c r="F35" s="6">
        <f>'Rate Class Customer Model'!G7</f>
        <v>66</v>
      </c>
      <c r="G35" s="6">
        <f>'Rate Class Customer Model'!G8</f>
        <v>65</v>
      </c>
      <c r="H35" s="6">
        <f>'Rate Class Customer Model'!G9</f>
        <v>50</v>
      </c>
      <c r="I35" s="6">
        <f>'Rate Class Customer Model'!G10</f>
        <v>43</v>
      </c>
      <c r="J35" s="27">
        <f>'Rate Class Customer Model'!G11</f>
        <v>41</v>
      </c>
      <c r="K35" s="27">
        <f>'Rate Class Customer Model'!G12</f>
        <v>40</v>
      </c>
      <c r="L35" s="27">
        <f>'Rate Class Customer Model'!G13</f>
        <v>37.52937094315661</v>
      </c>
      <c r="M35" s="27">
        <f>'Rate Class Customer Model'!G14</f>
        <v>35.21134208472618</v>
      </c>
      <c r="N35" s="6">
        <f>M35</f>
        <v>35.21134208472618</v>
      </c>
    </row>
    <row r="36" spans="1:14" ht="12.75">
      <c r="A36" t="s">
        <v>50</v>
      </c>
      <c r="B36" s="6">
        <f>'Rate Class Energy Model'!M7</f>
        <v>315815.1131568853</v>
      </c>
      <c r="C36" s="6">
        <f>'Rate Class Energy Model'!M8</f>
        <v>302889.33640199463</v>
      </c>
      <c r="D36" s="6">
        <f>'Rate Class Energy Model'!M9</f>
        <v>298020.7134637514</v>
      </c>
      <c r="E36" s="6">
        <f>'Rate Class Energy Model'!M10</f>
        <v>273581.138473341</v>
      </c>
      <c r="F36" s="6">
        <f>'Rate Class Energy Model'!M11</f>
        <v>271066</v>
      </c>
      <c r="G36" s="6">
        <f>'Rate Class Energy Model'!M12</f>
        <v>252561</v>
      </c>
      <c r="H36" s="6">
        <f>'Rate Class Energy Model'!M13</f>
        <v>206728</v>
      </c>
      <c r="I36" s="6">
        <f>'Rate Class Energy Model'!M14</f>
        <v>166421</v>
      </c>
      <c r="J36" s="6">
        <f>'Rate Class Energy Model'!M15</f>
        <v>141736</v>
      </c>
      <c r="K36" s="6">
        <f>'Rate Class Energy Model'!M16</f>
        <v>131903</v>
      </c>
      <c r="L36" s="27">
        <f>'Rate Class Energy Model'!M62</f>
        <v>118320.6773541817</v>
      </c>
      <c r="M36" s="27">
        <f>'Rate Class Energy Model'!M63</f>
        <v>106109.31352638981</v>
      </c>
      <c r="N36" s="6">
        <f>'Rate Class Energy Model'!M80</f>
        <v>106166.33876204684</v>
      </c>
    </row>
    <row r="37" spans="13:14" ht="12.75">
      <c r="M37" s="27"/>
      <c r="N37" s="6"/>
    </row>
    <row r="38" spans="1:12" ht="12.75">
      <c r="A38" s="42" t="s">
        <v>77</v>
      </c>
      <c r="B38" s="6"/>
      <c r="C38" s="6"/>
      <c r="D38" s="6"/>
      <c r="E38" s="6"/>
      <c r="F38" s="6"/>
      <c r="H38" s="6"/>
      <c r="I38" s="6"/>
      <c r="J38" s="6"/>
      <c r="K38" s="6"/>
      <c r="L38" s="27"/>
    </row>
    <row r="39" spans="1:14" ht="12.75">
      <c r="A39" t="s">
        <v>59</v>
      </c>
      <c r="B39" s="6">
        <f>B35+B30+B12+B16+B20+B25</f>
        <v>10844</v>
      </c>
      <c r="C39" s="6">
        <f aca="true" t="shared" si="1" ref="C39:K39">C35+C30+C12+C16+C20+C25</f>
        <v>10947</v>
      </c>
      <c r="D39" s="6">
        <f t="shared" si="1"/>
        <v>11010</v>
      </c>
      <c r="E39" s="6">
        <f t="shared" si="1"/>
        <v>11070</v>
      </c>
      <c r="F39" s="6">
        <f t="shared" si="1"/>
        <v>11113</v>
      </c>
      <c r="G39" s="6">
        <f t="shared" si="1"/>
        <v>11165</v>
      </c>
      <c r="H39" s="6">
        <f t="shared" si="1"/>
        <v>11377</v>
      </c>
      <c r="I39" s="6">
        <f t="shared" si="1"/>
        <v>11503</v>
      </c>
      <c r="J39" s="6">
        <f t="shared" si="1"/>
        <v>11597</v>
      </c>
      <c r="K39" s="6">
        <f t="shared" si="1"/>
        <v>11764</v>
      </c>
      <c r="L39" s="27">
        <f>L35+L30+L12+L16+L20+L25</f>
        <v>11872.89362675861</v>
      </c>
      <c r="M39" s="27">
        <f>M35+M30+M12+M16+M20+M25</f>
        <v>11983.125257799133</v>
      </c>
      <c r="N39" s="6">
        <f>N35+N30+N12+N16+N20+N25</f>
        <v>11983.125257799133</v>
      </c>
    </row>
    <row r="40" spans="1:14" ht="12.75">
      <c r="A40" t="s">
        <v>50</v>
      </c>
      <c r="B40" s="6">
        <f>B13+B17+B21+B26+B31+B36</f>
        <v>215965040.79999998</v>
      </c>
      <c r="C40" s="6">
        <f aca="true" t="shared" si="2" ref="C40:K40">C13+C17+C21+C26+C31+C36</f>
        <v>217934352.70000002</v>
      </c>
      <c r="D40" s="6">
        <f t="shared" si="2"/>
        <v>220249772.73000002</v>
      </c>
      <c r="E40" s="6">
        <f t="shared" si="2"/>
        <v>222682516.43</v>
      </c>
      <c r="F40" s="6">
        <f t="shared" si="2"/>
        <v>215882598</v>
      </c>
      <c r="G40" s="6">
        <f t="shared" si="2"/>
        <v>218579500</v>
      </c>
      <c r="H40" s="6">
        <f t="shared" si="2"/>
        <v>219166243</v>
      </c>
      <c r="I40" s="6">
        <f t="shared" si="2"/>
        <v>210190317</v>
      </c>
      <c r="J40" s="6">
        <f t="shared" si="2"/>
        <v>206701675.99</v>
      </c>
      <c r="K40" s="6">
        <f t="shared" si="2"/>
        <v>205943132.53</v>
      </c>
      <c r="L40" s="27">
        <f>L13+L17+L21+L26+L31+L36</f>
        <v>205816874.50191525</v>
      </c>
      <c r="M40" s="27">
        <f>M13+M17+M21+M26+M31+M36</f>
        <v>203143087.16326517</v>
      </c>
      <c r="N40" s="6">
        <f>N13+N17+N21+N26+N31+N36</f>
        <v>203770427.98181844</v>
      </c>
    </row>
    <row r="41" spans="1:14" ht="12.75">
      <c r="A41" t="s">
        <v>58</v>
      </c>
      <c r="B41" s="6">
        <f>B32+B27+B22</f>
        <v>213594.64721841447</v>
      </c>
      <c r="C41" s="6">
        <f aca="true" t="shared" si="3" ref="C41:K41">C32+C27+C22</f>
        <v>225092.87640589566</v>
      </c>
      <c r="D41" s="6">
        <f t="shared" si="3"/>
        <v>229662.41515873017</v>
      </c>
      <c r="E41" s="6">
        <f t="shared" si="3"/>
        <v>224540.73148526083</v>
      </c>
      <c r="F41" s="6">
        <f t="shared" si="3"/>
        <v>234264.52890022675</v>
      </c>
      <c r="G41" s="6">
        <f t="shared" si="3"/>
        <v>239562.17383219954</v>
      </c>
      <c r="H41" s="6">
        <f t="shared" si="3"/>
        <v>231463.53184746302</v>
      </c>
      <c r="I41" s="6">
        <f t="shared" si="3"/>
        <v>213580.87326164878</v>
      </c>
      <c r="J41" s="6">
        <f t="shared" si="3"/>
        <v>208772.9146921618</v>
      </c>
      <c r="K41" s="6">
        <f t="shared" si="3"/>
        <v>207850.35526993716</v>
      </c>
      <c r="L41" s="27">
        <f>L32+L27+L22</f>
        <v>211704.55699662128</v>
      </c>
      <c r="M41" s="27">
        <f>M32+M27+M22</f>
        <v>208874.61967899682</v>
      </c>
      <c r="N41" s="6">
        <f>N32+N27+N22</f>
        <v>205651.23749702444</v>
      </c>
    </row>
    <row r="43" spans="1:14" ht="12.75">
      <c r="A43" s="42" t="s">
        <v>78</v>
      </c>
      <c r="M43" s="27"/>
      <c r="N43" s="6"/>
    </row>
    <row r="44" spans="1:14" ht="12.75">
      <c r="A44" t="s">
        <v>59</v>
      </c>
      <c r="B44" s="6">
        <f>'Rate Class Customer Model'!H3</f>
        <v>10844</v>
      </c>
      <c r="C44" s="6">
        <f>'Rate Class Customer Model'!H4</f>
        <v>10947</v>
      </c>
      <c r="D44" s="6">
        <f>'Rate Class Customer Model'!H5</f>
        <v>11010</v>
      </c>
      <c r="E44" s="6">
        <f>'Rate Class Customer Model'!H6</f>
        <v>11070</v>
      </c>
      <c r="F44" s="6">
        <f>'Rate Class Customer Model'!H7</f>
        <v>11113</v>
      </c>
      <c r="G44" s="6">
        <f>'Rate Class Customer Model'!H8</f>
        <v>11165</v>
      </c>
      <c r="H44" s="6">
        <f>'Rate Class Customer Model'!H9</f>
        <v>11377</v>
      </c>
      <c r="I44" s="6">
        <f>'Rate Class Customer Model'!H10</f>
        <v>11503</v>
      </c>
      <c r="J44" s="6">
        <f>'Rate Class Customer Model'!H11</f>
        <v>11597</v>
      </c>
      <c r="K44" s="6">
        <f>'Rate Class Customer Model'!H12</f>
        <v>11764</v>
      </c>
      <c r="L44" s="27">
        <f>'Rate Class Customer Model'!H13</f>
        <v>11872.89362675861</v>
      </c>
      <c r="M44" s="27">
        <f>'Rate Class Customer Model'!H14</f>
        <v>11983.125257799133</v>
      </c>
      <c r="N44" s="6">
        <f>'Rate Class Customer Model'!H14</f>
        <v>11983.125257799133</v>
      </c>
    </row>
    <row r="45" spans="1:14" ht="12.75">
      <c r="A45" t="s">
        <v>50</v>
      </c>
      <c r="B45" s="6">
        <f>'Rate Class Energy Model'!G7</f>
        <v>215965040.79999998</v>
      </c>
      <c r="C45" s="6">
        <f>'Rate Class Energy Model'!G8</f>
        <v>217934352.70000002</v>
      </c>
      <c r="D45" s="6">
        <f>'Rate Class Energy Model'!G9</f>
        <v>220249772.73000002</v>
      </c>
      <c r="E45" s="6">
        <f>'Rate Class Energy Model'!G10</f>
        <v>222682516.43</v>
      </c>
      <c r="F45" s="6">
        <f>'Rate Class Energy Model'!G11</f>
        <v>215882598</v>
      </c>
      <c r="G45" s="6">
        <f>'Rate Class Energy Model'!G12</f>
        <v>218579500</v>
      </c>
      <c r="H45" s="6">
        <f>'Rate Class Energy Model'!G13</f>
        <v>219166243</v>
      </c>
      <c r="I45" s="6">
        <f>'Rate Class Energy Model'!G14</f>
        <v>210190317</v>
      </c>
      <c r="J45" s="6">
        <f>'Rate Class Energy Model'!G15</f>
        <v>206701675.99</v>
      </c>
      <c r="K45" s="6">
        <f>'Rate Class Energy Model'!G16</f>
        <v>205943132.53</v>
      </c>
      <c r="L45" s="27">
        <f>'Rate Class Energy Model'!N62</f>
        <v>205816874.50191525</v>
      </c>
      <c r="M45" s="27">
        <f>'Rate Class Energy Model'!N63</f>
        <v>203143087.16326517</v>
      </c>
      <c r="N45" s="6">
        <f>'Rate Class Energy Model'!N80</f>
        <v>203770427.98181844</v>
      </c>
    </row>
    <row r="46" spans="1:14" ht="12.75">
      <c r="A46" t="s">
        <v>58</v>
      </c>
      <c r="B46" s="6">
        <f>'Rate Class Load Model'!E2</f>
        <v>213594.64721841447</v>
      </c>
      <c r="C46" s="6">
        <f>'Rate Class Load Model'!E3</f>
        <v>225092.87640589566</v>
      </c>
      <c r="D46" s="6">
        <f>'Rate Class Load Model'!E4</f>
        <v>229662.41515873015</v>
      </c>
      <c r="E46" s="6">
        <f>'Rate Class Load Model'!E5</f>
        <v>224540.7314852608</v>
      </c>
      <c r="F46" s="6">
        <f>'Rate Class Load Model'!E6</f>
        <v>234264.52890022675</v>
      </c>
      <c r="G46" s="6">
        <f>'Rate Class Load Model'!E7</f>
        <v>239562.17383219954</v>
      </c>
      <c r="H46" s="6">
        <f>'Rate Class Load Model'!E8</f>
        <v>231463.53184746302</v>
      </c>
      <c r="I46" s="6">
        <f>'Rate Class Load Model'!E9</f>
        <v>213580.87326164878</v>
      </c>
      <c r="J46" s="27">
        <f>'Rate Class Load Model'!E10</f>
        <v>208772.9146921618</v>
      </c>
      <c r="K46" s="27">
        <f>'Rate Class Load Model'!E11</f>
        <v>207850.3552699372</v>
      </c>
      <c r="L46" s="27">
        <f>'Rate Class Load Model'!E12</f>
        <v>211704.55699662128</v>
      </c>
      <c r="M46" s="27">
        <f>'Rate Class Load Model'!E13</f>
        <v>208874.6196789968</v>
      </c>
      <c r="N46" s="6">
        <f>N41</f>
        <v>205651.23749702444</v>
      </c>
    </row>
    <row r="48" spans="1:14" ht="12.75">
      <c r="A48" s="42" t="s">
        <v>79</v>
      </c>
      <c r="C48" s="6"/>
      <c r="D48" s="6"/>
      <c r="E48" s="6"/>
      <c r="F48" s="6"/>
      <c r="G48" s="6"/>
      <c r="H48" s="6"/>
      <c r="I48" s="6"/>
      <c r="J48" s="6"/>
      <c r="K48" s="6"/>
      <c r="L48" s="27"/>
      <c r="M48" s="27"/>
      <c r="N48" s="6"/>
    </row>
    <row r="49" spans="1:14" ht="12.75">
      <c r="A49" t="s">
        <v>59</v>
      </c>
      <c r="B49" s="6">
        <f>B39-B44</f>
        <v>0</v>
      </c>
      <c r="C49" s="6">
        <f>C39-C44</f>
        <v>0</v>
      </c>
      <c r="D49" s="6">
        <f aca="true" t="shared" si="4" ref="D49:J49">D39-D44</f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6">
        <f t="shared" si="4"/>
        <v>0</v>
      </c>
      <c r="I49" s="6">
        <f t="shared" si="4"/>
        <v>0</v>
      </c>
      <c r="J49" s="6">
        <f t="shared" si="4"/>
        <v>0</v>
      </c>
      <c r="K49" s="6">
        <f aca="true" t="shared" si="5" ref="K49:M51">K39-K44</f>
        <v>0</v>
      </c>
      <c r="L49" s="27">
        <f t="shared" si="5"/>
        <v>0</v>
      </c>
      <c r="M49" s="27">
        <f t="shared" si="5"/>
        <v>0</v>
      </c>
      <c r="N49" s="6">
        <f>N39-N44</f>
        <v>0</v>
      </c>
    </row>
    <row r="50" spans="1:14" ht="12.75">
      <c r="A50" t="s">
        <v>50</v>
      </c>
      <c r="B50" s="6">
        <f>B40-B45</f>
        <v>0</v>
      </c>
      <c r="C50" s="6">
        <f aca="true" t="shared" si="6" ref="C50:J51">C40-C45</f>
        <v>0</v>
      </c>
      <c r="D50" s="6">
        <f t="shared" si="6"/>
        <v>0</v>
      </c>
      <c r="E50" s="6">
        <f t="shared" si="6"/>
        <v>0</v>
      </c>
      <c r="F50" s="6">
        <f t="shared" si="6"/>
        <v>0</v>
      </c>
      <c r="G50" s="6">
        <f t="shared" si="6"/>
        <v>0</v>
      </c>
      <c r="H50" s="6">
        <f t="shared" si="6"/>
        <v>0</v>
      </c>
      <c r="I50" s="6">
        <f t="shared" si="6"/>
        <v>0</v>
      </c>
      <c r="J50" s="6">
        <f t="shared" si="6"/>
        <v>0</v>
      </c>
      <c r="K50" s="6">
        <f t="shared" si="5"/>
        <v>0</v>
      </c>
      <c r="L50" s="27">
        <f t="shared" si="5"/>
        <v>0</v>
      </c>
      <c r="M50" s="27">
        <f t="shared" si="5"/>
        <v>0</v>
      </c>
      <c r="N50" s="6">
        <f>N40-N45</f>
        <v>0</v>
      </c>
    </row>
    <row r="51" spans="1:14" ht="12.75">
      <c r="A51" t="s">
        <v>58</v>
      </c>
      <c r="B51" s="6">
        <f>B41-B46</f>
        <v>0</v>
      </c>
      <c r="C51" s="6">
        <f t="shared" si="6"/>
        <v>0</v>
      </c>
      <c r="D51" s="6">
        <f t="shared" si="6"/>
        <v>0</v>
      </c>
      <c r="E51" s="6">
        <f t="shared" si="6"/>
        <v>0</v>
      </c>
      <c r="F51" s="6">
        <f t="shared" si="6"/>
        <v>0</v>
      </c>
      <c r="G51" s="6">
        <f t="shared" si="6"/>
        <v>0</v>
      </c>
      <c r="H51" s="6">
        <f t="shared" si="6"/>
        <v>0</v>
      </c>
      <c r="I51" s="6">
        <f t="shared" si="6"/>
        <v>0</v>
      </c>
      <c r="J51" s="6">
        <f t="shared" si="6"/>
        <v>0</v>
      </c>
      <c r="K51" s="6">
        <f t="shared" si="5"/>
        <v>0</v>
      </c>
      <c r="L51" s="27">
        <f t="shared" si="5"/>
        <v>0</v>
      </c>
      <c r="M51" s="27">
        <f t="shared" si="5"/>
        <v>0</v>
      </c>
      <c r="N51" s="6">
        <f>N41-N46</f>
        <v>0</v>
      </c>
    </row>
    <row r="59" spans="2:11" ht="12.75">
      <c r="B59" s="107">
        <v>2002</v>
      </c>
      <c r="C59" s="107">
        <v>2003</v>
      </c>
      <c r="D59" s="107">
        <v>2004</v>
      </c>
      <c r="E59" s="107">
        <v>2005</v>
      </c>
      <c r="F59" s="107">
        <v>2006</v>
      </c>
      <c r="G59" s="107">
        <v>2007</v>
      </c>
      <c r="H59" s="107">
        <v>2008</v>
      </c>
      <c r="I59" s="107">
        <v>2009</v>
      </c>
      <c r="J59" s="107">
        <v>2010</v>
      </c>
      <c r="K59" s="107">
        <v>2011</v>
      </c>
    </row>
    <row r="60" spans="1:11" ht="12.75">
      <c r="A60" t="s">
        <v>147</v>
      </c>
      <c r="B60" s="8">
        <f aca="true" t="shared" si="7" ref="B60:J61">B4/1000</f>
        <v>238718.386</v>
      </c>
      <c r="C60" s="8">
        <f t="shared" si="7"/>
        <v>246525.602</v>
      </c>
      <c r="D60" s="8">
        <f t="shared" si="7"/>
        <v>242100.886</v>
      </c>
      <c r="E60" s="8">
        <f t="shared" si="7"/>
        <v>236047.562</v>
      </c>
      <c r="F60" s="8">
        <f t="shared" si="7"/>
        <v>229437.606</v>
      </c>
      <c r="G60" s="8">
        <f t="shared" si="7"/>
        <v>230101.605</v>
      </c>
      <c r="H60" s="8">
        <f t="shared" si="7"/>
        <v>233194.447</v>
      </c>
      <c r="I60" s="8">
        <f t="shared" si="7"/>
        <v>225969.773</v>
      </c>
      <c r="J60" s="8">
        <f t="shared" si="7"/>
        <v>221209.083</v>
      </c>
      <c r="K60" s="8">
        <f>K4/1000</f>
        <v>221759.892</v>
      </c>
    </row>
    <row r="61" spans="1:11" ht="12.75">
      <c r="A61" t="s">
        <v>148</v>
      </c>
      <c r="B61" s="8">
        <f t="shared" si="7"/>
        <v>239720.46357141732</v>
      </c>
      <c r="C61" s="8">
        <f t="shared" si="7"/>
        <v>241645.3734028023</v>
      </c>
      <c r="D61" s="8">
        <f t="shared" si="7"/>
        <v>241409.2292852041</v>
      </c>
      <c r="E61" s="8">
        <f t="shared" si="7"/>
        <v>237579.76049331992</v>
      </c>
      <c r="F61" s="8">
        <f t="shared" si="7"/>
        <v>232376.20203049868</v>
      </c>
      <c r="G61" s="8">
        <f t="shared" si="7"/>
        <v>231565.21907945917</v>
      </c>
      <c r="H61" s="8">
        <f t="shared" si="7"/>
        <v>232110.01625180792</v>
      </c>
      <c r="I61" s="8">
        <f t="shared" si="7"/>
        <v>225718.1068892966</v>
      </c>
      <c r="J61" s="8">
        <f t="shared" si="7"/>
        <v>222087.69848747095</v>
      </c>
      <c r="K61" s="8">
        <f>K5/1000</f>
        <v>220852.77250872317</v>
      </c>
    </row>
    <row r="64" spans="2:14" ht="12.75">
      <c r="B64" s="6">
        <f>+B12</f>
        <v>7105</v>
      </c>
      <c r="C64" s="6">
        <f aca="true" t="shared" si="8" ref="C64:N64">+C12</f>
        <v>7212</v>
      </c>
      <c r="D64" s="6">
        <f t="shared" si="8"/>
        <v>7274</v>
      </c>
      <c r="E64" s="6">
        <f t="shared" si="8"/>
        <v>7326</v>
      </c>
      <c r="F64" s="6">
        <f t="shared" si="8"/>
        <v>7374</v>
      </c>
      <c r="G64" s="6">
        <f t="shared" si="8"/>
        <v>7393</v>
      </c>
      <c r="H64" s="6">
        <f t="shared" si="8"/>
        <v>7519</v>
      </c>
      <c r="I64" s="6">
        <f t="shared" si="8"/>
        <v>7637</v>
      </c>
      <c r="J64" s="6">
        <f t="shared" si="8"/>
        <v>7728</v>
      </c>
      <c r="K64" s="6">
        <f t="shared" si="8"/>
        <v>7880</v>
      </c>
      <c r="L64" s="27">
        <f t="shared" si="8"/>
        <v>7971.168879058739</v>
      </c>
      <c r="M64" s="27">
        <f t="shared" si="8"/>
        <v>8063.392550567836</v>
      </c>
      <c r="N64" s="6">
        <f t="shared" si="8"/>
        <v>8063.392550567836</v>
      </c>
    </row>
    <row r="65" spans="2:14" ht="12.75">
      <c r="B65" s="6">
        <f>+B16</f>
        <v>1469</v>
      </c>
      <c r="C65" s="6">
        <f aca="true" t="shared" si="9" ref="C65:N65">+C16</f>
        <v>1461</v>
      </c>
      <c r="D65" s="6">
        <f t="shared" si="9"/>
        <v>1465</v>
      </c>
      <c r="E65" s="6">
        <f t="shared" si="9"/>
        <v>1474</v>
      </c>
      <c r="F65" s="6">
        <f t="shared" si="9"/>
        <v>1478</v>
      </c>
      <c r="G65" s="6">
        <f t="shared" si="9"/>
        <v>1509</v>
      </c>
      <c r="H65" s="6">
        <f t="shared" si="9"/>
        <v>1535</v>
      </c>
      <c r="I65" s="6">
        <f t="shared" si="9"/>
        <v>1549</v>
      </c>
      <c r="J65" s="6">
        <f t="shared" si="9"/>
        <v>1553</v>
      </c>
      <c r="K65" s="6">
        <f t="shared" si="9"/>
        <v>1568</v>
      </c>
      <c r="L65" s="27">
        <f t="shared" si="9"/>
        <v>1579.4038729319202</v>
      </c>
      <c r="M65" s="27">
        <f t="shared" si="9"/>
        <v>1590.8906848420595</v>
      </c>
      <c r="N65" s="6">
        <f t="shared" si="9"/>
        <v>1590.8906848420595</v>
      </c>
    </row>
    <row r="66" spans="2:14" ht="12.75">
      <c r="B66" s="6">
        <f>+B20</f>
        <v>93</v>
      </c>
      <c r="C66" s="6">
        <f aca="true" t="shared" si="10" ref="C66:N66">+C20</f>
        <v>97</v>
      </c>
      <c r="D66" s="6">
        <f t="shared" si="10"/>
        <v>95</v>
      </c>
      <c r="E66" s="6">
        <f t="shared" si="10"/>
        <v>98</v>
      </c>
      <c r="F66" s="6">
        <f t="shared" si="10"/>
        <v>92</v>
      </c>
      <c r="G66" s="6">
        <f t="shared" si="10"/>
        <v>96</v>
      </c>
      <c r="H66" s="6">
        <f t="shared" si="10"/>
        <v>98</v>
      </c>
      <c r="I66" s="6">
        <f t="shared" si="10"/>
        <v>100</v>
      </c>
      <c r="J66" s="6">
        <f t="shared" si="10"/>
        <v>100</v>
      </c>
      <c r="K66" s="6">
        <f t="shared" si="10"/>
        <v>101</v>
      </c>
      <c r="L66" s="27">
        <f t="shared" si="10"/>
        <v>101.93032783726642</v>
      </c>
      <c r="M66" s="27">
        <f t="shared" si="10"/>
        <v>102.86922507933276</v>
      </c>
      <c r="N66" s="6">
        <f t="shared" si="10"/>
        <v>102.86922507933276</v>
      </c>
    </row>
    <row r="68" spans="2:14" ht="12.75">
      <c r="B68" s="1">
        <f>SUM(B64:B67)</f>
        <v>8667</v>
      </c>
      <c r="C68" s="1">
        <f aca="true" t="shared" si="11" ref="C68:N68">SUM(C64:C67)</f>
        <v>8770</v>
      </c>
      <c r="D68" s="1">
        <f t="shared" si="11"/>
        <v>8834</v>
      </c>
      <c r="E68" s="1">
        <f t="shared" si="11"/>
        <v>8898</v>
      </c>
      <c r="F68" s="1">
        <f t="shared" si="11"/>
        <v>8944</v>
      </c>
      <c r="G68" s="1">
        <f t="shared" si="11"/>
        <v>8998</v>
      </c>
      <c r="H68" s="1">
        <f t="shared" si="11"/>
        <v>9152</v>
      </c>
      <c r="I68" s="1">
        <f t="shared" si="11"/>
        <v>9286</v>
      </c>
      <c r="J68" s="1">
        <f t="shared" si="11"/>
        <v>9381</v>
      </c>
      <c r="K68" s="1">
        <f t="shared" si="11"/>
        <v>9549</v>
      </c>
      <c r="L68" s="23">
        <f t="shared" si="11"/>
        <v>9652.503079827926</v>
      </c>
      <c r="M68" s="23">
        <f t="shared" si="11"/>
        <v>9757.152460489227</v>
      </c>
      <c r="N68" s="1">
        <f t="shared" si="11"/>
        <v>9757.152460489227</v>
      </c>
    </row>
  </sheetData>
  <sheetProtection/>
  <printOptions/>
  <pageMargins left="0.15748031496062992" right="0.2362204724409449" top="0.7480314960629921" bottom="0.7480314960629921" header="0.5118110236220472" footer="0.5118110236220472"/>
  <pageSetup fitToHeight="1" fitToWidth="1" horizontalDpi="600" verticalDpi="600" orientation="landscape" scale="37" r:id="rId1"/>
  <headerFooter alignWithMargins="0"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PageLayoutView="0" workbookViewId="0" topLeftCell="A11">
      <selection activeCell="B54" sqref="B54"/>
    </sheetView>
  </sheetViews>
  <sheetFormatPr defaultColWidth="9.140625" defaultRowHeight="12.75"/>
  <cols>
    <col min="6" max="6" width="9.28125" style="60" customWidth="1"/>
    <col min="7" max="7" width="9.57421875" style="60" customWidth="1"/>
    <col min="22" max="22" width="9.8515625" style="33" bestFit="1" customWidth="1"/>
    <col min="23" max="23" width="11.00390625" style="33" bestFit="1" customWidth="1"/>
  </cols>
  <sheetData>
    <row r="1" ht="12.75">
      <c r="A1" s="20" t="s">
        <v>89</v>
      </c>
    </row>
    <row r="2" spans="1:2" ht="12.75">
      <c r="A2" s="61"/>
      <c r="B2" s="61"/>
    </row>
    <row r="3" spans="1:7" ht="12.75">
      <c r="A3" s="62" t="s">
        <v>90</v>
      </c>
      <c r="B3" s="62"/>
      <c r="C3" s="62"/>
      <c r="D3" s="62"/>
      <c r="E3" s="62"/>
      <c r="F3" s="63"/>
      <c r="G3" s="63"/>
    </row>
    <row r="4" spans="1:7" ht="12.75">
      <c r="A4" s="64"/>
      <c r="B4" s="64"/>
      <c r="C4" s="64"/>
      <c r="D4" s="64"/>
      <c r="E4" s="64"/>
      <c r="F4" s="65"/>
      <c r="G4" s="65"/>
    </row>
    <row r="5" spans="1:23" ht="12.75">
      <c r="A5" s="66" t="s">
        <v>91</v>
      </c>
      <c r="B5" s="66">
        <v>1992</v>
      </c>
      <c r="C5" s="66">
        <v>1993</v>
      </c>
      <c r="D5" s="66">
        <v>1994</v>
      </c>
      <c r="E5" s="66">
        <v>1995</v>
      </c>
      <c r="F5" s="66">
        <v>1996</v>
      </c>
      <c r="G5" s="66">
        <v>1997</v>
      </c>
      <c r="H5" s="66">
        <v>1998</v>
      </c>
      <c r="I5" s="66">
        <v>1999</v>
      </c>
      <c r="J5" s="66">
        <v>2000</v>
      </c>
      <c r="K5" s="66">
        <f aca="true" t="shared" si="0" ref="K5:Q5">K25</f>
        <v>2001</v>
      </c>
      <c r="L5" s="66">
        <f t="shared" si="0"/>
        <v>2002</v>
      </c>
      <c r="M5" s="66">
        <f t="shared" si="0"/>
        <v>2003</v>
      </c>
      <c r="N5" s="66">
        <f t="shared" si="0"/>
        <v>2004</v>
      </c>
      <c r="O5" s="66">
        <f t="shared" si="0"/>
        <v>2005</v>
      </c>
      <c r="P5" s="66">
        <f t="shared" si="0"/>
        <v>2006</v>
      </c>
      <c r="Q5" s="66">
        <f t="shared" si="0"/>
        <v>2007</v>
      </c>
      <c r="R5" s="66">
        <v>2008</v>
      </c>
      <c r="S5" s="66">
        <v>2009</v>
      </c>
      <c r="T5" s="66">
        <v>2010</v>
      </c>
      <c r="U5" s="66">
        <v>2011</v>
      </c>
      <c r="V5" s="124" t="s">
        <v>105</v>
      </c>
      <c r="W5" s="124" t="s">
        <v>106</v>
      </c>
    </row>
    <row r="6" spans="1:7" ht="12.75">
      <c r="A6" s="64"/>
      <c r="B6" s="64"/>
      <c r="C6" s="64"/>
      <c r="D6" s="64"/>
      <c r="E6" s="64"/>
      <c r="F6" s="63"/>
      <c r="G6" s="63"/>
    </row>
    <row r="7" spans="1:9" ht="12.75">
      <c r="A7" s="67"/>
      <c r="B7" s="67"/>
      <c r="C7" s="67"/>
      <c r="D7" s="67"/>
      <c r="E7" s="67"/>
      <c r="F7" s="63"/>
      <c r="G7" s="63"/>
      <c r="H7" s="63"/>
      <c r="I7" s="63"/>
    </row>
    <row r="8" spans="1:26" ht="12.75">
      <c r="A8" s="67" t="s">
        <v>92</v>
      </c>
      <c r="B8" s="68">
        <v>850</v>
      </c>
      <c r="C8" s="68">
        <v>790.5</v>
      </c>
      <c r="D8" s="68">
        <v>1085.4</v>
      </c>
      <c r="E8" s="68">
        <v>749.6</v>
      </c>
      <c r="F8" s="68">
        <v>926.1</v>
      </c>
      <c r="G8" s="68">
        <v>913.6</v>
      </c>
      <c r="H8" s="68">
        <v>745.5</v>
      </c>
      <c r="I8" s="68">
        <v>745.5</v>
      </c>
      <c r="J8" s="68">
        <v>879.5</v>
      </c>
      <c r="K8" s="68">
        <v>824.3</v>
      </c>
      <c r="L8" s="68">
        <v>695.8</v>
      </c>
      <c r="M8" s="68">
        <v>990.4</v>
      </c>
      <c r="N8" s="68">
        <v>1041.1</v>
      </c>
      <c r="O8" s="68">
        <v>486</v>
      </c>
      <c r="P8" s="68">
        <v>706.5</v>
      </c>
      <c r="Q8" s="68">
        <v>826.1</v>
      </c>
      <c r="R8" s="68">
        <v>753.1</v>
      </c>
      <c r="S8" s="68">
        <v>995.4</v>
      </c>
      <c r="T8" s="68">
        <v>839.2</v>
      </c>
      <c r="U8" s="68">
        <v>891.9</v>
      </c>
      <c r="V8" s="125">
        <f>AVERAGE(L8:U8)</f>
        <v>822.55</v>
      </c>
      <c r="W8" s="126">
        <f>TREND(B8:U8,$B$25:$U$25,2013)</f>
        <v>812.748646616541</v>
      </c>
      <c r="Y8" s="18"/>
      <c r="Z8" s="69"/>
    </row>
    <row r="9" spans="1:26" ht="12.75">
      <c r="A9" s="67" t="s">
        <v>93</v>
      </c>
      <c r="B9" s="68">
        <v>775.6</v>
      </c>
      <c r="C9" s="68">
        <v>873.1</v>
      </c>
      <c r="D9" s="68">
        <v>845</v>
      </c>
      <c r="E9" s="68">
        <v>817.1</v>
      </c>
      <c r="F9" s="68">
        <v>814</v>
      </c>
      <c r="G9" s="68">
        <v>738.9</v>
      </c>
      <c r="H9" s="68">
        <v>587.1</v>
      </c>
      <c r="I9" s="68">
        <v>587.1</v>
      </c>
      <c r="J9" s="68">
        <v>731.4</v>
      </c>
      <c r="K9" s="68">
        <v>740.7</v>
      </c>
      <c r="L9" s="68">
        <v>664.9</v>
      </c>
      <c r="M9" s="68">
        <v>857.5</v>
      </c>
      <c r="N9" s="68">
        <v>746.8</v>
      </c>
      <c r="O9" s="68">
        <v>737.4</v>
      </c>
      <c r="P9" s="68">
        <v>751.2</v>
      </c>
      <c r="Q9" s="68">
        <v>847.5</v>
      </c>
      <c r="R9" s="68">
        <v>815.6</v>
      </c>
      <c r="S9" s="68">
        <v>723.7</v>
      </c>
      <c r="T9" s="68">
        <v>647.5</v>
      </c>
      <c r="U9" s="68">
        <v>650.9</v>
      </c>
      <c r="V9" s="125">
        <f aca="true" t="shared" si="1" ref="V9:V19">AVERAGE(L9:U9)</f>
        <v>744.3</v>
      </c>
      <c r="W9" s="126">
        <f aca="true" t="shared" si="2" ref="W9:W19">TREND(B9:U9,$B$25:$U$25,2013)</f>
        <v>700.8614285714284</v>
      </c>
      <c r="Y9" s="18"/>
      <c r="Z9" s="69"/>
    </row>
    <row r="10" spans="1:26" ht="12.75">
      <c r="A10" s="67" t="s">
        <v>94</v>
      </c>
      <c r="B10" s="68">
        <v>746.3</v>
      </c>
      <c r="C10" s="68">
        <v>683.9</v>
      </c>
      <c r="D10" s="68">
        <v>663.9</v>
      </c>
      <c r="E10" s="68">
        <v>574.3</v>
      </c>
      <c r="F10" s="68">
        <v>710.8</v>
      </c>
      <c r="G10" s="68">
        <v>729.5</v>
      </c>
      <c r="H10" s="68">
        <v>597.9</v>
      </c>
      <c r="I10" s="68">
        <v>597.9</v>
      </c>
      <c r="J10" s="68">
        <v>510</v>
      </c>
      <c r="K10" s="68">
        <v>666.8</v>
      </c>
      <c r="L10" s="68">
        <v>674.7</v>
      </c>
      <c r="M10" s="68">
        <v>705</v>
      </c>
      <c r="N10" s="68">
        <v>592.8</v>
      </c>
      <c r="O10" s="68">
        <v>746.4</v>
      </c>
      <c r="P10" s="68">
        <v>663.4</v>
      </c>
      <c r="Q10" s="68">
        <v>653.1</v>
      </c>
      <c r="R10" s="68">
        <v>760.5</v>
      </c>
      <c r="S10" s="68">
        <v>652.3</v>
      </c>
      <c r="T10" s="68">
        <v>427</v>
      </c>
      <c r="U10" s="68">
        <v>574.8</v>
      </c>
      <c r="V10" s="125">
        <f t="shared" si="1"/>
        <v>645</v>
      </c>
      <c r="W10" s="126">
        <f t="shared" si="2"/>
        <v>603.3154887218043</v>
      </c>
      <c r="Y10" s="18"/>
      <c r="Z10" s="69"/>
    </row>
    <row r="11" spans="1:26" ht="12.75">
      <c r="A11" s="67" t="s">
        <v>95</v>
      </c>
      <c r="B11" s="68">
        <v>443.9</v>
      </c>
      <c r="C11" s="68">
        <v>383.7</v>
      </c>
      <c r="D11" s="68">
        <v>389.8</v>
      </c>
      <c r="E11" s="68">
        <v>474.4</v>
      </c>
      <c r="F11" s="68">
        <v>467.2</v>
      </c>
      <c r="G11" s="68">
        <v>432.2</v>
      </c>
      <c r="H11" s="68">
        <v>349.9</v>
      </c>
      <c r="I11" s="68">
        <v>349.9</v>
      </c>
      <c r="J11" s="68">
        <v>408.7</v>
      </c>
      <c r="K11" s="68">
        <v>364.7</v>
      </c>
      <c r="L11" s="68">
        <v>399.4</v>
      </c>
      <c r="M11" s="68">
        <v>460.9</v>
      </c>
      <c r="N11" s="68">
        <v>395.9</v>
      </c>
      <c r="O11" s="68">
        <v>381.2</v>
      </c>
      <c r="P11" s="68">
        <v>362.7</v>
      </c>
      <c r="Q11" s="68">
        <v>426.6</v>
      </c>
      <c r="R11" s="68">
        <v>348.6</v>
      </c>
      <c r="S11" s="68">
        <v>379.9</v>
      </c>
      <c r="T11" s="68">
        <v>287.3</v>
      </c>
      <c r="U11" s="68">
        <v>400.5</v>
      </c>
      <c r="V11" s="125">
        <f t="shared" si="1"/>
        <v>384.3</v>
      </c>
      <c r="W11" s="126">
        <f t="shared" si="2"/>
        <v>354.9124812030077</v>
      </c>
      <c r="Y11" s="18"/>
      <c r="Z11" s="69"/>
    </row>
    <row r="12" spans="1:26" ht="12.75">
      <c r="A12" s="67" t="s">
        <v>96</v>
      </c>
      <c r="B12" s="68">
        <v>217</v>
      </c>
      <c r="C12" s="68">
        <v>219.1</v>
      </c>
      <c r="D12" s="68">
        <v>249.4</v>
      </c>
      <c r="E12" s="68">
        <v>214.7</v>
      </c>
      <c r="F12" s="68">
        <v>230.5</v>
      </c>
      <c r="G12" s="68">
        <v>317.5</v>
      </c>
      <c r="H12" s="68">
        <v>90.2</v>
      </c>
      <c r="I12" s="68">
        <v>90.2</v>
      </c>
      <c r="J12" s="68">
        <v>199.7</v>
      </c>
      <c r="K12" s="68">
        <v>160.6</v>
      </c>
      <c r="L12" s="68">
        <v>285.9</v>
      </c>
      <c r="M12" s="68">
        <v>212.7</v>
      </c>
      <c r="N12" s="68">
        <v>236</v>
      </c>
      <c r="O12" s="68">
        <v>252.2</v>
      </c>
      <c r="P12" s="68">
        <v>181.7</v>
      </c>
      <c r="Q12" s="68">
        <v>203.5</v>
      </c>
      <c r="R12" s="68">
        <v>277.3</v>
      </c>
      <c r="S12" s="68">
        <v>231</v>
      </c>
      <c r="T12" s="68">
        <v>151.6</v>
      </c>
      <c r="U12" s="68">
        <v>154.9</v>
      </c>
      <c r="V12" s="125">
        <f t="shared" si="1"/>
        <v>218.67999999999998</v>
      </c>
      <c r="W12" s="126">
        <f t="shared" si="2"/>
        <v>197.70436090225576</v>
      </c>
      <c r="Y12" s="18"/>
      <c r="Z12" s="69"/>
    </row>
    <row r="13" spans="1:26" ht="12.75">
      <c r="A13" s="67" t="s">
        <v>97</v>
      </c>
      <c r="B13" s="68">
        <v>120.2</v>
      </c>
      <c r="C13" s="68">
        <v>79.8</v>
      </c>
      <c r="D13" s="68">
        <v>78.4</v>
      </c>
      <c r="E13" s="68">
        <v>47</v>
      </c>
      <c r="F13" s="68">
        <v>47.5</v>
      </c>
      <c r="G13" s="68">
        <v>33.2</v>
      </c>
      <c r="H13" s="68">
        <v>75.4</v>
      </c>
      <c r="I13" s="68">
        <v>75.4</v>
      </c>
      <c r="J13" s="68">
        <v>94</v>
      </c>
      <c r="K13" s="68">
        <v>68.1</v>
      </c>
      <c r="L13" s="68">
        <v>65</v>
      </c>
      <c r="M13" s="68">
        <v>74.8</v>
      </c>
      <c r="N13" s="68">
        <v>110.4</v>
      </c>
      <c r="O13" s="68">
        <v>33.5</v>
      </c>
      <c r="P13" s="68">
        <v>58.5</v>
      </c>
      <c r="Q13" s="68">
        <v>62.6</v>
      </c>
      <c r="R13" s="68">
        <v>48.4</v>
      </c>
      <c r="S13" s="68">
        <v>105.4</v>
      </c>
      <c r="T13" s="68">
        <v>66.2</v>
      </c>
      <c r="U13" s="68">
        <v>57.7</v>
      </c>
      <c r="V13" s="125">
        <f t="shared" si="1"/>
        <v>68.25000000000001</v>
      </c>
      <c r="W13" s="126">
        <f t="shared" si="2"/>
        <v>63.324586466165556</v>
      </c>
      <c r="Y13" s="18"/>
      <c r="Z13" s="69"/>
    </row>
    <row r="14" spans="1:26" ht="12.75">
      <c r="A14" s="67" t="s">
        <v>98</v>
      </c>
      <c r="B14" s="68">
        <v>75.8</v>
      </c>
      <c r="C14" s="68">
        <v>10</v>
      </c>
      <c r="D14" s="68">
        <v>18</v>
      </c>
      <c r="E14" s="68">
        <v>30.3</v>
      </c>
      <c r="F14" s="68">
        <v>31.4</v>
      </c>
      <c r="G14" s="68">
        <v>41.7</v>
      </c>
      <c r="H14" s="68">
        <v>24.7</v>
      </c>
      <c r="I14" s="68">
        <v>24.7</v>
      </c>
      <c r="J14" s="68">
        <v>44.8</v>
      </c>
      <c r="K14" s="68">
        <v>46.1</v>
      </c>
      <c r="L14" s="68">
        <v>19.1</v>
      </c>
      <c r="M14" s="68">
        <v>21.9</v>
      </c>
      <c r="N14" s="68">
        <v>21.5</v>
      </c>
      <c r="O14" s="68">
        <v>14.8</v>
      </c>
      <c r="P14" s="68">
        <v>4.9</v>
      </c>
      <c r="Q14" s="68">
        <v>39.5</v>
      </c>
      <c r="R14" s="68">
        <v>13.9</v>
      </c>
      <c r="S14" s="68">
        <v>38.6</v>
      </c>
      <c r="T14" s="68">
        <v>13.1</v>
      </c>
      <c r="U14" s="68">
        <v>2</v>
      </c>
      <c r="V14" s="125">
        <f t="shared" si="1"/>
        <v>18.93</v>
      </c>
      <c r="W14" s="126">
        <f t="shared" si="2"/>
        <v>12.341353383458681</v>
      </c>
      <c r="Y14" s="18"/>
      <c r="Z14" s="69"/>
    </row>
    <row r="15" spans="1:26" ht="12.75">
      <c r="A15" s="67" t="s">
        <v>99</v>
      </c>
      <c r="B15" s="68">
        <v>94.5</v>
      </c>
      <c r="C15" s="68">
        <v>35.7</v>
      </c>
      <c r="D15" s="68">
        <v>71.6</v>
      </c>
      <c r="E15" s="68">
        <v>19.7</v>
      </c>
      <c r="F15" s="68">
        <v>25.1</v>
      </c>
      <c r="G15" s="68">
        <v>68.6</v>
      </c>
      <c r="H15" s="68">
        <v>22.8</v>
      </c>
      <c r="I15" s="68">
        <v>22.8</v>
      </c>
      <c r="J15" s="68">
        <v>51.2</v>
      </c>
      <c r="K15" s="68">
        <v>14.3</v>
      </c>
      <c r="L15" s="68">
        <v>25.4</v>
      </c>
      <c r="M15" s="68">
        <v>27.4</v>
      </c>
      <c r="N15" s="68">
        <v>69.8</v>
      </c>
      <c r="O15" s="68">
        <v>13.2</v>
      </c>
      <c r="P15" s="68">
        <v>43.7</v>
      </c>
      <c r="Q15" s="68">
        <v>26.7</v>
      </c>
      <c r="R15" s="68">
        <v>39.4</v>
      </c>
      <c r="S15" s="68">
        <v>56.9</v>
      </c>
      <c r="T15" s="68">
        <v>25.9</v>
      </c>
      <c r="U15" s="68">
        <v>15.9</v>
      </c>
      <c r="V15" s="125">
        <f t="shared" si="1"/>
        <v>34.42999999999999</v>
      </c>
      <c r="W15" s="126">
        <f t="shared" si="2"/>
        <v>23.628421052631438</v>
      </c>
      <c r="Y15" s="18"/>
      <c r="Z15" s="69"/>
    </row>
    <row r="16" spans="1:26" ht="12.75">
      <c r="A16" s="67" t="s">
        <v>100</v>
      </c>
      <c r="B16" s="68">
        <v>162.5</v>
      </c>
      <c r="C16" s="68">
        <v>215.8</v>
      </c>
      <c r="D16" s="68">
        <v>136.3</v>
      </c>
      <c r="E16" s="68">
        <v>201.6</v>
      </c>
      <c r="F16" s="68">
        <v>123.2</v>
      </c>
      <c r="G16" s="68">
        <v>153.5</v>
      </c>
      <c r="H16" s="68">
        <v>109.1</v>
      </c>
      <c r="I16" s="68">
        <v>109.1</v>
      </c>
      <c r="J16" s="68">
        <v>178</v>
      </c>
      <c r="K16" s="68">
        <v>151.2</v>
      </c>
      <c r="L16" s="68">
        <v>78</v>
      </c>
      <c r="M16" s="68">
        <v>113.7</v>
      </c>
      <c r="N16" s="68">
        <v>88.4</v>
      </c>
      <c r="O16" s="68">
        <v>78</v>
      </c>
      <c r="P16" s="68">
        <v>163.5</v>
      </c>
      <c r="Q16" s="68">
        <v>100.1</v>
      </c>
      <c r="R16" s="68">
        <v>132.7</v>
      </c>
      <c r="S16" s="68">
        <v>115.6</v>
      </c>
      <c r="T16" s="68">
        <v>143.1</v>
      </c>
      <c r="U16" s="68">
        <v>109.1</v>
      </c>
      <c r="V16" s="125">
        <f t="shared" si="1"/>
        <v>112.22</v>
      </c>
      <c r="W16" s="126">
        <f t="shared" si="2"/>
        <v>96.7391729323308</v>
      </c>
      <c r="Y16" s="18"/>
      <c r="Z16" s="69"/>
    </row>
    <row r="17" spans="1:26" ht="12.75">
      <c r="A17" s="67" t="s">
        <v>101</v>
      </c>
      <c r="B17" s="68">
        <v>401.6</v>
      </c>
      <c r="C17" s="68">
        <v>377.8</v>
      </c>
      <c r="D17" s="68">
        <v>306.7</v>
      </c>
      <c r="E17" s="68">
        <v>281.7</v>
      </c>
      <c r="F17" s="68">
        <v>342</v>
      </c>
      <c r="G17" s="68">
        <v>343.8</v>
      </c>
      <c r="H17" s="68">
        <v>317.3</v>
      </c>
      <c r="I17" s="68">
        <v>317.3</v>
      </c>
      <c r="J17" s="68">
        <v>320.7</v>
      </c>
      <c r="K17" s="68">
        <v>312.2</v>
      </c>
      <c r="L17" s="68">
        <v>391.4</v>
      </c>
      <c r="M17" s="68">
        <v>349.8</v>
      </c>
      <c r="N17" s="68">
        <v>310.8</v>
      </c>
      <c r="O17" s="68">
        <v>279.7</v>
      </c>
      <c r="P17" s="68">
        <v>366.1</v>
      </c>
      <c r="Q17" s="68">
        <v>226.7</v>
      </c>
      <c r="R17" s="68">
        <v>372.5</v>
      </c>
      <c r="S17" s="68">
        <v>341.6</v>
      </c>
      <c r="T17" s="68">
        <v>318.6</v>
      </c>
      <c r="U17" s="68">
        <v>290</v>
      </c>
      <c r="V17" s="125">
        <f t="shared" si="1"/>
        <v>324.71999999999997</v>
      </c>
      <c r="W17" s="126">
        <f t="shared" si="2"/>
        <v>305.7634586466165</v>
      </c>
      <c r="Y17" s="18"/>
      <c r="Z17" s="69"/>
    </row>
    <row r="18" spans="1:26" ht="12.75">
      <c r="A18" s="67" t="s">
        <v>102</v>
      </c>
      <c r="B18" s="68">
        <v>544.5</v>
      </c>
      <c r="C18" s="68">
        <v>532.3</v>
      </c>
      <c r="D18" s="68">
        <v>455</v>
      </c>
      <c r="E18" s="68">
        <v>629.2</v>
      </c>
      <c r="F18" s="68">
        <v>609.1</v>
      </c>
      <c r="G18" s="68">
        <v>533.6</v>
      </c>
      <c r="H18" s="68">
        <v>476.8</v>
      </c>
      <c r="I18" s="68">
        <v>476.8</v>
      </c>
      <c r="J18" s="68">
        <v>522.5</v>
      </c>
      <c r="K18" s="68">
        <v>410.8</v>
      </c>
      <c r="L18" s="68">
        <v>561.6</v>
      </c>
      <c r="M18" s="68">
        <v>483.2</v>
      </c>
      <c r="N18" s="68">
        <v>485.2</v>
      </c>
      <c r="O18" s="68">
        <v>491.1</v>
      </c>
      <c r="P18" s="68">
        <v>441.1</v>
      </c>
      <c r="Q18" s="68">
        <v>555.2</v>
      </c>
      <c r="R18" s="68">
        <v>555.9</v>
      </c>
      <c r="S18" s="68">
        <v>414.1</v>
      </c>
      <c r="T18" s="68">
        <v>398.8</v>
      </c>
      <c r="U18" s="68">
        <v>432.4</v>
      </c>
      <c r="V18" s="125">
        <f t="shared" si="1"/>
        <v>481.85999999999996</v>
      </c>
      <c r="W18" s="126">
        <f t="shared" si="2"/>
        <v>438.0642857142866</v>
      </c>
      <c r="Y18" s="18"/>
      <c r="Z18" s="69"/>
    </row>
    <row r="19" spans="1:26" ht="12.75">
      <c r="A19" s="67" t="s">
        <v>103</v>
      </c>
      <c r="B19" s="68">
        <v>722.2</v>
      </c>
      <c r="C19" s="68">
        <v>746.7</v>
      </c>
      <c r="D19" s="68">
        <v>673.2</v>
      </c>
      <c r="E19" s="68">
        <v>872.1</v>
      </c>
      <c r="F19" s="68">
        <v>657.5</v>
      </c>
      <c r="G19" s="68">
        <v>697.5</v>
      </c>
      <c r="H19" s="68">
        <v>655.9</v>
      </c>
      <c r="I19" s="68">
        <v>655.9</v>
      </c>
      <c r="J19" s="68">
        <v>919.1</v>
      </c>
      <c r="K19" s="68">
        <v>605.8</v>
      </c>
      <c r="L19" s="68">
        <v>753.7</v>
      </c>
      <c r="M19" s="68">
        <v>676.7</v>
      </c>
      <c r="N19" s="68">
        <v>801</v>
      </c>
      <c r="O19" s="68">
        <v>785.6</v>
      </c>
      <c r="P19" s="68">
        <v>610</v>
      </c>
      <c r="Q19" s="68">
        <v>766.2</v>
      </c>
      <c r="R19" s="68">
        <v>782.6</v>
      </c>
      <c r="S19" s="68">
        <v>750.2</v>
      </c>
      <c r="T19" s="68">
        <v>776.1</v>
      </c>
      <c r="U19" s="68">
        <v>636</v>
      </c>
      <c r="V19" s="125">
        <f t="shared" si="1"/>
        <v>733.8100000000001</v>
      </c>
      <c r="W19" s="126">
        <f t="shared" si="2"/>
        <v>729.9306015037596</v>
      </c>
      <c r="Y19" s="18"/>
      <c r="Z19" s="69"/>
    </row>
    <row r="20" spans="1:5" ht="12.75">
      <c r="A20" s="67"/>
      <c r="B20" s="67"/>
      <c r="C20" s="67"/>
      <c r="D20" s="67"/>
      <c r="E20" s="67"/>
    </row>
    <row r="21" spans="1:21" ht="12.75">
      <c r="A21" s="67" t="s">
        <v>10</v>
      </c>
      <c r="B21" s="68">
        <v>5154.1</v>
      </c>
      <c r="C21" s="68">
        <v>4948.4</v>
      </c>
      <c r="D21" s="68">
        <v>4972.7</v>
      </c>
      <c r="E21" s="68">
        <v>4911.7</v>
      </c>
      <c r="F21" s="68">
        <v>4984.4</v>
      </c>
      <c r="G21" s="68">
        <v>5003.6</v>
      </c>
      <c r="H21" s="68">
        <v>4052.6</v>
      </c>
      <c r="I21" s="68">
        <v>4052.6</v>
      </c>
      <c r="J21" s="68">
        <v>4859.6</v>
      </c>
      <c r="K21" s="68">
        <f aca="true" t="shared" si="3" ref="K21:Q21">SUM(K8:K20)</f>
        <v>4365.599999999999</v>
      </c>
      <c r="L21" s="68">
        <f t="shared" si="3"/>
        <v>4614.9</v>
      </c>
      <c r="M21" s="68">
        <f t="shared" si="3"/>
        <v>4974</v>
      </c>
      <c r="N21" s="68">
        <f t="shared" si="3"/>
        <v>4899.700000000001</v>
      </c>
      <c r="O21" s="68">
        <f t="shared" si="3"/>
        <v>4299.099999999999</v>
      </c>
      <c r="P21" s="68">
        <f t="shared" si="3"/>
        <v>4353.299999999999</v>
      </c>
      <c r="Q21" s="68">
        <f t="shared" si="3"/>
        <v>4733.799999999999</v>
      </c>
      <c r="R21" s="68">
        <v>4900.5</v>
      </c>
      <c r="S21" s="68">
        <v>4804.7</v>
      </c>
      <c r="T21" s="68">
        <v>4094.4</v>
      </c>
      <c r="U21" s="68">
        <v>4216.1</v>
      </c>
    </row>
    <row r="22" spans="1:7" ht="12.75">
      <c r="A22" s="62"/>
      <c r="B22" s="62"/>
      <c r="C22" s="62"/>
      <c r="D22" s="62"/>
      <c r="E22" s="62"/>
      <c r="F22" s="63"/>
      <c r="G22" s="63"/>
    </row>
    <row r="23" spans="1:7" ht="12.75">
      <c r="A23" s="62" t="s">
        <v>104</v>
      </c>
      <c r="B23" s="62"/>
      <c r="C23" s="62"/>
      <c r="D23" s="62"/>
      <c r="E23" s="62"/>
      <c r="F23" s="63"/>
      <c r="G23" s="63"/>
    </row>
    <row r="24" spans="1:7" ht="12.75">
      <c r="A24" s="64"/>
      <c r="B24" s="64"/>
      <c r="C24" s="64"/>
      <c r="D24" s="64"/>
      <c r="E24" s="64"/>
      <c r="F24" s="65"/>
      <c r="G24" s="65"/>
    </row>
    <row r="25" spans="1:23" ht="12.75">
      <c r="A25" s="66" t="s">
        <v>91</v>
      </c>
      <c r="B25" s="66">
        <v>1992</v>
      </c>
      <c r="C25" s="66">
        <v>1993</v>
      </c>
      <c r="D25" s="66">
        <v>1994</v>
      </c>
      <c r="E25" s="66">
        <v>1995</v>
      </c>
      <c r="F25" s="66">
        <v>1996</v>
      </c>
      <c r="G25" s="66">
        <v>1997</v>
      </c>
      <c r="H25" s="66">
        <v>1998</v>
      </c>
      <c r="I25" s="66">
        <v>1999</v>
      </c>
      <c r="J25" s="66">
        <v>2000</v>
      </c>
      <c r="K25" s="66">
        <v>2001</v>
      </c>
      <c r="L25" s="66">
        <v>2002</v>
      </c>
      <c r="M25" s="66">
        <v>2003</v>
      </c>
      <c r="N25" s="66">
        <v>2004</v>
      </c>
      <c r="O25" s="66">
        <v>2005</v>
      </c>
      <c r="P25" s="66">
        <v>2006</v>
      </c>
      <c r="Q25" s="66">
        <v>2007</v>
      </c>
      <c r="R25" s="66">
        <v>2008</v>
      </c>
      <c r="S25" s="66">
        <v>2009</v>
      </c>
      <c r="T25" s="66">
        <v>2010</v>
      </c>
      <c r="U25" s="66">
        <v>2011</v>
      </c>
      <c r="V25" s="124" t="s">
        <v>105</v>
      </c>
      <c r="W25" s="124" t="s">
        <v>106</v>
      </c>
    </row>
    <row r="26" spans="1:7" ht="12.75">
      <c r="A26" s="64"/>
      <c r="B26" s="64"/>
      <c r="C26" s="64"/>
      <c r="D26" s="64"/>
      <c r="E26" s="64"/>
      <c r="F26" s="63"/>
      <c r="G26" s="63"/>
    </row>
    <row r="27" spans="6:7" ht="12.75">
      <c r="F27" s="63"/>
      <c r="G27" s="63"/>
    </row>
    <row r="28" spans="1:28" ht="12.75">
      <c r="A28" s="67" t="s">
        <v>92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125">
        <f>AVERAGE(L28:U28)</f>
        <v>0</v>
      </c>
      <c r="W28" s="126">
        <f>TREND(B28:U28,$B$25:$U$25,2013)</f>
        <v>0</v>
      </c>
      <c r="Y28" s="18"/>
      <c r="Z28" s="69"/>
      <c r="AA28" s="68"/>
      <c r="AB28" s="68"/>
    </row>
    <row r="29" spans="1:28" ht="12.75">
      <c r="A29" s="67" t="s">
        <v>93</v>
      </c>
      <c r="B29" s="68">
        <v>0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125">
        <f aca="true" t="shared" si="4" ref="V29:V39">AVERAGE(L29:U29)</f>
        <v>0</v>
      </c>
      <c r="W29" s="126">
        <f aca="true" t="shared" si="5" ref="W29:W39">TREND(B29:U29,$B$25:$U$25,2013)</f>
        <v>0</v>
      </c>
      <c r="Y29" s="18"/>
      <c r="Z29" s="69"/>
      <c r="AA29" s="68"/>
      <c r="AB29" s="68"/>
    </row>
    <row r="30" spans="1:28" ht="12.75">
      <c r="A30" s="67" t="s">
        <v>94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125">
        <f t="shared" si="4"/>
        <v>0</v>
      </c>
      <c r="W30" s="126">
        <f t="shared" si="5"/>
        <v>0</v>
      </c>
      <c r="Y30" s="18"/>
      <c r="Z30" s="69"/>
      <c r="AA30" s="68"/>
      <c r="AB30" s="68"/>
    </row>
    <row r="31" spans="1:28" ht="12.75">
      <c r="A31" s="67" t="s">
        <v>95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0.1</v>
      </c>
      <c r="L31" s="68">
        <v>4.5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125">
        <f t="shared" si="4"/>
        <v>0.45</v>
      </c>
      <c r="W31" s="126">
        <f t="shared" si="5"/>
        <v>0.2680451127819552</v>
      </c>
      <c r="Y31" s="18"/>
      <c r="Z31" s="69"/>
      <c r="AA31" s="68"/>
      <c r="AB31" s="68"/>
    </row>
    <row r="32" spans="1:28" ht="12.75">
      <c r="A32" s="67" t="s">
        <v>96</v>
      </c>
      <c r="B32" s="68">
        <v>2.7</v>
      </c>
      <c r="C32" s="68">
        <v>0.2</v>
      </c>
      <c r="D32" s="68">
        <v>2.1</v>
      </c>
      <c r="E32" s="68">
        <v>0</v>
      </c>
      <c r="F32" s="68">
        <v>2</v>
      </c>
      <c r="G32" s="68">
        <v>0</v>
      </c>
      <c r="H32" s="68">
        <v>5.3</v>
      </c>
      <c r="I32" s="68">
        <v>5.3</v>
      </c>
      <c r="J32" s="68">
        <v>4.9</v>
      </c>
      <c r="K32" s="68">
        <v>2.2</v>
      </c>
      <c r="L32" s="68">
        <v>1.8</v>
      </c>
      <c r="M32" s="68">
        <v>0</v>
      </c>
      <c r="N32" s="68">
        <v>5.5</v>
      </c>
      <c r="O32" s="68">
        <v>0.4</v>
      </c>
      <c r="P32" s="68">
        <v>14</v>
      </c>
      <c r="Q32" s="68">
        <v>9.1</v>
      </c>
      <c r="R32" s="68">
        <v>0</v>
      </c>
      <c r="S32" s="68">
        <v>0</v>
      </c>
      <c r="T32" s="68">
        <v>22.9</v>
      </c>
      <c r="U32" s="68">
        <v>10.1</v>
      </c>
      <c r="V32" s="125">
        <f t="shared" si="4"/>
        <v>6.38</v>
      </c>
      <c r="W32" s="126">
        <f t="shared" si="5"/>
        <v>10.051353383458604</v>
      </c>
      <c r="Y32" s="18"/>
      <c r="Z32" s="69"/>
      <c r="AA32" s="68"/>
      <c r="AB32" s="68"/>
    </row>
    <row r="33" spans="1:28" ht="12.75">
      <c r="A33" s="67" t="s">
        <v>97</v>
      </c>
      <c r="B33" s="68">
        <v>5.4</v>
      </c>
      <c r="C33" s="68">
        <v>8.2</v>
      </c>
      <c r="D33" s="68">
        <v>32.7</v>
      </c>
      <c r="E33" s="68">
        <v>51.9</v>
      </c>
      <c r="F33" s="68">
        <v>21.9</v>
      </c>
      <c r="G33" s="68">
        <v>16.4</v>
      </c>
      <c r="H33" s="68">
        <v>50.3</v>
      </c>
      <c r="I33" s="68">
        <v>50.3</v>
      </c>
      <c r="J33" s="68">
        <v>11.4</v>
      </c>
      <c r="K33" s="68">
        <v>36.7</v>
      </c>
      <c r="L33" s="68">
        <v>39.3</v>
      </c>
      <c r="M33" s="68">
        <v>15.8</v>
      </c>
      <c r="N33" s="68">
        <v>15.2</v>
      </c>
      <c r="O33" s="68">
        <v>76.8</v>
      </c>
      <c r="P33" s="68">
        <v>31.3</v>
      </c>
      <c r="Q33" s="68">
        <v>43</v>
      </c>
      <c r="R33" s="68">
        <v>36.4</v>
      </c>
      <c r="S33" s="68">
        <v>19.1</v>
      </c>
      <c r="T33" s="68">
        <v>12</v>
      </c>
      <c r="U33" s="68">
        <v>13.4</v>
      </c>
      <c r="V33" s="125">
        <f t="shared" si="4"/>
        <v>30.23</v>
      </c>
      <c r="W33" s="126">
        <f t="shared" si="5"/>
        <v>31.131127819548908</v>
      </c>
      <c r="Y33" s="18"/>
      <c r="Z33" s="69"/>
      <c r="AA33" s="68"/>
      <c r="AB33" s="68"/>
    </row>
    <row r="34" spans="1:28" ht="12.75">
      <c r="A34" s="67" t="s">
        <v>98</v>
      </c>
      <c r="B34" s="68">
        <v>2.7</v>
      </c>
      <c r="C34" s="68">
        <v>50.3</v>
      </c>
      <c r="D34" s="68">
        <v>44</v>
      </c>
      <c r="E34" s="68">
        <v>61.4</v>
      </c>
      <c r="F34" s="68">
        <v>14.4</v>
      </c>
      <c r="G34" s="68">
        <v>40</v>
      </c>
      <c r="H34" s="68">
        <v>39.9</v>
      </c>
      <c r="I34" s="68">
        <v>39.9</v>
      </c>
      <c r="J34" s="68">
        <v>28.2</v>
      </c>
      <c r="K34" s="68">
        <v>51.7</v>
      </c>
      <c r="L34" s="68">
        <v>79.2</v>
      </c>
      <c r="M34" s="68">
        <v>39</v>
      </c>
      <c r="N34" s="68">
        <v>45.2</v>
      </c>
      <c r="O34" s="68">
        <v>87.8</v>
      </c>
      <c r="P34" s="68">
        <v>83.4</v>
      </c>
      <c r="Q34" s="68">
        <v>43.6</v>
      </c>
      <c r="R34" s="68">
        <v>54.1</v>
      </c>
      <c r="S34" s="68">
        <v>10.3</v>
      </c>
      <c r="T34" s="68">
        <v>95.7</v>
      </c>
      <c r="U34" s="68">
        <v>83</v>
      </c>
      <c r="V34" s="125">
        <f t="shared" si="4"/>
        <v>62.13000000000001</v>
      </c>
      <c r="W34" s="126">
        <f t="shared" si="5"/>
        <v>74.16511278195412</v>
      </c>
      <c r="Y34" s="18"/>
      <c r="Z34" s="69"/>
      <c r="AA34" s="68"/>
      <c r="AB34" s="68"/>
    </row>
    <row r="35" spans="1:28" ht="12.75">
      <c r="A35" s="67" t="s">
        <v>99</v>
      </c>
      <c r="B35" s="68">
        <v>12.5</v>
      </c>
      <c r="C35" s="68">
        <v>48.9</v>
      </c>
      <c r="D35" s="68">
        <v>13.5</v>
      </c>
      <c r="E35" s="68">
        <v>64.7</v>
      </c>
      <c r="F35" s="68">
        <v>38.5</v>
      </c>
      <c r="G35" s="68">
        <v>14</v>
      </c>
      <c r="H35" s="68">
        <v>45.4</v>
      </c>
      <c r="I35" s="68">
        <v>45.4</v>
      </c>
      <c r="J35" s="68">
        <v>29.3</v>
      </c>
      <c r="K35" s="68">
        <v>60.7</v>
      </c>
      <c r="L35" s="68">
        <v>46.8</v>
      </c>
      <c r="M35" s="68">
        <v>60.9</v>
      </c>
      <c r="N35" s="68">
        <v>28.4</v>
      </c>
      <c r="O35" s="68">
        <v>59.8</v>
      </c>
      <c r="P35" s="68">
        <v>39.9</v>
      </c>
      <c r="Q35" s="68">
        <v>52.3</v>
      </c>
      <c r="R35" s="68">
        <v>26</v>
      </c>
      <c r="S35" s="68">
        <v>39.8</v>
      </c>
      <c r="T35" s="68">
        <v>61.1</v>
      </c>
      <c r="U35" s="68">
        <v>38</v>
      </c>
      <c r="V35" s="125">
        <f t="shared" si="4"/>
        <v>45.3</v>
      </c>
      <c r="W35" s="126">
        <f t="shared" si="5"/>
        <v>50.50278195488727</v>
      </c>
      <c r="Y35" s="18"/>
      <c r="Z35" s="69"/>
      <c r="AA35" s="68"/>
      <c r="AB35" s="68"/>
    </row>
    <row r="36" spans="1:28" ht="12.75">
      <c r="A36" s="67" t="s">
        <v>100</v>
      </c>
      <c r="B36" s="68">
        <v>8.6</v>
      </c>
      <c r="C36" s="68">
        <v>7.4</v>
      </c>
      <c r="D36" s="68">
        <v>2.7</v>
      </c>
      <c r="E36" s="68">
        <v>0.4</v>
      </c>
      <c r="F36" s="68">
        <v>9</v>
      </c>
      <c r="G36" s="68">
        <v>0.7</v>
      </c>
      <c r="H36" s="68">
        <v>6</v>
      </c>
      <c r="I36" s="68">
        <v>6</v>
      </c>
      <c r="J36" s="68">
        <v>12.1</v>
      </c>
      <c r="K36" s="68">
        <v>15.4</v>
      </c>
      <c r="L36" s="68">
        <v>31.5</v>
      </c>
      <c r="M36" s="68">
        <v>5.6</v>
      </c>
      <c r="N36" s="68">
        <v>17.9</v>
      </c>
      <c r="O36" s="68">
        <v>12.6</v>
      </c>
      <c r="P36" s="68">
        <v>0.7</v>
      </c>
      <c r="Q36" s="68">
        <v>14.4</v>
      </c>
      <c r="R36" s="68">
        <v>5.1</v>
      </c>
      <c r="S36" s="68">
        <v>2.7</v>
      </c>
      <c r="T36" s="68">
        <v>17.5</v>
      </c>
      <c r="U36" s="68">
        <v>17.5</v>
      </c>
      <c r="V36" s="125">
        <f t="shared" si="4"/>
        <v>12.55</v>
      </c>
      <c r="W36" s="126">
        <f t="shared" si="5"/>
        <v>14.563233082706802</v>
      </c>
      <c r="Y36" s="18"/>
      <c r="Z36" s="69"/>
      <c r="AA36" s="68"/>
      <c r="AB36" s="68"/>
    </row>
    <row r="37" spans="1:28" ht="12.75">
      <c r="A37" s="67" t="s">
        <v>101</v>
      </c>
      <c r="B37" s="68">
        <v>0</v>
      </c>
      <c r="C37" s="68">
        <v>0</v>
      </c>
      <c r="D37" s="68">
        <v>1.7</v>
      </c>
      <c r="E37" s="68">
        <v>0</v>
      </c>
      <c r="F37" s="68">
        <v>0</v>
      </c>
      <c r="G37" s="68">
        <v>1.4</v>
      </c>
      <c r="H37" s="68">
        <v>0</v>
      </c>
      <c r="I37" s="68">
        <v>0</v>
      </c>
      <c r="J37" s="68">
        <v>0</v>
      </c>
      <c r="K37" s="68">
        <v>0</v>
      </c>
      <c r="L37" s="68">
        <v>2.2</v>
      </c>
      <c r="M37" s="68">
        <v>0</v>
      </c>
      <c r="N37" s="68">
        <v>0</v>
      </c>
      <c r="O37" s="68">
        <v>6.7</v>
      </c>
      <c r="P37" s="68">
        <v>0</v>
      </c>
      <c r="Q37" s="68">
        <v>1.5</v>
      </c>
      <c r="R37" s="68">
        <v>0</v>
      </c>
      <c r="S37" s="68">
        <v>0</v>
      </c>
      <c r="T37" s="68">
        <v>0</v>
      </c>
      <c r="U37" s="68">
        <v>0</v>
      </c>
      <c r="V37" s="125">
        <f t="shared" si="4"/>
        <v>1.04</v>
      </c>
      <c r="W37" s="126">
        <f t="shared" si="5"/>
        <v>0.9127819548872154</v>
      </c>
      <c r="Y37" s="18"/>
      <c r="Z37" s="69"/>
      <c r="AA37" s="68"/>
      <c r="AB37" s="68"/>
    </row>
    <row r="38" spans="1:28" ht="12.75">
      <c r="A38" s="67" t="s">
        <v>102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125">
        <f t="shared" si="4"/>
        <v>0</v>
      </c>
      <c r="W38" s="126">
        <f t="shared" si="5"/>
        <v>0</v>
      </c>
      <c r="Y38" s="18"/>
      <c r="Z38" s="69"/>
      <c r="AA38" s="68"/>
      <c r="AB38" s="68"/>
    </row>
    <row r="39" spans="1:28" ht="12.75">
      <c r="A39" s="67" t="s">
        <v>103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125">
        <f t="shared" si="4"/>
        <v>0</v>
      </c>
      <c r="W39" s="126">
        <f t="shared" si="5"/>
        <v>0</v>
      </c>
      <c r="Y39" s="18"/>
      <c r="Z39" s="69"/>
      <c r="AA39" s="68"/>
      <c r="AB39" s="68"/>
    </row>
    <row r="40" spans="1:9" ht="12.75">
      <c r="A40" s="67"/>
      <c r="B40" s="67"/>
      <c r="C40" s="67"/>
      <c r="D40" s="67"/>
      <c r="E40" s="67"/>
      <c r="F40" s="63"/>
      <c r="G40" s="63"/>
      <c r="H40" s="63"/>
      <c r="I40" s="63"/>
    </row>
    <row r="41" spans="1:23" ht="12.75">
      <c r="A41" s="67" t="s">
        <v>10</v>
      </c>
      <c r="B41" s="68">
        <v>31.9</v>
      </c>
      <c r="C41" s="68">
        <v>115</v>
      </c>
      <c r="D41" s="68">
        <v>96.7</v>
      </c>
      <c r="E41" s="68">
        <v>178.4</v>
      </c>
      <c r="F41" s="68">
        <v>85.8</v>
      </c>
      <c r="G41" s="68">
        <v>72.5</v>
      </c>
      <c r="H41" s="68">
        <v>146.9</v>
      </c>
      <c r="I41" s="68">
        <v>146.9</v>
      </c>
      <c r="J41" s="68">
        <v>85.9</v>
      </c>
      <c r="K41" s="68">
        <f aca="true" t="shared" si="6" ref="K41:Q41">SUM(K28:K40)</f>
        <v>166.8</v>
      </c>
      <c r="L41" s="68">
        <f t="shared" si="6"/>
        <v>205.29999999999998</v>
      </c>
      <c r="M41" s="68">
        <f t="shared" si="6"/>
        <v>121.29999999999998</v>
      </c>
      <c r="N41" s="68">
        <f t="shared" si="6"/>
        <v>112.20000000000002</v>
      </c>
      <c r="O41" s="68">
        <f t="shared" si="6"/>
        <v>244.1</v>
      </c>
      <c r="P41" s="68">
        <f t="shared" si="6"/>
        <v>169.29999999999998</v>
      </c>
      <c r="Q41" s="68">
        <f t="shared" si="6"/>
        <v>163.9</v>
      </c>
      <c r="R41" s="68">
        <v>121.6</v>
      </c>
      <c r="S41" s="68">
        <v>71.9</v>
      </c>
      <c r="T41" s="68">
        <v>209.2</v>
      </c>
      <c r="U41" s="68">
        <v>162</v>
      </c>
      <c r="V41" s="127"/>
      <c r="W41" s="127"/>
    </row>
    <row r="42" spans="1:9" ht="12.75">
      <c r="A42" s="67"/>
      <c r="B42" s="67"/>
      <c r="C42" s="67"/>
      <c r="D42" s="67"/>
      <c r="E42" s="67"/>
      <c r="F42" s="63"/>
      <c r="G42" s="63"/>
      <c r="H42" s="63"/>
      <c r="I42" s="63"/>
    </row>
    <row r="43" spans="1:9" ht="12.75">
      <c r="A43" s="67"/>
      <c r="B43" s="67"/>
      <c r="C43" s="67"/>
      <c r="D43" s="67"/>
      <c r="E43" s="67"/>
      <c r="F43" s="63"/>
      <c r="G43" s="63"/>
      <c r="H43" s="63"/>
      <c r="I43" s="63"/>
    </row>
    <row r="44" spans="1:7" ht="12.75">
      <c r="A44" s="62"/>
      <c r="B44" s="62"/>
      <c r="C44" s="62"/>
      <c r="D44" s="62"/>
      <c r="E44" s="62"/>
      <c r="F44" s="63"/>
      <c r="G44" s="63"/>
    </row>
  </sheetData>
  <sheetProtection/>
  <printOptions/>
  <pageMargins left="0.5" right="0.5" top="0.75" bottom="0.75" header="0.5" footer="0.5"/>
  <pageSetup fitToHeight="1" fitToWidth="1" horizontalDpi="600" verticalDpi="600" orientation="landscape" paperSize="5" scale="78" r:id="rId1"/>
  <headerFooter alignWithMargins="0">
    <oddFooter>&amp;L&amp;8&amp;D
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1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14.140625" style="0" customWidth="1"/>
    <col min="3" max="3" width="13.421875" style="0" customWidth="1"/>
    <col min="4" max="4" width="11.421875" style="0" customWidth="1"/>
    <col min="6" max="6" width="12.8515625" style="0" bestFit="1" customWidth="1"/>
    <col min="7" max="7" width="13.00390625" style="0" bestFit="1" customWidth="1"/>
    <col min="8" max="8" width="12.8515625" style="0" bestFit="1" customWidth="1"/>
    <col min="10" max="10" width="10.28125" style="0" bestFit="1" customWidth="1"/>
    <col min="15" max="15" width="1.421875" style="0" customWidth="1"/>
    <col min="16" max="16" width="10.57421875" style="0" customWidth="1"/>
    <col min="17" max="17" width="12.28125" style="0" customWidth="1"/>
    <col min="18" max="18" width="11.28125" style="0" customWidth="1"/>
    <col min="20" max="20" width="13.28125" style="0" customWidth="1"/>
  </cols>
  <sheetData>
    <row r="1" spans="1:5" ht="15.75">
      <c r="A1" s="43" t="s">
        <v>124</v>
      </c>
      <c r="B1" s="43"/>
      <c r="C1" s="43"/>
      <c r="D1" s="43"/>
      <c r="E1" s="43"/>
    </row>
    <row r="2" spans="2:18" ht="38.25">
      <c r="B2" s="76" t="s">
        <v>138</v>
      </c>
      <c r="C2" s="76" t="s">
        <v>139</v>
      </c>
      <c r="D2" s="76" t="s">
        <v>140</v>
      </c>
      <c r="E2" s="76" t="s">
        <v>141</v>
      </c>
      <c r="F2" s="76" t="s">
        <v>108</v>
      </c>
      <c r="G2" s="76" t="s">
        <v>109</v>
      </c>
      <c r="P2" s="163" t="s">
        <v>123</v>
      </c>
      <c r="Q2" s="163"/>
      <c r="R2" s="163"/>
    </row>
    <row r="3" spans="1:18" ht="12.75">
      <c r="A3">
        <v>2005</v>
      </c>
      <c r="F3" s="77"/>
      <c r="G3" s="78">
        <f>F3</f>
        <v>0</v>
      </c>
      <c r="H3" s="78">
        <f aca="true" t="shared" si="0" ref="H3:H11">G3/$N$15</f>
        <v>0</v>
      </c>
      <c r="J3" s="165" t="s">
        <v>111</v>
      </c>
      <c r="K3" s="165"/>
      <c r="M3" s="80" t="s">
        <v>112</v>
      </c>
      <c r="N3" s="80">
        <v>1</v>
      </c>
      <c r="P3" s="166">
        <v>10180000</v>
      </c>
      <c r="Q3" s="166"/>
      <c r="R3" s="166"/>
    </row>
    <row r="4" spans="1:14" ht="13.5" thickBot="1">
      <c r="A4">
        <v>2006</v>
      </c>
      <c r="B4" s="78">
        <v>826069.9617020721</v>
      </c>
      <c r="C4" s="78">
        <v>739673.3883334845</v>
      </c>
      <c r="D4" s="102">
        <f>B4-C4</f>
        <v>86396.57336858753</v>
      </c>
      <c r="E4" s="103">
        <f>D4/C4</f>
        <v>0.11680367947702251</v>
      </c>
      <c r="F4" s="78">
        <f>C4</f>
        <v>739673.3883334845</v>
      </c>
      <c r="G4" s="78">
        <f>F4</f>
        <v>739673.3883334845</v>
      </c>
      <c r="H4" s="78">
        <f t="shared" si="0"/>
        <v>9482.992158121597</v>
      </c>
      <c r="J4" s="79">
        <f>G27</f>
        <v>739673.3883334845</v>
      </c>
      <c r="K4" s="79">
        <f>F4-J4</f>
        <v>0</v>
      </c>
      <c r="M4" s="80" t="s">
        <v>113</v>
      </c>
      <c r="N4" s="80">
        <v>2</v>
      </c>
    </row>
    <row r="5" spans="1:20" ht="12.75">
      <c r="A5">
        <v>2007</v>
      </c>
      <c r="B5" s="78">
        <v>3703139.5196180264</v>
      </c>
      <c r="C5" s="78">
        <v>1356234.7443750054</v>
      </c>
      <c r="D5" s="102">
        <f aca="true" t="shared" si="1" ref="D5:D10">B5-C5</f>
        <v>2346904.775243021</v>
      </c>
      <c r="E5" s="103">
        <f aca="true" t="shared" si="2" ref="E5:E10">D5/C5</f>
        <v>1.730456165480812</v>
      </c>
      <c r="F5" s="78">
        <f>C5</f>
        <v>1356234.7443750054</v>
      </c>
      <c r="G5" s="78">
        <f>F5-H27</f>
        <v>-9316.126394504914</v>
      </c>
      <c r="H5" s="78">
        <f t="shared" si="0"/>
        <v>-119.43751787826812</v>
      </c>
      <c r="J5" s="79">
        <f>G39</f>
        <v>1356234.7443750058</v>
      </c>
      <c r="K5" s="79">
        <f aca="true" t="shared" si="3" ref="K5:K11">F5-J5</f>
        <v>0</v>
      </c>
      <c r="M5" s="80" t="s">
        <v>114</v>
      </c>
      <c r="N5" s="80">
        <v>3</v>
      </c>
      <c r="P5" s="167" t="s">
        <v>137</v>
      </c>
      <c r="Q5" s="168"/>
      <c r="R5" s="168"/>
      <c r="S5" s="168"/>
      <c r="T5" s="169"/>
    </row>
    <row r="6" spans="1:20" ht="12.75">
      <c r="A6">
        <v>2008</v>
      </c>
      <c r="B6" s="78">
        <v>2533893.5377380652</v>
      </c>
      <c r="C6" s="78">
        <v>1483197.652812007</v>
      </c>
      <c r="D6" s="102">
        <f t="shared" si="1"/>
        <v>1050695.8849260581</v>
      </c>
      <c r="E6" s="103">
        <f t="shared" si="2"/>
        <v>0.7083991017205528</v>
      </c>
      <c r="F6" s="78">
        <f>C6</f>
        <v>1483197.652812007</v>
      </c>
      <c r="G6" s="78">
        <f>F6-H39</f>
        <v>134845.78461696696</v>
      </c>
      <c r="H6" s="78">
        <f t="shared" si="0"/>
        <v>1728.7921104739355</v>
      </c>
      <c r="J6" s="79">
        <f>G51</f>
        <v>1483197.6528120073</v>
      </c>
      <c r="K6" s="79">
        <f t="shared" si="3"/>
        <v>0</v>
      </c>
      <c r="M6" s="80" t="s">
        <v>115</v>
      </c>
      <c r="N6" s="80">
        <v>4</v>
      </c>
      <c r="P6" s="90">
        <v>2011</v>
      </c>
      <c r="Q6" s="80">
        <v>2012</v>
      </c>
      <c r="R6" s="80">
        <v>2013</v>
      </c>
      <c r="S6" s="80">
        <v>2014</v>
      </c>
      <c r="T6" s="91" t="s">
        <v>10</v>
      </c>
    </row>
    <row r="7" spans="1:20" ht="12.75">
      <c r="A7">
        <v>2009</v>
      </c>
      <c r="B7" s="78">
        <v>3397224.6791781425</v>
      </c>
      <c r="C7" s="78">
        <v>2184544.846227584</v>
      </c>
      <c r="D7" s="102">
        <f t="shared" si="1"/>
        <v>1212679.8329505585</v>
      </c>
      <c r="E7" s="103">
        <f t="shared" si="2"/>
        <v>0.5551178475665968</v>
      </c>
      <c r="F7" s="78">
        <f>C7</f>
        <v>2184544.846227584</v>
      </c>
      <c r="G7" s="78">
        <f>F7-H51</f>
        <v>587246.914124297</v>
      </c>
      <c r="H7" s="78">
        <f t="shared" si="0"/>
        <v>7528.806591337141</v>
      </c>
      <c r="J7" s="79">
        <f>G63</f>
        <v>2184544.8462275835</v>
      </c>
      <c r="K7" s="79">
        <f t="shared" si="3"/>
        <v>0</v>
      </c>
      <c r="M7" s="80" t="s">
        <v>96</v>
      </c>
      <c r="N7" s="80">
        <v>5</v>
      </c>
      <c r="P7" s="128">
        <f>494470/P3</f>
        <v>0.04857269155206287</v>
      </c>
      <c r="Q7" s="92">
        <f>P7</f>
        <v>0.04857269155206287</v>
      </c>
      <c r="R7" s="92">
        <f>Q7</f>
        <v>0.04857269155206287</v>
      </c>
      <c r="S7" s="92">
        <f>R7</f>
        <v>0.04857269155206287</v>
      </c>
      <c r="T7" s="93">
        <f>SUM(P7:S7)</f>
        <v>0.19429076620825148</v>
      </c>
    </row>
    <row r="8" spans="1:20" ht="12.75">
      <c r="A8">
        <v>2010</v>
      </c>
      <c r="B8" s="78">
        <v>3420526.340690881</v>
      </c>
      <c r="C8" s="78">
        <v>2098703.427896933</v>
      </c>
      <c r="D8" s="102">
        <f t="shared" si="1"/>
        <v>1321822.9127939478</v>
      </c>
      <c r="E8" s="103">
        <f t="shared" si="2"/>
        <v>0.6298283479331422</v>
      </c>
      <c r="F8" s="78">
        <f>C8</f>
        <v>2098703.427896933</v>
      </c>
      <c r="G8" s="78">
        <f>F8-H63</f>
        <v>-582742.6533589019</v>
      </c>
      <c r="H8" s="78">
        <f t="shared" si="0"/>
        <v>-7471.05965844746</v>
      </c>
      <c r="J8" s="79">
        <f>G75</f>
        <v>2098703.427896933</v>
      </c>
      <c r="K8" s="79">
        <f t="shared" si="3"/>
        <v>0</v>
      </c>
      <c r="M8" s="80" t="s">
        <v>116</v>
      </c>
      <c r="N8" s="80">
        <v>6</v>
      </c>
      <c r="P8" s="94"/>
      <c r="Q8" s="92">
        <f>(100%-T7)/6</f>
        <v>0.13428487229862476</v>
      </c>
      <c r="R8" s="92">
        <f>Q8</f>
        <v>0.13428487229862476</v>
      </c>
      <c r="S8" s="92">
        <f>R8</f>
        <v>0.13428487229862476</v>
      </c>
      <c r="T8" s="93">
        <f>SUM(P8:S8)</f>
        <v>0.4028546168958743</v>
      </c>
    </row>
    <row r="9" spans="1:20" ht="12.75">
      <c r="A9">
        <v>2011</v>
      </c>
      <c r="B9" s="78">
        <v>3189600.32150378</v>
      </c>
      <c r="C9" s="78">
        <v>1863559.3312996237</v>
      </c>
      <c r="D9" s="102">
        <f t="shared" si="1"/>
        <v>1326040.9902041561</v>
      </c>
      <c r="E9" s="103">
        <f t="shared" si="2"/>
        <v>0.7115636019376915</v>
      </c>
      <c r="F9" s="78">
        <f>C9+P13</f>
        <v>2358029.3312996235</v>
      </c>
      <c r="G9" s="78">
        <f>F9-H75</f>
        <v>752415.840860222</v>
      </c>
      <c r="H9" s="78">
        <f t="shared" si="0"/>
        <v>9646.35693410541</v>
      </c>
      <c r="J9" s="79">
        <f>G87</f>
        <v>2358029.331299622</v>
      </c>
      <c r="K9" s="79">
        <f t="shared" si="3"/>
        <v>0</v>
      </c>
      <c r="M9" s="80" t="s">
        <v>117</v>
      </c>
      <c r="N9" s="80">
        <v>7</v>
      </c>
      <c r="P9" s="95"/>
      <c r="Q9" s="92"/>
      <c r="R9" s="92">
        <f>R8</f>
        <v>0.13428487229862476</v>
      </c>
      <c r="S9" s="92">
        <f>S8</f>
        <v>0.13428487229862476</v>
      </c>
      <c r="T9" s="93">
        <f>SUM(P9:S9)</f>
        <v>0.2685697445972495</v>
      </c>
    </row>
    <row r="10" spans="1:20" ht="12.75">
      <c r="A10">
        <v>2012</v>
      </c>
      <c r="B10" s="78">
        <v>3050599.3733739303</v>
      </c>
      <c r="C10" s="78">
        <v>1804507.0656769495</v>
      </c>
      <c r="D10" s="102">
        <f t="shared" si="1"/>
        <v>1246092.307696981</v>
      </c>
      <c r="E10" s="103">
        <f t="shared" si="2"/>
        <v>0.6905444325481304</v>
      </c>
      <c r="F10" s="78">
        <f>C10+Q13</f>
        <v>2298977.0656769495</v>
      </c>
      <c r="G10" s="78">
        <f>F10-H87</f>
        <v>-695711.823273629</v>
      </c>
      <c r="H10" s="78">
        <f t="shared" si="0"/>
        <v>-8919.38234966191</v>
      </c>
      <c r="J10" s="79">
        <f>G99</f>
        <v>2298977.06567695</v>
      </c>
      <c r="K10" s="79">
        <f>F10-J10</f>
        <v>0</v>
      </c>
      <c r="M10" s="80" t="s">
        <v>118</v>
      </c>
      <c r="N10" s="80">
        <v>8</v>
      </c>
      <c r="P10" s="95"/>
      <c r="Q10" s="96"/>
      <c r="R10" s="92"/>
      <c r="S10" s="92">
        <f>S9</f>
        <v>0.13428487229862476</v>
      </c>
      <c r="T10" s="93">
        <f>SUM(P10:S10)</f>
        <v>0.13428487229862476</v>
      </c>
    </row>
    <row r="11" spans="1:20" ht="12.75">
      <c r="A11">
        <v>2013</v>
      </c>
      <c r="B11" s="78">
        <v>2994599.5276827286</v>
      </c>
      <c r="C11" s="78">
        <v>1776604.66956413</v>
      </c>
      <c r="D11" s="102">
        <f>B11-C11</f>
        <v>1217994.8581185986</v>
      </c>
      <c r="E11" s="103">
        <f>D11/C11</f>
        <v>0.6855745000475654</v>
      </c>
      <c r="F11" s="78">
        <f>C11+R13</f>
        <v>2271074.66956413</v>
      </c>
      <c r="G11" s="78">
        <f>F11-H99</f>
        <v>560776.8389648651</v>
      </c>
      <c r="H11" s="78">
        <f t="shared" si="0"/>
        <v>7189.446653395707</v>
      </c>
      <c r="J11" s="79">
        <f>G111</f>
        <v>2271074.6695641303</v>
      </c>
      <c r="K11" s="79">
        <f t="shared" si="3"/>
        <v>0</v>
      </c>
      <c r="M11" s="80" t="s">
        <v>119</v>
      </c>
      <c r="N11" s="80">
        <v>9</v>
      </c>
      <c r="P11" s="94">
        <f>SUM(P7:P10)</f>
        <v>0.04857269155206287</v>
      </c>
      <c r="Q11" s="92">
        <f>SUM(Q7:Q10)</f>
        <v>0.18285756385068763</v>
      </c>
      <c r="R11" s="92">
        <f>SUM(R7:R10)</f>
        <v>0.31714243614931237</v>
      </c>
      <c r="S11" s="92">
        <f>SUM(S7:S10)</f>
        <v>0.4514273084479371</v>
      </c>
      <c r="T11" s="93">
        <f>SUM(P11:S11)</f>
        <v>1</v>
      </c>
    </row>
    <row r="12" spans="1:20" ht="12.75">
      <c r="A12" t="s">
        <v>10</v>
      </c>
      <c r="B12" s="78">
        <f>SUM(B4:B11)</f>
        <v>23115653.261487626</v>
      </c>
      <c r="C12" s="78">
        <f>SUM(C4:C11)</f>
        <v>13307025.126185717</v>
      </c>
      <c r="D12" s="78">
        <f>SUM(D4:D11)</f>
        <v>9808628.135301908</v>
      </c>
      <c r="E12" s="103">
        <f>D12/C12</f>
        <v>0.7371014965621713</v>
      </c>
      <c r="F12" s="78">
        <f>SUM(F4:F11)</f>
        <v>14790435.126185717</v>
      </c>
      <c r="G12" s="78"/>
      <c r="H12" s="78"/>
      <c r="M12" s="80" t="s">
        <v>120</v>
      </c>
      <c r="N12" s="80">
        <v>10</v>
      </c>
      <c r="P12" s="162"/>
      <c r="Q12" s="163"/>
      <c r="R12" s="163"/>
      <c r="S12" s="163"/>
      <c r="T12" s="164"/>
    </row>
    <row r="13" spans="6:20" ht="12.75">
      <c r="F13" s="78"/>
      <c r="M13" s="80" t="s">
        <v>121</v>
      </c>
      <c r="N13" s="80">
        <v>11</v>
      </c>
      <c r="P13" s="97">
        <f>P3*P7</f>
        <v>494470</v>
      </c>
      <c r="Q13" s="89">
        <f>P13</f>
        <v>494470</v>
      </c>
      <c r="R13" s="89">
        <f>Q13</f>
        <v>494470</v>
      </c>
      <c r="S13" s="89">
        <f>R13</f>
        <v>494470</v>
      </c>
      <c r="T13" s="101">
        <f>SUM(P13:S13)</f>
        <v>1977880</v>
      </c>
    </row>
    <row r="14" spans="6:20" ht="12.75">
      <c r="F14" s="78" t="s">
        <v>110</v>
      </c>
      <c r="M14" s="80" t="s">
        <v>122</v>
      </c>
      <c r="N14" s="80">
        <v>12</v>
      </c>
      <c r="P14" s="97"/>
      <c r="Q14" s="89">
        <f>P3*Q8</f>
        <v>1367020</v>
      </c>
      <c r="R14" s="89">
        <f>Q14</f>
        <v>1367020</v>
      </c>
      <c r="S14" s="89">
        <f>R14</f>
        <v>1367020</v>
      </c>
      <c r="T14" s="101">
        <f>SUM(P14:S14)</f>
        <v>4101060</v>
      </c>
    </row>
    <row r="15" spans="6:20" ht="12.75">
      <c r="F15" s="78"/>
      <c r="M15" s="80" t="s">
        <v>10</v>
      </c>
      <c r="N15" s="80">
        <f>SUM(N3:N14)</f>
        <v>78</v>
      </c>
      <c r="P15" s="97"/>
      <c r="Q15" s="89"/>
      <c r="R15" s="89">
        <f>R14</f>
        <v>1367020</v>
      </c>
      <c r="S15" s="89">
        <f>R15</f>
        <v>1367020</v>
      </c>
      <c r="T15" s="101">
        <f>SUM(P15:S15)</f>
        <v>2734040</v>
      </c>
    </row>
    <row r="16" spans="1:20" ht="12.75">
      <c r="A16" s="3">
        <v>38718</v>
      </c>
      <c r="B16" s="3"/>
      <c r="C16" s="3"/>
      <c r="D16" s="3"/>
      <c r="E16" s="3"/>
      <c r="F16" s="78">
        <f>$H$4</f>
        <v>9482.992158121597</v>
      </c>
      <c r="P16" s="97"/>
      <c r="Q16" s="89"/>
      <c r="R16" s="89"/>
      <c r="S16" s="89">
        <f>S15</f>
        <v>1367020</v>
      </c>
      <c r="T16" s="101">
        <f>SUM(P16:S16)</f>
        <v>1367020</v>
      </c>
    </row>
    <row r="17" spans="1:20" ht="13.5" thickBot="1">
      <c r="A17" s="3">
        <v>38749</v>
      </c>
      <c r="B17" s="3"/>
      <c r="C17" s="3"/>
      <c r="D17" s="3"/>
      <c r="E17" s="3"/>
      <c r="F17" s="78">
        <f aca="true" t="shared" si="4" ref="F17:F27">F16+$H$4</f>
        <v>18965.984316243193</v>
      </c>
      <c r="P17" s="98">
        <f>SUM(P13:P16)</f>
        <v>494470</v>
      </c>
      <c r="Q17" s="99">
        <f>SUM(Q13:Q16)</f>
        <v>1861490</v>
      </c>
      <c r="R17" s="99">
        <f>SUM(R13:R16)</f>
        <v>3228510</v>
      </c>
      <c r="S17" s="99">
        <f>SUM(S13:S16)</f>
        <v>4595530</v>
      </c>
      <c r="T17" s="100">
        <f>SUM(P17:S17)</f>
        <v>10180000</v>
      </c>
    </row>
    <row r="18" spans="1:6" ht="12.75">
      <c r="A18" s="3">
        <v>38777</v>
      </c>
      <c r="B18" s="3"/>
      <c r="C18" s="3"/>
      <c r="D18" s="3"/>
      <c r="E18" s="3"/>
      <c r="F18" s="78">
        <f t="shared" si="4"/>
        <v>28448.97647436479</v>
      </c>
    </row>
    <row r="19" spans="1:19" ht="12.75">
      <c r="A19" s="3">
        <v>38808</v>
      </c>
      <c r="B19" s="3"/>
      <c r="C19" s="3"/>
      <c r="D19" s="3"/>
      <c r="E19" s="3"/>
      <c r="F19" s="78">
        <f t="shared" si="4"/>
        <v>37931.96863248639</v>
      </c>
      <c r="R19" s="105">
        <f>R17</f>
        <v>3228510</v>
      </c>
      <c r="S19" t="s">
        <v>142</v>
      </c>
    </row>
    <row r="20" spans="1:19" ht="12.75">
      <c r="A20" s="3">
        <v>38838</v>
      </c>
      <c r="B20" s="3"/>
      <c r="C20" s="3"/>
      <c r="D20" s="3"/>
      <c r="E20" s="3"/>
      <c r="F20" s="78">
        <f t="shared" si="4"/>
        <v>47414.960790607984</v>
      </c>
      <c r="Q20" t="s">
        <v>143</v>
      </c>
      <c r="R20" s="103">
        <f>E12</f>
        <v>0.7371014965621713</v>
      </c>
      <c r="S20" t="s">
        <v>144</v>
      </c>
    </row>
    <row r="21" spans="1:19" ht="12.75">
      <c r="A21" s="3">
        <v>38869</v>
      </c>
      <c r="B21" s="3"/>
      <c r="C21" s="3"/>
      <c r="D21" s="3"/>
      <c r="E21" s="3"/>
      <c r="F21" s="78">
        <f t="shared" si="4"/>
        <v>56897.95294872958</v>
      </c>
      <c r="Q21" t="s">
        <v>145</v>
      </c>
      <c r="R21" s="105">
        <f>R19*R20</f>
        <v>2379739.5526659354</v>
      </c>
      <c r="S21" t="s">
        <v>146</v>
      </c>
    </row>
    <row r="22" spans="1:18" ht="12.75">
      <c r="A22" s="3">
        <v>38899</v>
      </c>
      <c r="B22" s="3"/>
      <c r="C22" s="3"/>
      <c r="D22" s="3"/>
      <c r="E22" s="3"/>
      <c r="F22" s="78">
        <f t="shared" si="4"/>
        <v>66380.94510685117</v>
      </c>
      <c r="R22" s="105">
        <f>R19+R21</f>
        <v>5608249.552665936</v>
      </c>
    </row>
    <row r="23" spans="1:6" ht="12.75">
      <c r="A23" s="3">
        <v>38930</v>
      </c>
      <c r="B23" s="3"/>
      <c r="C23" s="3"/>
      <c r="D23" s="3"/>
      <c r="E23" s="3"/>
      <c r="F23" s="78">
        <f t="shared" si="4"/>
        <v>75863.93726497277</v>
      </c>
    </row>
    <row r="24" spans="1:6" ht="12.75" customHeight="1">
      <c r="A24" s="3">
        <v>38961</v>
      </c>
      <c r="B24" s="3"/>
      <c r="C24" s="3"/>
      <c r="D24" s="3"/>
      <c r="E24" s="3"/>
      <c r="F24" s="78">
        <f t="shared" si="4"/>
        <v>85346.92942309438</v>
      </c>
    </row>
    <row r="25" spans="1:6" ht="12.75">
      <c r="A25" s="3">
        <v>38991</v>
      </c>
      <c r="B25" s="3"/>
      <c r="C25" s="3"/>
      <c r="D25" s="3"/>
      <c r="E25" s="3"/>
      <c r="F25" s="78">
        <f t="shared" si="4"/>
        <v>94829.92158121598</v>
      </c>
    </row>
    <row r="26" spans="1:7" ht="12.75">
      <c r="A26" s="3">
        <v>39022</v>
      </c>
      <c r="B26" s="3"/>
      <c r="C26" s="3"/>
      <c r="D26" s="3"/>
      <c r="E26" s="3"/>
      <c r="F26" s="78">
        <f t="shared" si="4"/>
        <v>104312.91373933759</v>
      </c>
      <c r="G26" s="4" t="s">
        <v>111</v>
      </c>
    </row>
    <row r="27" spans="1:8" ht="12.75">
      <c r="A27" s="3">
        <v>39052</v>
      </c>
      <c r="B27" s="3"/>
      <c r="C27" s="3"/>
      <c r="D27" s="3"/>
      <c r="E27" s="3"/>
      <c r="F27" s="78">
        <f t="shared" si="4"/>
        <v>113795.90589745919</v>
      </c>
      <c r="G27" s="78">
        <f>SUM(F16:F27)</f>
        <v>739673.3883334845</v>
      </c>
      <c r="H27" s="78">
        <f>F27*12</f>
        <v>1365550.8707695103</v>
      </c>
    </row>
    <row r="28" spans="1:6" ht="12.75">
      <c r="A28" s="3">
        <v>39083</v>
      </c>
      <c r="B28" s="3"/>
      <c r="C28" s="3"/>
      <c r="D28" s="3"/>
      <c r="E28" s="3"/>
      <c r="F28" s="78">
        <f aca="true" t="shared" si="5" ref="F28:F39">F27+$H$5</f>
        <v>113676.46837958093</v>
      </c>
    </row>
    <row r="29" spans="1:6" ht="12.75">
      <c r="A29" s="3">
        <v>39114</v>
      </c>
      <c r="B29" s="3"/>
      <c r="C29" s="3"/>
      <c r="D29" s="3"/>
      <c r="E29" s="3"/>
      <c r="F29" s="78">
        <f t="shared" si="5"/>
        <v>113557.03086170266</v>
      </c>
    </row>
    <row r="30" spans="1:6" ht="12.75">
      <c r="A30" s="3">
        <v>39142</v>
      </c>
      <c r="B30" s="3"/>
      <c r="C30" s="3"/>
      <c r="D30" s="3"/>
      <c r="E30" s="3"/>
      <c r="F30" s="78">
        <f t="shared" si="5"/>
        <v>113437.5933438244</v>
      </c>
    </row>
    <row r="31" spans="1:6" ht="12.75">
      <c r="A31" s="3">
        <v>39173</v>
      </c>
      <c r="B31" s="3"/>
      <c r="C31" s="3"/>
      <c r="D31" s="3"/>
      <c r="E31" s="3"/>
      <c r="F31" s="78">
        <f t="shared" si="5"/>
        <v>113318.15582594613</v>
      </c>
    </row>
    <row r="32" spans="1:6" ht="12.75">
      <c r="A32" s="3">
        <v>39203</v>
      </c>
      <c r="B32" s="3"/>
      <c r="C32" s="3"/>
      <c r="D32" s="3"/>
      <c r="E32" s="3"/>
      <c r="F32" s="78">
        <f t="shared" si="5"/>
        <v>113198.71830806787</v>
      </c>
    </row>
    <row r="33" spans="1:18" ht="12.75">
      <c r="A33" s="3">
        <v>39234</v>
      </c>
      <c r="B33" s="3"/>
      <c r="C33" s="3"/>
      <c r="D33" s="3"/>
      <c r="E33" s="3"/>
      <c r="F33" s="78">
        <f t="shared" si="5"/>
        <v>113079.2807901896</v>
      </c>
      <c r="R33" s="105"/>
    </row>
    <row r="34" spans="1:6" ht="12.75">
      <c r="A34" s="3">
        <v>39264</v>
      </c>
      <c r="B34" s="3"/>
      <c r="C34" s="3"/>
      <c r="D34" s="3"/>
      <c r="E34" s="3"/>
      <c r="F34" s="78">
        <f t="shared" si="5"/>
        <v>112959.84327231134</v>
      </c>
    </row>
    <row r="35" spans="1:6" ht="12.75">
      <c r="A35" s="3">
        <v>39295</v>
      </c>
      <c r="B35" s="3"/>
      <c r="C35" s="3"/>
      <c r="D35" s="3"/>
      <c r="E35" s="3"/>
      <c r="F35" s="78">
        <f t="shared" si="5"/>
        <v>112840.40575443307</v>
      </c>
    </row>
    <row r="36" spans="1:6" ht="12.75">
      <c r="A36" s="3">
        <v>39326</v>
      </c>
      <c r="B36" s="3"/>
      <c r="C36" s="3"/>
      <c r="D36" s="3"/>
      <c r="E36" s="3"/>
      <c r="F36" s="78">
        <f t="shared" si="5"/>
        <v>112720.9682365548</v>
      </c>
    </row>
    <row r="37" spans="1:6" ht="12.75">
      <c r="A37" s="3">
        <v>39356</v>
      </c>
      <c r="B37" s="3"/>
      <c r="C37" s="3"/>
      <c r="D37" s="3"/>
      <c r="E37" s="3"/>
      <c r="F37" s="78">
        <f t="shared" si="5"/>
        <v>112601.53071867654</v>
      </c>
    </row>
    <row r="38" spans="1:7" ht="12.75">
      <c r="A38" s="3">
        <v>39387</v>
      </c>
      <c r="B38" s="3"/>
      <c r="C38" s="3"/>
      <c r="D38" s="3"/>
      <c r="E38" s="3"/>
      <c r="F38" s="78">
        <f t="shared" si="5"/>
        <v>112482.09320079828</v>
      </c>
      <c r="G38" s="4" t="s">
        <v>111</v>
      </c>
    </row>
    <row r="39" spans="1:8" ht="12.75">
      <c r="A39" s="3">
        <v>39417</v>
      </c>
      <c r="B39" s="3"/>
      <c r="C39" s="3"/>
      <c r="D39" s="3"/>
      <c r="E39" s="3"/>
      <c r="F39" s="78">
        <f t="shared" si="5"/>
        <v>112362.65568292001</v>
      </c>
      <c r="G39" s="78">
        <f>SUM(F28:F39)</f>
        <v>1356234.7443750058</v>
      </c>
      <c r="H39" s="78">
        <f>F39*12</f>
        <v>1348351.8681950402</v>
      </c>
    </row>
    <row r="40" spans="1:6" ht="12.75">
      <c r="A40" s="3">
        <v>39448</v>
      </c>
      <c r="B40" s="3"/>
      <c r="C40" s="3"/>
      <c r="D40" s="3"/>
      <c r="E40" s="3"/>
      <c r="F40" s="78">
        <f aca="true" t="shared" si="6" ref="F40:F51">F39+$H$6</f>
        <v>114091.44779339395</v>
      </c>
    </row>
    <row r="41" spans="1:6" ht="12.75">
      <c r="A41" s="3">
        <v>39479</v>
      </c>
      <c r="B41" s="3"/>
      <c r="C41" s="3"/>
      <c r="D41" s="3"/>
      <c r="E41" s="3"/>
      <c r="F41" s="78">
        <f t="shared" si="6"/>
        <v>115820.23990386789</v>
      </c>
    </row>
    <row r="42" spans="1:6" ht="12.75">
      <c r="A42" s="3">
        <v>39508</v>
      </c>
      <c r="B42" s="3"/>
      <c r="C42" s="3"/>
      <c r="D42" s="3"/>
      <c r="E42" s="3"/>
      <c r="F42" s="78">
        <f t="shared" si="6"/>
        <v>117549.03201434182</v>
      </c>
    </row>
    <row r="43" spans="1:6" ht="12.75">
      <c r="A43" s="3">
        <v>39539</v>
      </c>
      <c r="B43" s="3"/>
      <c r="C43" s="3"/>
      <c r="D43" s="3"/>
      <c r="E43" s="3"/>
      <c r="F43" s="78">
        <f t="shared" si="6"/>
        <v>119277.82412481576</v>
      </c>
    </row>
    <row r="44" spans="1:6" ht="12.75">
      <c r="A44" s="3">
        <v>39569</v>
      </c>
      <c r="B44" s="3"/>
      <c r="C44" s="3"/>
      <c r="D44" s="3"/>
      <c r="E44" s="3"/>
      <c r="F44" s="78">
        <f t="shared" si="6"/>
        <v>121006.6162352897</v>
      </c>
    </row>
    <row r="45" spans="1:6" ht="12.75">
      <c r="A45" s="3">
        <v>39600</v>
      </c>
      <c r="B45" s="3"/>
      <c r="C45" s="3"/>
      <c r="D45" s="3"/>
      <c r="E45" s="3"/>
      <c r="F45" s="78">
        <f t="shared" si="6"/>
        <v>122735.40834576363</v>
      </c>
    </row>
    <row r="46" spans="1:6" ht="12.75">
      <c r="A46" s="3">
        <v>39630</v>
      </c>
      <c r="B46" s="3"/>
      <c r="C46" s="3"/>
      <c r="D46" s="3"/>
      <c r="E46" s="3"/>
      <c r="F46" s="78">
        <f t="shared" si="6"/>
        <v>124464.20045623757</v>
      </c>
    </row>
    <row r="47" spans="1:6" ht="12.75">
      <c r="A47" s="3">
        <v>39661</v>
      </c>
      <c r="B47" s="3"/>
      <c r="C47" s="3"/>
      <c r="D47" s="3"/>
      <c r="E47" s="3"/>
      <c r="F47" s="78">
        <f t="shared" si="6"/>
        <v>126192.9925667115</v>
      </c>
    </row>
    <row r="48" spans="1:6" ht="12.75">
      <c r="A48" s="3">
        <v>39692</v>
      </c>
      <c r="B48" s="3"/>
      <c r="C48" s="3"/>
      <c r="D48" s="3"/>
      <c r="E48" s="3"/>
      <c r="F48" s="78">
        <f t="shared" si="6"/>
        <v>127921.78467718544</v>
      </c>
    </row>
    <row r="49" spans="1:6" ht="12.75">
      <c r="A49" s="3">
        <v>39722</v>
      </c>
      <c r="B49" s="3"/>
      <c r="C49" s="3"/>
      <c r="D49" s="3"/>
      <c r="E49" s="3"/>
      <c r="F49" s="78">
        <f t="shared" si="6"/>
        <v>129650.57678765937</v>
      </c>
    </row>
    <row r="50" spans="1:6" ht="12.75">
      <c r="A50" s="3">
        <v>39753</v>
      </c>
      <c r="B50" s="3"/>
      <c r="C50" s="3"/>
      <c r="D50" s="3"/>
      <c r="E50" s="3"/>
      <c r="F50" s="78">
        <f t="shared" si="6"/>
        <v>131379.3688981333</v>
      </c>
    </row>
    <row r="51" spans="1:8" ht="12.75">
      <c r="A51" s="3">
        <v>39783</v>
      </c>
      <c r="B51" s="3"/>
      <c r="C51" s="3"/>
      <c r="D51" s="3"/>
      <c r="E51" s="3"/>
      <c r="F51" s="78">
        <f t="shared" si="6"/>
        <v>133108.16100860725</v>
      </c>
      <c r="G51" s="78">
        <f>SUM(F40:F51)</f>
        <v>1483197.6528120073</v>
      </c>
      <c r="H51" s="78">
        <f>F51*12</f>
        <v>1597297.932103287</v>
      </c>
    </row>
    <row r="52" spans="1:6" ht="12.75">
      <c r="A52" s="3">
        <v>39814</v>
      </c>
      <c r="B52" s="3"/>
      <c r="C52" s="3"/>
      <c r="D52" s="3"/>
      <c r="E52" s="3"/>
      <c r="F52" s="78">
        <f aca="true" t="shared" si="7" ref="F52:F63">F51+$H$7</f>
        <v>140636.9675999444</v>
      </c>
    </row>
    <row r="53" spans="1:6" ht="12.75">
      <c r="A53" s="3">
        <v>39845</v>
      </c>
      <c r="B53" s="3"/>
      <c r="C53" s="3"/>
      <c r="D53" s="3"/>
      <c r="E53" s="3"/>
      <c r="F53" s="78">
        <f t="shared" si="7"/>
        <v>148165.77419128153</v>
      </c>
    </row>
    <row r="54" spans="1:6" ht="12.75">
      <c r="A54" s="3">
        <v>39873</v>
      </c>
      <c r="B54" s="3"/>
      <c r="C54" s="3"/>
      <c r="D54" s="3"/>
      <c r="E54" s="3"/>
      <c r="F54" s="78">
        <f t="shared" si="7"/>
        <v>155694.58078261866</v>
      </c>
    </row>
    <row r="55" spans="1:6" ht="12.75">
      <c r="A55" s="3">
        <v>39904</v>
      </c>
      <c r="B55" s="3"/>
      <c r="C55" s="3"/>
      <c r="D55" s="3"/>
      <c r="E55" s="3"/>
      <c r="F55" s="78">
        <f t="shared" si="7"/>
        <v>163223.3873739558</v>
      </c>
    </row>
    <row r="56" spans="1:6" ht="12.75">
      <c r="A56" s="3">
        <v>39934</v>
      </c>
      <c r="B56" s="3"/>
      <c r="C56" s="3"/>
      <c r="D56" s="3"/>
      <c r="E56" s="3"/>
      <c r="F56" s="78">
        <f t="shared" si="7"/>
        <v>170752.19396529294</v>
      </c>
    </row>
    <row r="57" spans="1:6" ht="12.75">
      <c r="A57" s="3">
        <v>39965</v>
      </c>
      <c r="B57" s="3"/>
      <c r="C57" s="3"/>
      <c r="D57" s="3"/>
      <c r="E57" s="3"/>
      <c r="F57" s="78">
        <f t="shared" si="7"/>
        <v>178281.00055663008</v>
      </c>
    </row>
    <row r="58" spans="1:6" ht="12.75">
      <c r="A58" s="3">
        <v>39995</v>
      </c>
      <c r="B58" s="3"/>
      <c r="C58" s="3"/>
      <c r="D58" s="3"/>
      <c r="E58" s="3"/>
      <c r="F58" s="78">
        <f t="shared" si="7"/>
        <v>185809.80714796722</v>
      </c>
    </row>
    <row r="59" spans="1:6" ht="12.75">
      <c r="A59" s="3">
        <v>40026</v>
      </c>
      <c r="B59" s="3"/>
      <c r="C59" s="3"/>
      <c r="D59" s="3"/>
      <c r="E59" s="3"/>
      <c r="F59" s="78">
        <f t="shared" si="7"/>
        <v>193338.61373930436</v>
      </c>
    </row>
    <row r="60" spans="1:6" ht="12.75">
      <c r="A60" s="3">
        <v>40057</v>
      </c>
      <c r="B60" s="3"/>
      <c r="C60" s="3"/>
      <c r="D60" s="3"/>
      <c r="E60" s="3"/>
      <c r="F60" s="78">
        <f t="shared" si="7"/>
        <v>200867.4203306415</v>
      </c>
    </row>
    <row r="61" spans="1:6" ht="12.75">
      <c r="A61" s="3">
        <v>40087</v>
      </c>
      <c r="B61" s="3"/>
      <c r="C61" s="3"/>
      <c r="D61" s="3"/>
      <c r="E61" s="3"/>
      <c r="F61" s="78">
        <f t="shared" si="7"/>
        <v>208396.22692197864</v>
      </c>
    </row>
    <row r="62" spans="1:6" ht="12.75">
      <c r="A62" s="3">
        <v>40118</v>
      </c>
      <c r="B62" s="3"/>
      <c r="C62" s="3"/>
      <c r="D62" s="3"/>
      <c r="E62" s="3"/>
      <c r="F62" s="78">
        <f t="shared" si="7"/>
        <v>215925.03351331578</v>
      </c>
    </row>
    <row r="63" spans="1:8" ht="12.75">
      <c r="A63" s="3">
        <v>40148</v>
      </c>
      <c r="B63" s="3"/>
      <c r="C63" s="3"/>
      <c r="D63" s="3"/>
      <c r="E63" s="3"/>
      <c r="F63" s="78">
        <f t="shared" si="7"/>
        <v>223453.84010465292</v>
      </c>
      <c r="G63" s="78">
        <f>SUM(F52:F63)</f>
        <v>2184544.8462275835</v>
      </c>
      <c r="H63" s="78">
        <f>F63*12</f>
        <v>2681446.081255835</v>
      </c>
    </row>
    <row r="64" spans="1:6" ht="12.75">
      <c r="A64" s="3">
        <v>40179</v>
      </c>
      <c r="B64" s="3"/>
      <c r="C64" s="3"/>
      <c r="D64" s="3"/>
      <c r="E64" s="3"/>
      <c r="F64" s="78">
        <f aca="true" t="shared" si="8" ref="F64:F75">F63+$H$8</f>
        <v>215982.78044620546</v>
      </c>
    </row>
    <row r="65" spans="1:6" ht="12.75">
      <c r="A65" s="3">
        <v>40210</v>
      </c>
      <c r="B65" s="3"/>
      <c r="C65" s="3"/>
      <c r="D65" s="3"/>
      <c r="E65" s="3"/>
      <c r="F65" s="78">
        <f t="shared" si="8"/>
        <v>208511.720787758</v>
      </c>
    </row>
    <row r="66" spans="1:6" ht="12.75">
      <c r="A66" s="3">
        <v>40238</v>
      </c>
      <c r="B66" s="3"/>
      <c r="C66" s="3"/>
      <c r="D66" s="3"/>
      <c r="E66" s="3"/>
      <c r="F66" s="78">
        <f t="shared" si="8"/>
        <v>201040.66112931055</v>
      </c>
    </row>
    <row r="67" spans="1:6" ht="12.75">
      <c r="A67" s="3">
        <v>40269</v>
      </c>
      <c r="B67" s="3"/>
      <c r="C67" s="3"/>
      <c r="D67" s="3"/>
      <c r="E67" s="3"/>
      <c r="F67" s="78">
        <f t="shared" si="8"/>
        <v>193569.6014708631</v>
      </c>
    </row>
    <row r="68" spans="1:6" ht="12.75">
      <c r="A68" s="3">
        <v>40299</v>
      </c>
      <c r="B68" s="3"/>
      <c r="C68" s="3"/>
      <c r="D68" s="3"/>
      <c r="E68" s="3"/>
      <c r="F68" s="78">
        <f t="shared" si="8"/>
        <v>186098.54181241564</v>
      </c>
    </row>
    <row r="69" spans="1:6" ht="12.75">
      <c r="A69" s="3">
        <v>40330</v>
      </c>
      <c r="B69" s="3"/>
      <c r="C69" s="3"/>
      <c r="D69" s="3"/>
      <c r="E69" s="3"/>
      <c r="F69" s="78">
        <f t="shared" si="8"/>
        <v>178627.4821539682</v>
      </c>
    </row>
    <row r="70" spans="1:6" ht="12.75">
      <c r="A70" s="3">
        <v>40360</v>
      </c>
      <c r="B70" s="3"/>
      <c r="C70" s="3"/>
      <c r="D70" s="3"/>
      <c r="E70" s="3"/>
      <c r="F70" s="78">
        <f t="shared" si="8"/>
        <v>171156.42249552073</v>
      </c>
    </row>
    <row r="71" spans="1:6" ht="12.75">
      <c r="A71" s="3">
        <v>40391</v>
      </c>
      <c r="B71" s="3"/>
      <c r="C71" s="3"/>
      <c r="D71" s="3"/>
      <c r="E71" s="3"/>
      <c r="F71" s="78">
        <f t="shared" si="8"/>
        <v>163685.36283707328</v>
      </c>
    </row>
    <row r="72" spans="1:6" ht="12.75">
      <c r="A72" s="3">
        <v>40422</v>
      </c>
      <c r="B72" s="3"/>
      <c r="C72" s="3"/>
      <c r="D72" s="3"/>
      <c r="E72" s="3"/>
      <c r="F72" s="78">
        <f t="shared" si="8"/>
        <v>156214.30317862582</v>
      </c>
    </row>
    <row r="73" spans="1:6" ht="12.75">
      <c r="A73" s="3">
        <v>40452</v>
      </c>
      <c r="B73" s="3"/>
      <c r="C73" s="3"/>
      <c r="D73" s="3"/>
      <c r="E73" s="3"/>
      <c r="F73" s="78">
        <f t="shared" si="8"/>
        <v>148743.24352017837</v>
      </c>
    </row>
    <row r="74" spans="1:6" ht="12.75">
      <c r="A74" s="3">
        <v>40483</v>
      </c>
      <c r="B74" s="3"/>
      <c r="C74" s="3"/>
      <c r="D74" s="3"/>
      <c r="E74" s="3"/>
      <c r="F74" s="78">
        <f t="shared" si="8"/>
        <v>141272.1838617309</v>
      </c>
    </row>
    <row r="75" spans="1:8" ht="12.75">
      <c r="A75" s="3">
        <v>40513</v>
      </c>
      <c r="B75" s="3"/>
      <c r="C75" s="3"/>
      <c r="D75" s="3"/>
      <c r="E75" s="3"/>
      <c r="F75" s="78">
        <f t="shared" si="8"/>
        <v>133801.12420328346</v>
      </c>
      <c r="G75" s="78">
        <f>SUM(F64:F75)</f>
        <v>2098703.427896933</v>
      </c>
      <c r="H75" s="78">
        <f>F75*12</f>
        <v>1605613.4904394015</v>
      </c>
    </row>
    <row r="76" spans="1:6" ht="12.75">
      <c r="A76" s="3">
        <v>40544</v>
      </c>
      <c r="B76" s="3"/>
      <c r="C76" s="3"/>
      <c r="D76" s="3"/>
      <c r="E76" s="3"/>
      <c r="F76" s="78">
        <f aca="true" t="shared" si="9" ref="F76:F87">F75+$H$9</f>
        <v>143447.48113738885</v>
      </c>
    </row>
    <row r="77" spans="1:6" ht="12.75">
      <c r="A77" s="3">
        <v>40575</v>
      </c>
      <c r="B77" s="3"/>
      <c r="C77" s="3"/>
      <c r="D77" s="3"/>
      <c r="E77" s="3"/>
      <c r="F77" s="78">
        <f t="shared" si="9"/>
        <v>153093.83807149425</v>
      </c>
    </row>
    <row r="78" spans="1:6" ht="12.75">
      <c r="A78" s="3">
        <v>40603</v>
      </c>
      <c r="B78" s="3"/>
      <c r="C78" s="3"/>
      <c r="D78" s="3"/>
      <c r="E78" s="3"/>
      <c r="F78" s="78">
        <f t="shared" si="9"/>
        <v>162740.19500559964</v>
      </c>
    </row>
    <row r="79" spans="1:6" ht="12.75">
      <c r="A79" s="3">
        <v>40634</v>
      </c>
      <c r="B79" s="3"/>
      <c r="C79" s="3"/>
      <c r="D79" s="3"/>
      <c r="E79" s="3"/>
      <c r="F79" s="78">
        <f t="shared" si="9"/>
        <v>172386.55193970504</v>
      </c>
    </row>
    <row r="80" spans="1:6" ht="12.75">
      <c r="A80" s="3">
        <v>40664</v>
      </c>
      <c r="B80" s="3"/>
      <c r="C80" s="3"/>
      <c r="D80" s="3"/>
      <c r="E80" s="3"/>
      <c r="F80" s="78">
        <f t="shared" si="9"/>
        <v>182032.90887381043</v>
      </c>
    </row>
    <row r="81" spans="1:6" ht="12.75">
      <c r="A81" s="3">
        <v>40695</v>
      </c>
      <c r="B81" s="3"/>
      <c r="C81" s="3"/>
      <c r="D81" s="3"/>
      <c r="E81" s="3"/>
      <c r="F81" s="78">
        <f t="shared" si="9"/>
        <v>191679.26580791583</v>
      </c>
    </row>
    <row r="82" spans="1:6" ht="12.75">
      <c r="A82" s="3">
        <v>40725</v>
      </c>
      <c r="B82" s="3"/>
      <c r="C82" s="3"/>
      <c r="D82" s="3"/>
      <c r="E82" s="3"/>
      <c r="F82" s="78">
        <f t="shared" si="9"/>
        <v>201325.62274202122</v>
      </c>
    </row>
    <row r="83" spans="1:6" ht="12.75">
      <c r="A83" s="3">
        <v>40756</v>
      </c>
      <c r="B83" s="3"/>
      <c r="C83" s="3"/>
      <c r="D83" s="3"/>
      <c r="E83" s="3"/>
      <c r="F83" s="78">
        <f t="shared" si="9"/>
        <v>210971.97967612662</v>
      </c>
    </row>
    <row r="84" spans="1:6" ht="12.75">
      <c r="A84" s="3">
        <v>40787</v>
      </c>
      <c r="B84" s="3"/>
      <c r="C84" s="3"/>
      <c r="D84" s="3"/>
      <c r="E84" s="3"/>
      <c r="F84" s="78">
        <f t="shared" si="9"/>
        <v>220618.336610232</v>
      </c>
    </row>
    <row r="85" spans="1:6" ht="12.75">
      <c r="A85" s="3">
        <v>40817</v>
      </c>
      <c r="B85" s="3"/>
      <c r="C85" s="3"/>
      <c r="D85" s="3"/>
      <c r="E85" s="3"/>
      <c r="F85" s="78">
        <f t="shared" si="9"/>
        <v>230264.6935443374</v>
      </c>
    </row>
    <row r="86" spans="1:6" ht="12.75">
      <c r="A86" s="3">
        <v>40848</v>
      </c>
      <c r="B86" s="3"/>
      <c r="C86" s="3"/>
      <c r="D86" s="3"/>
      <c r="E86" s="3"/>
      <c r="F86" s="78">
        <f t="shared" si="9"/>
        <v>239911.0504784428</v>
      </c>
    </row>
    <row r="87" spans="1:8" ht="12.75">
      <c r="A87" s="3">
        <v>40878</v>
      </c>
      <c r="B87" s="3"/>
      <c r="C87" s="3"/>
      <c r="D87" s="3"/>
      <c r="E87" s="3"/>
      <c r="F87" s="78">
        <f t="shared" si="9"/>
        <v>249557.4074125482</v>
      </c>
      <c r="G87" s="78">
        <f>SUM(F76:F87)</f>
        <v>2358029.331299622</v>
      </c>
      <c r="H87" s="78">
        <f>F87*12</f>
        <v>2994688.8889505784</v>
      </c>
    </row>
    <row r="88" spans="1:6" ht="12.75">
      <c r="A88" s="3">
        <v>40909</v>
      </c>
      <c r="B88" s="3"/>
      <c r="C88" s="3"/>
      <c r="D88" s="3"/>
      <c r="E88" s="3"/>
      <c r="F88" s="78">
        <f>F87+$H$10</f>
        <v>240638.0250628863</v>
      </c>
    </row>
    <row r="89" spans="1:6" ht="12.75">
      <c r="A89" s="3">
        <v>40940</v>
      </c>
      <c r="B89" s="3"/>
      <c r="C89" s="3"/>
      <c r="D89" s="3"/>
      <c r="E89" s="3"/>
      <c r="F89" s="78">
        <f aca="true" t="shared" si="10" ref="F89:F99">F88+$H$10</f>
        <v>231718.6427132244</v>
      </c>
    </row>
    <row r="90" spans="1:6" ht="12.75">
      <c r="A90" s="3">
        <v>40969</v>
      </c>
      <c r="B90" s="3"/>
      <c r="C90" s="3"/>
      <c r="D90" s="3"/>
      <c r="E90" s="3"/>
      <c r="F90" s="78">
        <f t="shared" si="10"/>
        <v>222799.2603635625</v>
      </c>
    </row>
    <row r="91" spans="1:6" ht="12.75">
      <c r="A91" s="3">
        <v>41000</v>
      </c>
      <c r="B91" s="3"/>
      <c r="C91" s="3"/>
      <c r="D91" s="3"/>
      <c r="E91" s="3"/>
      <c r="F91" s="78">
        <f t="shared" si="10"/>
        <v>213879.8780139006</v>
      </c>
    </row>
    <row r="92" spans="1:6" ht="12.75">
      <c r="A92" s="3">
        <v>41030</v>
      </c>
      <c r="B92" s="3"/>
      <c r="C92" s="3"/>
      <c r="D92" s="3"/>
      <c r="E92" s="3"/>
      <c r="F92" s="78">
        <f t="shared" si="10"/>
        <v>204960.4956642387</v>
      </c>
    </row>
    <row r="93" spans="1:6" ht="12.75">
      <c r="A93" s="3">
        <v>41061</v>
      </c>
      <c r="B93" s="3"/>
      <c r="C93" s="3"/>
      <c r="D93" s="3"/>
      <c r="E93" s="3"/>
      <c r="F93" s="78">
        <f t="shared" si="10"/>
        <v>196041.1133145768</v>
      </c>
    </row>
    <row r="94" spans="1:6" ht="12.75">
      <c r="A94" s="3">
        <v>41091</v>
      </c>
      <c r="B94" s="3"/>
      <c r="C94" s="3"/>
      <c r="D94" s="3"/>
      <c r="E94" s="3"/>
      <c r="F94" s="78">
        <f t="shared" si="10"/>
        <v>187121.7309649149</v>
      </c>
    </row>
    <row r="95" spans="1:6" ht="12.75">
      <c r="A95" s="3">
        <v>41122</v>
      </c>
      <c r="B95" s="3"/>
      <c r="C95" s="3"/>
      <c r="D95" s="3"/>
      <c r="E95" s="3"/>
      <c r="F95" s="78">
        <f t="shared" si="10"/>
        <v>178202.348615253</v>
      </c>
    </row>
    <row r="96" spans="1:6" ht="12.75">
      <c r="A96" s="3">
        <v>41153</v>
      </c>
      <c r="B96" s="3"/>
      <c r="C96" s="3"/>
      <c r="D96" s="3"/>
      <c r="E96" s="3"/>
      <c r="F96" s="78">
        <f t="shared" si="10"/>
        <v>169282.9662655911</v>
      </c>
    </row>
    <row r="97" spans="1:6" ht="12.75">
      <c r="A97" s="3">
        <v>41183</v>
      </c>
      <c r="B97" s="3"/>
      <c r="C97" s="3"/>
      <c r="D97" s="3"/>
      <c r="E97" s="3"/>
      <c r="F97" s="78">
        <f t="shared" si="10"/>
        <v>160363.5839159292</v>
      </c>
    </row>
    <row r="98" spans="1:6" ht="12.75">
      <c r="A98" s="3">
        <v>41214</v>
      </c>
      <c r="B98" s="3"/>
      <c r="C98" s="3"/>
      <c r="D98" s="3"/>
      <c r="E98" s="3"/>
      <c r="F98" s="78">
        <f t="shared" si="10"/>
        <v>151444.2015662673</v>
      </c>
    </row>
    <row r="99" spans="1:8" ht="12.75">
      <c r="A99" s="3">
        <v>41244</v>
      </c>
      <c r="B99" s="3"/>
      <c r="C99" s="3"/>
      <c r="D99" s="3"/>
      <c r="E99" s="3"/>
      <c r="F99" s="78">
        <f t="shared" si="10"/>
        <v>142524.8192166054</v>
      </c>
      <c r="G99" s="78">
        <f>SUM(F88:F99)</f>
        <v>2298977.06567695</v>
      </c>
      <c r="H99" s="78">
        <f>F99*12</f>
        <v>1710297.8305992647</v>
      </c>
    </row>
    <row r="100" spans="1:6" ht="12.75">
      <c r="A100" s="3">
        <v>41275</v>
      </c>
      <c r="B100" s="3"/>
      <c r="C100" s="3"/>
      <c r="D100" s="3"/>
      <c r="E100" s="3"/>
      <c r="F100" s="78">
        <f>F99+$H$11</f>
        <v>149714.2658700011</v>
      </c>
    </row>
    <row r="101" spans="1:6" ht="12.75">
      <c r="A101" s="3">
        <v>41306</v>
      </c>
      <c r="B101" s="3"/>
      <c r="C101" s="3"/>
      <c r="D101" s="3"/>
      <c r="E101" s="3"/>
      <c r="F101" s="78">
        <f aca="true" t="shared" si="11" ref="F101:F111">F100+$H$11</f>
        <v>156903.71252339683</v>
      </c>
    </row>
    <row r="102" spans="1:6" ht="12.75">
      <c r="A102" s="3">
        <v>41334</v>
      </c>
      <c r="B102" s="3"/>
      <c r="C102" s="3"/>
      <c r="D102" s="3"/>
      <c r="E102" s="3"/>
      <c r="F102" s="78">
        <f t="shared" si="11"/>
        <v>164093.15917679254</v>
      </c>
    </row>
    <row r="103" spans="1:6" ht="12.75">
      <c r="A103" s="3">
        <v>41365</v>
      </c>
      <c r="B103" s="3"/>
      <c r="C103" s="3"/>
      <c r="D103" s="3"/>
      <c r="E103" s="3"/>
      <c r="F103" s="78">
        <f t="shared" si="11"/>
        <v>171282.60583018826</v>
      </c>
    </row>
    <row r="104" spans="1:6" ht="12.75">
      <c r="A104" s="3">
        <v>41395</v>
      </c>
      <c r="B104" s="3"/>
      <c r="C104" s="3"/>
      <c r="D104" s="3"/>
      <c r="E104" s="3"/>
      <c r="F104" s="78">
        <f t="shared" si="11"/>
        <v>178472.05248358398</v>
      </c>
    </row>
    <row r="105" spans="1:6" ht="12.75">
      <c r="A105" s="3">
        <v>41426</v>
      </c>
      <c r="B105" s="3"/>
      <c r="C105" s="3"/>
      <c r="D105" s="3"/>
      <c r="E105" s="3"/>
      <c r="F105" s="78">
        <f t="shared" si="11"/>
        <v>185661.4991369797</v>
      </c>
    </row>
    <row r="106" spans="1:6" ht="12.75">
      <c r="A106" s="3">
        <v>41456</v>
      </c>
      <c r="B106" s="3"/>
      <c r="C106" s="3"/>
      <c r="D106" s="3"/>
      <c r="E106" s="3"/>
      <c r="F106" s="78">
        <f t="shared" si="11"/>
        <v>192850.9457903754</v>
      </c>
    </row>
    <row r="107" spans="1:6" ht="12.75">
      <c r="A107" s="3">
        <v>41487</v>
      </c>
      <c r="B107" s="3"/>
      <c r="C107" s="3"/>
      <c r="D107" s="3"/>
      <c r="E107" s="3"/>
      <c r="F107" s="78">
        <f t="shared" si="11"/>
        <v>200040.39244377112</v>
      </c>
    </row>
    <row r="108" spans="1:6" ht="12.75">
      <c r="A108" s="3">
        <v>41518</v>
      </c>
      <c r="B108" s="3"/>
      <c r="C108" s="3"/>
      <c r="D108" s="3"/>
      <c r="E108" s="3"/>
      <c r="F108" s="78">
        <f t="shared" si="11"/>
        <v>207229.83909716684</v>
      </c>
    </row>
    <row r="109" spans="1:6" ht="12.75">
      <c r="A109" s="3">
        <v>41548</v>
      </c>
      <c r="B109" s="3"/>
      <c r="C109" s="3"/>
      <c r="D109" s="3"/>
      <c r="E109" s="3"/>
      <c r="F109" s="78">
        <f t="shared" si="11"/>
        <v>214419.28575056256</v>
      </c>
    </row>
    <row r="110" spans="1:6" ht="12.75">
      <c r="A110" s="3">
        <v>41579</v>
      </c>
      <c r="B110" s="3"/>
      <c r="C110" s="3"/>
      <c r="D110" s="3"/>
      <c r="E110" s="3"/>
      <c r="F110" s="78">
        <f t="shared" si="11"/>
        <v>221608.73240395827</v>
      </c>
    </row>
    <row r="111" spans="1:8" ht="12.75">
      <c r="A111" s="3">
        <v>41609</v>
      </c>
      <c r="B111" s="3"/>
      <c r="C111" s="3"/>
      <c r="D111" s="3"/>
      <c r="E111" s="3"/>
      <c r="F111" s="78">
        <f t="shared" si="11"/>
        <v>228798.179057354</v>
      </c>
      <c r="G111" s="78">
        <f>SUM(F100:F111)</f>
        <v>2271074.6695641303</v>
      </c>
      <c r="H111" s="78">
        <f>F111*12</f>
        <v>2745578.148688248</v>
      </c>
    </row>
  </sheetData>
  <sheetProtection/>
  <mergeCells count="5">
    <mergeCell ref="P12:T12"/>
    <mergeCell ref="J3:K3"/>
    <mergeCell ref="P2:R2"/>
    <mergeCell ref="P3:R3"/>
    <mergeCell ref="P5:T5"/>
  </mergeCells>
  <printOptions/>
  <pageMargins left="0.1" right="0.11" top="0.3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/>
  <cols>
    <col min="1" max="1" width="14.421875" style="131" customWidth="1"/>
    <col min="2" max="2" width="16.8515625" style="143" customWidth="1"/>
    <col min="3" max="3" width="6.7109375" style="131" customWidth="1"/>
    <col min="4" max="4" width="19.7109375" style="143" bestFit="1" customWidth="1"/>
    <col min="5" max="5" width="15.8515625" style="143" customWidth="1"/>
    <col min="6" max="6" width="12.57421875" style="131" customWidth="1"/>
    <col min="7" max="7" width="1.421875" style="131" customWidth="1"/>
    <col min="8" max="9" width="16.28125" style="143" customWidth="1"/>
    <col min="10" max="10" width="12.140625" style="131" customWidth="1"/>
    <col min="11" max="11" width="1.57421875" style="131" customWidth="1"/>
    <col min="12" max="13" width="14.7109375" style="143" customWidth="1"/>
    <col min="14" max="14" width="15.57421875" style="143" customWidth="1"/>
    <col min="15" max="15" width="12.57421875" style="131" customWidth="1"/>
    <col min="16" max="16" width="1.57421875" style="131" customWidth="1"/>
    <col min="17" max="18" width="13.00390625" style="143" customWidth="1"/>
    <col min="19" max="19" width="12.140625" style="131" bestFit="1" customWidth="1"/>
    <col min="20" max="20" width="12.421875" style="131" customWidth="1"/>
    <col min="21" max="21" width="1.57421875" style="131" customWidth="1"/>
    <col min="22" max="22" width="11.57421875" style="143" customWidth="1"/>
    <col min="23" max="23" width="12.28125" style="143" bestFit="1" customWidth="1"/>
    <col min="24" max="24" width="12.28125" style="132" bestFit="1" customWidth="1"/>
    <col min="25" max="25" width="12.8515625" style="131" customWidth="1"/>
    <col min="26" max="26" width="1.57421875" style="131" customWidth="1"/>
    <col min="27" max="28" width="13.57421875" style="143" customWidth="1"/>
    <col min="29" max="29" width="12.8515625" style="131" customWidth="1"/>
    <col min="30" max="31" width="9.140625" style="131" customWidth="1"/>
    <col min="32" max="32" width="15.140625" style="135" bestFit="1" customWidth="1"/>
    <col min="33" max="16384" width="9.140625" style="131" customWidth="1"/>
  </cols>
  <sheetData>
    <row r="1" spans="1:29" ht="12.75">
      <c r="A1" s="129" t="s">
        <v>149</v>
      </c>
      <c r="B1" s="130"/>
      <c r="D1" s="132"/>
      <c r="E1" s="133"/>
      <c r="F1" s="134"/>
      <c r="H1" s="132"/>
      <c r="I1" s="133"/>
      <c r="J1" s="134"/>
      <c r="L1" s="132"/>
      <c r="M1" s="133"/>
      <c r="N1" s="134"/>
      <c r="Q1" s="132"/>
      <c r="R1" s="133"/>
      <c r="S1" s="134"/>
      <c r="V1" s="132"/>
      <c r="W1" s="133"/>
      <c r="X1" s="134"/>
      <c r="AA1" s="132"/>
      <c r="AB1" s="133"/>
      <c r="AC1" s="134"/>
    </row>
    <row r="2" spans="2:32" s="136" customFormat="1" ht="12.75">
      <c r="B2" s="137" t="s">
        <v>150</v>
      </c>
      <c r="D2" s="170" t="s">
        <v>151</v>
      </c>
      <c r="E2" s="170"/>
      <c r="F2" s="170"/>
      <c r="H2" s="170" t="s">
        <v>152</v>
      </c>
      <c r="I2" s="170"/>
      <c r="J2" s="170"/>
      <c r="L2" s="170" t="s">
        <v>153</v>
      </c>
      <c r="M2" s="170"/>
      <c r="N2" s="170"/>
      <c r="Q2" s="170" t="s">
        <v>154</v>
      </c>
      <c r="R2" s="170"/>
      <c r="S2" s="170"/>
      <c r="T2" s="170"/>
      <c r="V2" s="170" t="s">
        <v>155</v>
      </c>
      <c r="W2" s="170"/>
      <c r="X2" s="170"/>
      <c r="Y2" s="170"/>
      <c r="AA2" s="170" t="s">
        <v>156</v>
      </c>
      <c r="AB2" s="170"/>
      <c r="AC2" s="170"/>
      <c r="AF2" s="138"/>
    </row>
    <row r="3" spans="2:32" s="136" customFormat="1" ht="12.75">
      <c r="B3" s="137" t="s">
        <v>157</v>
      </c>
      <c r="D3" s="137" t="s">
        <v>158</v>
      </c>
      <c r="E3" s="137" t="s">
        <v>158</v>
      </c>
      <c r="H3" s="137" t="s">
        <v>158</v>
      </c>
      <c r="I3" s="137" t="s">
        <v>158</v>
      </c>
      <c r="L3" s="137" t="s">
        <v>158</v>
      </c>
      <c r="M3" s="137" t="s">
        <v>158</v>
      </c>
      <c r="N3" s="137" t="s">
        <v>126</v>
      </c>
      <c r="Q3" s="137" t="s">
        <v>158</v>
      </c>
      <c r="R3" s="137" t="s">
        <v>158</v>
      </c>
      <c r="S3" s="136" t="s">
        <v>126</v>
      </c>
      <c r="V3" s="137" t="s">
        <v>158</v>
      </c>
      <c r="W3" s="137" t="s">
        <v>158</v>
      </c>
      <c r="X3" s="139" t="s">
        <v>126</v>
      </c>
      <c r="AA3" s="137" t="s">
        <v>158</v>
      </c>
      <c r="AB3" s="137" t="s">
        <v>158</v>
      </c>
      <c r="AF3" s="138"/>
    </row>
    <row r="4" spans="2:32" s="136" customFormat="1" ht="25.5">
      <c r="B4" s="140" t="s">
        <v>159</v>
      </c>
      <c r="D4" s="137" t="s">
        <v>83</v>
      </c>
      <c r="E4" s="137" t="s">
        <v>160</v>
      </c>
      <c r="F4" s="136" t="s">
        <v>161</v>
      </c>
      <c r="H4" s="137" t="s">
        <v>83</v>
      </c>
      <c r="I4" s="137" t="s">
        <v>160</v>
      </c>
      <c r="J4" s="136" t="s">
        <v>161</v>
      </c>
      <c r="L4" s="137" t="s">
        <v>83</v>
      </c>
      <c r="M4" s="137" t="s">
        <v>160</v>
      </c>
      <c r="N4" s="137" t="s">
        <v>160</v>
      </c>
      <c r="O4" s="136" t="s">
        <v>161</v>
      </c>
      <c r="Q4" s="137" t="s">
        <v>83</v>
      </c>
      <c r="R4" s="137" t="s">
        <v>160</v>
      </c>
      <c r="S4" s="136" t="s">
        <v>162</v>
      </c>
      <c r="T4" s="136" t="s">
        <v>163</v>
      </c>
      <c r="V4" s="137" t="s">
        <v>83</v>
      </c>
      <c r="W4" s="137" t="s">
        <v>160</v>
      </c>
      <c r="X4" s="139" t="s">
        <v>160</v>
      </c>
      <c r="Y4" s="136" t="s">
        <v>163</v>
      </c>
      <c r="AA4" s="137" t="s">
        <v>83</v>
      </c>
      <c r="AB4" s="137" t="s">
        <v>160</v>
      </c>
      <c r="AC4" s="136" t="s">
        <v>163</v>
      </c>
      <c r="AF4" s="138" t="s">
        <v>164</v>
      </c>
    </row>
    <row r="5" spans="1:32" ht="12.75">
      <c r="A5" s="141">
        <v>37257</v>
      </c>
      <c r="B5" s="132">
        <v>21908331</v>
      </c>
      <c r="C5" s="142"/>
      <c r="D5" s="143">
        <f>+E5</f>
        <v>9370922</v>
      </c>
      <c r="E5" s="143">
        <v>9370922</v>
      </c>
      <c r="F5" s="144">
        <v>7080</v>
      </c>
      <c r="G5" s="144"/>
      <c r="H5" s="143">
        <f aca="true" t="shared" si="0" ref="H5:H45">+I5</f>
        <v>4889021.85730725</v>
      </c>
      <c r="I5" s="143">
        <f>4914626-AB5</f>
        <v>4889021.85730725</v>
      </c>
      <c r="J5" s="144">
        <v>1477</v>
      </c>
      <c r="K5" s="144"/>
      <c r="L5" s="143">
        <f>+M5</f>
        <v>7984602</v>
      </c>
      <c r="M5" s="143">
        <f>4147312+671172+3166118</f>
        <v>7984602</v>
      </c>
      <c r="N5" s="132">
        <f>8895.3+1295.5+4827.2</f>
        <v>15018</v>
      </c>
      <c r="O5" s="131">
        <f>79+5+5</f>
        <v>89</v>
      </c>
      <c r="P5" s="144"/>
      <c r="Q5" s="143">
        <f>+R5</f>
        <v>154296</v>
      </c>
      <c r="R5" s="143">
        <v>154296</v>
      </c>
      <c r="S5" s="144">
        <v>428.6</v>
      </c>
      <c r="T5" s="144">
        <v>2056</v>
      </c>
      <c r="U5" s="144"/>
      <c r="V5" s="143">
        <f>+W5</f>
        <v>3512</v>
      </c>
      <c r="W5" s="143">
        <v>3512</v>
      </c>
      <c r="X5" s="132">
        <f>+X6/W6*W5</f>
        <v>9.719982287048223</v>
      </c>
      <c r="Y5" s="144">
        <v>49</v>
      </c>
      <c r="Z5" s="144"/>
      <c r="AA5" s="143">
        <f>+AB5</f>
        <v>25604.14269275029</v>
      </c>
      <c r="AB5" s="143">
        <f>26700/1.0428</f>
        <v>25604.14269275029</v>
      </c>
      <c r="AC5" s="144">
        <v>77</v>
      </c>
      <c r="AF5" s="135">
        <f>+B5-E5-I5-M5-R5-W5-AB5</f>
        <v>-519627</v>
      </c>
    </row>
    <row r="6" spans="1:32" ht="12.75">
      <c r="A6" s="141">
        <v>37288</v>
      </c>
      <c r="B6" s="132">
        <v>20148761</v>
      </c>
      <c r="C6" s="142"/>
      <c r="D6" s="143">
        <f aca="true" t="shared" si="1" ref="D6:D46">+E6</f>
        <v>8234061</v>
      </c>
      <c r="E6" s="143">
        <v>8234061</v>
      </c>
      <c r="F6" s="144">
        <v>7087</v>
      </c>
      <c r="G6" s="144"/>
      <c r="H6" s="143">
        <f t="shared" si="0"/>
        <v>4224389.85730725</v>
      </c>
      <c r="I6" s="143">
        <f>4249994-AB6</f>
        <v>4224389.85730725</v>
      </c>
      <c r="J6" s="144">
        <v>1463</v>
      </c>
      <c r="K6" s="144"/>
      <c r="L6" s="143">
        <f aca="true" t="shared" si="2" ref="L6:L46">+M6</f>
        <v>7264183</v>
      </c>
      <c r="M6" s="143">
        <f>3789068+583375+2891740</f>
        <v>7264183</v>
      </c>
      <c r="N6" s="132">
        <f>7536.1+1477.7+5736</f>
        <v>14749.800000000001</v>
      </c>
      <c r="O6" s="131">
        <f>79+5+5</f>
        <v>89</v>
      </c>
      <c r="P6" s="144"/>
      <c r="Q6" s="143">
        <f aca="true" t="shared" si="3" ref="Q6:Q46">+R6</f>
        <v>154440</v>
      </c>
      <c r="R6" s="143">
        <v>154440</v>
      </c>
      <c r="S6" s="144">
        <v>429</v>
      </c>
      <c r="T6" s="144">
        <v>2056</v>
      </c>
      <c r="U6" s="144"/>
      <c r="V6" s="143">
        <f aca="true" t="shared" si="4" ref="V6:V46">+W6</f>
        <v>3512</v>
      </c>
      <c r="W6" s="143">
        <v>3512</v>
      </c>
      <c r="X6" s="132">
        <f>+X7/W7*W6</f>
        <v>9.719982287048223</v>
      </c>
      <c r="Y6" s="144">
        <v>49</v>
      </c>
      <c r="Z6" s="144"/>
      <c r="AA6" s="143">
        <f aca="true" t="shared" si="5" ref="AA6:AA46">+AB6</f>
        <v>25604.14269275029</v>
      </c>
      <c r="AB6" s="143">
        <f>26700/1.0428</f>
        <v>25604.14269275029</v>
      </c>
      <c r="AC6" s="144">
        <v>77</v>
      </c>
      <c r="AF6" s="135">
        <f aca="true" t="shared" si="6" ref="AF6:AF69">+B6-E6-I6-M6-R6-W6-AB6</f>
        <v>242571.00000000003</v>
      </c>
    </row>
    <row r="7" spans="1:32" ht="12.75">
      <c r="A7" s="141">
        <v>37316</v>
      </c>
      <c r="B7" s="132">
        <v>20969681</v>
      </c>
      <c r="C7" s="142"/>
      <c r="D7" s="143">
        <f t="shared" si="1"/>
        <v>7780124</v>
      </c>
      <c r="E7" s="143">
        <v>7780124</v>
      </c>
      <c r="F7" s="144">
        <v>7088</v>
      </c>
      <c r="G7" s="144"/>
      <c r="H7" s="143">
        <f t="shared" si="0"/>
        <v>3971644.8573072497</v>
      </c>
      <c r="I7" s="143">
        <f>3997249-AB7</f>
        <v>3971644.8573072497</v>
      </c>
      <c r="J7" s="144">
        <v>1464</v>
      </c>
      <c r="K7" s="144"/>
      <c r="L7" s="143">
        <f t="shared" si="2"/>
        <v>7254440</v>
      </c>
      <c r="M7" s="143">
        <f>3585247+629501+3039692</f>
        <v>7254440</v>
      </c>
      <c r="N7" s="132">
        <f>9451.3+1764.1+5379.3</f>
        <v>16594.7</v>
      </c>
      <c r="O7" s="131">
        <f>79+5+6</f>
        <v>90</v>
      </c>
      <c r="P7" s="144"/>
      <c r="Q7" s="143">
        <f t="shared" si="3"/>
        <v>154440</v>
      </c>
      <c r="R7" s="143">
        <v>154440</v>
      </c>
      <c r="S7" s="144">
        <v>429</v>
      </c>
      <c r="T7" s="144">
        <v>2056</v>
      </c>
      <c r="U7" s="144"/>
      <c r="V7" s="143">
        <f t="shared" si="4"/>
        <v>3512</v>
      </c>
      <c r="W7" s="143">
        <v>3512</v>
      </c>
      <c r="X7" s="132">
        <f>+X8/W8*W7</f>
        <v>9.719982287048223</v>
      </c>
      <c r="Y7" s="144">
        <v>49</v>
      </c>
      <c r="Z7" s="144"/>
      <c r="AA7" s="143">
        <f t="shared" si="5"/>
        <v>25604.14269275029</v>
      </c>
      <c r="AB7" s="143">
        <f>26700/1.0428</f>
        <v>25604.14269275029</v>
      </c>
      <c r="AC7" s="144">
        <v>77</v>
      </c>
      <c r="AF7" s="135">
        <f t="shared" si="6"/>
        <v>1779916</v>
      </c>
    </row>
    <row r="8" spans="1:32" ht="12.75">
      <c r="A8" s="141">
        <v>37347</v>
      </c>
      <c r="B8" s="132">
        <v>17766701</v>
      </c>
      <c r="C8" s="142"/>
      <c r="D8" s="143">
        <f t="shared" si="1"/>
        <v>5129613</v>
      </c>
      <c r="E8" s="143">
        <v>5129613</v>
      </c>
      <c r="F8" s="144">
        <v>7092</v>
      </c>
      <c r="G8" s="144"/>
      <c r="H8" s="143">
        <f t="shared" si="0"/>
        <v>2810998.8573072497</v>
      </c>
      <c r="I8" s="143">
        <f>2836603-AB8</f>
        <v>2810998.8573072497</v>
      </c>
      <c r="J8" s="144">
        <v>1466</v>
      </c>
      <c r="K8" s="144"/>
      <c r="L8" s="143">
        <f t="shared" si="2"/>
        <v>6325293</v>
      </c>
      <c r="M8" s="143">
        <f>2776358+592803+2956132</f>
        <v>6325293</v>
      </c>
      <c r="N8" s="132">
        <f>8016.9+1579.6+5967.8</f>
        <v>15564.3</v>
      </c>
      <c r="O8" s="131">
        <f>76+11+6</f>
        <v>93</v>
      </c>
      <c r="P8" s="144"/>
      <c r="Q8" s="143">
        <f t="shared" si="3"/>
        <v>154332</v>
      </c>
      <c r="R8" s="143">
        <v>154332</v>
      </c>
      <c r="S8" s="144">
        <v>428.7</v>
      </c>
      <c r="T8" s="144">
        <v>2056</v>
      </c>
      <c r="U8" s="144"/>
      <c r="V8" s="143">
        <f t="shared" si="4"/>
        <v>1793</v>
      </c>
      <c r="W8" s="143">
        <v>1793</v>
      </c>
      <c r="X8" s="132">
        <f>+X9/W9*W8</f>
        <v>4.962394145978777</v>
      </c>
      <c r="Y8" s="144">
        <v>49</v>
      </c>
      <c r="Z8" s="144"/>
      <c r="AA8" s="143">
        <f t="shared" si="5"/>
        <v>25604.14269275029</v>
      </c>
      <c r="AB8" s="143">
        <f>26700/1.0428</f>
        <v>25604.14269275029</v>
      </c>
      <c r="AC8" s="144">
        <v>75</v>
      </c>
      <c r="AF8" s="135">
        <f t="shared" si="6"/>
        <v>3319067</v>
      </c>
    </row>
    <row r="9" spans="1:32" ht="12.75">
      <c r="A9" s="141">
        <v>37377</v>
      </c>
      <c r="B9" s="132">
        <v>20825782</v>
      </c>
      <c r="C9" s="142"/>
      <c r="D9" s="143">
        <f t="shared" si="1"/>
        <v>5827246</v>
      </c>
      <c r="E9" s="143">
        <v>5827246</v>
      </c>
      <c r="F9" s="144">
        <v>7097</v>
      </c>
      <c r="G9" s="144"/>
      <c r="H9" s="143">
        <f t="shared" si="0"/>
        <v>3587646.2846183353</v>
      </c>
      <c r="I9" s="143">
        <f>3614452-AB9</f>
        <v>3587646.2846183353</v>
      </c>
      <c r="J9" s="144">
        <v>1470</v>
      </c>
      <c r="K9" s="144"/>
      <c r="L9" s="143">
        <f t="shared" si="2"/>
        <v>7145325.8</v>
      </c>
      <c r="M9" s="143">
        <f>2559160.8+1394321+3191844</f>
        <v>7145325.8</v>
      </c>
      <c r="N9" s="132">
        <f>8041+3387.5+7511.5</f>
        <v>18940</v>
      </c>
      <c r="O9" s="131">
        <f>76+11+6</f>
        <v>93</v>
      </c>
      <c r="P9" s="144"/>
      <c r="Q9" s="143">
        <f t="shared" si="3"/>
        <v>123677</v>
      </c>
      <c r="R9" s="143">
        <v>123677</v>
      </c>
      <c r="S9" s="144">
        <v>428.7</v>
      </c>
      <c r="T9" s="144">
        <v>2056</v>
      </c>
      <c r="U9" s="144"/>
      <c r="V9" s="143">
        <f t="shared" si="4"/>
        <v>3733</v>
      </c>
      <c r="W9" s="143">
        <v>3733</v>
      </c>
      <c r="X9" s="132">
        <f>14.58/(0.00392*360)</f>
        <v>10.331632653061224</v>
      </c>
      <c r="Y9" s="144">
        <v>50</v>
      </c>
      <c r="Z9" s="144"/>
      <c r="AA9" s="143">
        <f t="shared" si="5"/>
        <v>26805.71538166475</v>
      </c>
      <c r="AB9" s="143">
        <f>27953/1.0428</f>
        <v>26805.71538166475</v>
      </c>
      <c r="AC9" s="144">
        <v>73</v>
      </c>
      <c r="AF9" s="135">
        <f t="shared" si="6"/>
        <v>4111348.2000000007</v>
      </c>
    </row>
    <row r="10" spans="1:32" ht="12.75">
      <c r="A10" s="141">
        <v>37408</v>
      </c>
      <c r="B10" s="132">
        <v>18547738</v>
      </c>
      <c r="C10" s="142"/>
      <c r="D10" s="143">
        <f t="shared" si="1"/>
        <v>4866257</v>
      </c>
      <c r="E10" s="143">
        <v>4866257</v>
      </c>
      <c r="F10" s="144">
        <v>7105</v>
      </c>
      <c r="G10" s="144"/>
      <c r="H10" s="143">
        <f t="shared" si="0"/>
        <v>3774672.88185654</v>
      </c>
      <c r="I10" s="143">
        <f>3801329-AB10</f>
        <v>3774672.88185654</v>
      </c>
      <c r="J10" s="144">
        <v>1469</v>
      </c>
      <c r="K10" s="144"/>
      <c r="L10" s="143">
        <f t="shared" si="2"/>
        <v>7207837</v>
      </c>
      <c r="M10" s="143">
        <f>2354805+1531537+3321495</f>
        <v>7207837</v>
      </c>
      <c r="N10" s="132">
        <f>7767.6+3528.7+7495.5</f>
        <v>18791.8</v>
      </c>
      <c r="O10" s="131">
        <f>76+11+6</f>
        <v>93</v>
      </c>
      <c r="P10" s="144"/>
      <c r="Q10" s="143">
        <f t="shared" si="3"/>
        <v>112530</v>
      </c>
      <c r="R10" s="143">
        <v>112530</v>
      </c>
      <c r="S10" s="144">
        <v>428.7</v>
      </c>
      <c r="T10" s="144">
        <v>2056</v>
      </c>
      <c r="U10" s="144"/>
      <c r="V10" s="143">
        <f t="shared" si="4"/>
        <v>3734</v>
      </c>
      <c r="W10" s="143">
        <v>3734</v>
      </c>
      <c r="X10" s="132">
        <f>14.58/(0.00392*360)</f>
        <v>10.331632653061224</v>
      </c>
      <c r="Y10" s="144">
        <v>50</v>
      </c>
      <c r="Z10" s="144"/>
      <c r="AA10" s="143">
        <f t="shared" si="5"/>
        <v>26656.118143459917</v>
      </c>
      <c r="AB10" s="143">
        <f aca="true" t="shared" si="7" ref="AB10:AB15">27797/1.0428</f>
        <v>26656.118143459917</v>
      </c>
      <c r="AC10" s="144">
        <v>71</v>
      </c>
      <c r="AF10" s="135">
        <f t="shared" si="6"/>
        <v>2556051</v>
      </c>
    </row>
    <row r="11" spans="1:32" ht="12.75">
      <c r="A11" s="141">
        <v>37438</v>
      </c>
      <c r="B11" s="132">
        <v>17384899</v>
      </c>
      <c r="C11" s="142"/>
      <c r="D11" s="143">
        <f t="shared" si="1"/>
        <v>4954663</v>
      </c>
      <c r="E11" s="143">
        <v>4954663</v>
      </c>
      <c r="F11" s="144">
        <v>7111</v>
      </c>
      <c r="G11" s="144"/>
      <c r="H11" s="143">
        <f t="shared" si="0"/>
        <v>4289104.88185654</v>
      </c>
      <c r="I11" s="143">
        <f>4315761-AB11</f>
        <v>4289104.88185654</v>
      </c>
      <c r="J11" s="144">
        <v>1471</v>
      </c>
      <c r="K11" s="144"/>
      <c r="L11" s="143">
        <f t="shared" si="2"/>
        <v>7415465</v>
      </c>
      <c r="M11" s="143">
        <f>2429384+1680561+3305520</f>
        <v>7415465</v>
      </c>
      <c r="N11" s="132">
        <f>7005.1+3614.7+6800.1</f>
        <v>17419.9</v>
      </c>
      <c r="O11" s="131">
        <f>76+11+6</f>
        <v>93</v>
      </c>
      <c r="P11" s="144"/>
      <c r="Q11" s="143">
        <f t="shared" si="3"/>
        <v>120355</v>
      </c>
      <c r="R11" s="143">
        <v>120355</v>
      </c>
      <c r="S11" s="144">
        <v>428.7</v>
      </c>
      <c r="T11" s="144">
        <v>2056</v>
      </c>
      <c r="U11" s="144"/>
      <c r="V11" s="143">
        <f t="shared" si="4"/>
        <v>3598</v>
      </c>
      <c r="W11" s="143">
        <v>3598</v>
      </c>
      <c r="X11" s="132">
        <f>14.05/(0.00392*360)</f>
        <v>9.95606575963719</v>
      </c>
      <c r="Y11" s="144">
        <v>50</v>
      </c>
      <c r="Z11" s="144"/>
      <c r="AA11" s="143">
        <f t="shared" si="5"/>
        <v>26656.118143459917</v>
      </c>
      <c r="AB11" s="143">
        <f t="shared" si="7"/>
        <v>26656.118143459917</v>
      </c>
      <c r="AC11" s="144">
        <v>71</v>
      </c>
      <c r="AF11" s="135">
        <f t="shared" si="6"/>
        <v>575056.9999999999</v>
      </c>
    </row>
    <row r="12" spans="1:32" ht="12.75">
      <c r="A12" s="141">
        <v>37469</v>
      </c>
      <c r="B12" s="132">
        <v>18765385</v>
      </c>
      <c r="C12" s="142"/>
      <c r="D12" s="143">
        <f t="shared" si="1"/>
        <v>3963370</v>
      </c>
      <c r="E12" s="143">
        <v>3963370</v>
      </c>
      <c r="F12" s="144">
        <v>7117</v>
      </c>
      <c r="G12" s="144"/>
      <c r="H12" s="143">
        <f t="shared" si="0"/>
        <v>3018991.88185654</v>
      </c>
      <c r="I12" s="143">
        <f>3045648-AB12</f>
        <v>3018991.88185654</v>
      </c>
      <c r="J12" s="144">
        <v>1470</v>
      </c>
      <c r="K12" s="144"/>
      <c r="L12" s="143">
        <f t="shared" si="2"/>
        <v>7046351</v>
      </c>
      <c r="M12" s="143">
        <f>2108660+1657565+3280126</f>
        <v>7046351</v>
      </c>
      <c r="N12" s="132">
        <f>6517+3639.3+6796.5</f>
        <v>16952.8</v>
      </c>
      <c r="O12" s="131">
        <f>77+11+6</f>
        <v>94</v>
      </c>
      <c r="P12" s="144"/>
      <c r="Q12" s="143">
        <f t="shared" si="3"/>
        <v>134287</v>
      </c>
      <c r="R12" s="143">
        <v>134287</v>
      </c>
      <c r="S12" s="144">
        <v>428.7</v>
      </c>
      <c r="T12" s="144">
        <v>2056</v>
      </c>
      <c r="U12" s="144"/>
      <c r="V12" s="143">
        <f t="shared" si="4"/>
        <v>3870</v>
      </c>
      <c r="W12" s="143">
        <v>3870</v>
      </c>
      <c r="X12" s="132">
        <f>15.12/(0.00392*360)</f>
        <v>10.714285714285714</v>
      </c>
      <c r="Y12" s="144">
        <v>49</v>
      </c>
      <c r="Z12" s="144"/>
      <c r="AA12" s="143">
        <f t="shared" si="5"/>
        <v>26656.118143459917</v>
      </c>
      <c r="AB12" s="143">
        <f t="shared" si="7"/>
        <v>26656.118143459917</v>
      </c>
      <c r="AC12" s="144">
        <v>71</v>
      </c>
      <c r="AF12" s="135">
        <f t="shared" si="6"/>
        <v>4571859</v>
      </c>
    </row>
    <row r="13" spans="1:32" ht="12.75">
      <c r="A13" s="141">
        <v>37500</v>
      </c>
      <c r="B13" s="132">
        <v>16411203</v>
      </c>
      <c r="C13" s="142"/>
      <c r="D13" s="143">
        <f t="shared" si="1"/>
        <v>5864878</v>
      </c>
      <c r="E13" s="143">
        <v>5864878</v>
      </c>
      <c r="F13" s="144">
        <v>7129</v>
      </c>
      <c r="G13" s="144"/>
      <c r="H13" s="143">
        <f t="shared" si="0"/>
        <v>4483079.88185654</v>
      </c>
      <c r="I13" s="143">
        <f>4509736-AB13</f>
        <v>4483079.88185654</v>
      </c>
      <c r="J13" s="144">
        <v>1470</v>
      </c>
      <c r="K13" s="144"/>
      <c r="L13" s="143">
        <f t="shared" si="2"/>
        <v>7843671</v>
      </c>
      <c r="M13" s="143">
        <f>3254450+1484054+3105167</f>
        <v>7843671</v>
      </c>
      <c r="N13" s="132">
        <f>9891.6+3496.6+6779.1</f>
        <v>20167.300000000003</v>
      </c>
      <c r="O13" s="131">
        <f>77+11+6</f>
        <v>94</v>
      </c>
      <c r="P13" s="144"/>
      <c r="Q13" s="143">
        <f t="shared" si="3"/>
        <v>148434</v>
      </c>
      <c r="R13" s="143">
        <v>148434</v>
      </c>
      <c r="S13" s="144">
        <v>428.7</v>
      </c>
      <c r="T13" s="144">
        <v>2056</v>
      </c>
      <c r="U13" s="144"/>
      <c r="V13" s="143">
        <f t="shared" si="4"/>
        <v>3634</v>
      </c>
      <c r="W13" s="143">
        <v>3634</v>
      </c>
      <c r="X13" s="132">
        <f>14.2/(0.00392*360)</f>
        <v>10.062358276643991</v>
      </c>
      <c r="Y13" s="144">
        <v>49</v>
      </c>
      <c r="Z13" s="144"/>
      <c r="AA13" s="143">
        <f t="shared" si="5"/>
        <v>26656.118143459917</v>
      </c>
      <c r="AB13" s="143">
        <f t="shared" si="7"/>
        <v>26656.118143459917</v>
      </c>
      <c r="AC13" s="144">
        <v>71</v>
      </c>
      <c r="AF13" s="135">
        <f t="shared" si="6"/>
        <v>-1959150.0000000002</v>
      </c>
    </row>
    <row r="14" spans="1:32" ht="12.75">
      <c r="A14" s="141">
        <v>37530</v>
      </c>
      <c r="B14" s="132">
        <v>18258351</v>
      </c>
      <c r="C14" s="142"/>
      <c r="D14" s="143">
        <f t="shared" si="1"/>
        <v>6057697</v>
      </c>
      <c r="E14" s="143">
        <v>6057697</v>
      </c>
      <c r="F14" s="144">
        <v>7130</v>
      </c>
      <c r="G14" s="144"/>
      <c r="H14" s="143">
        <f t="shared" si="0"/>
        <v>3645647.88185654</v>
      </c>
      <c r="I14" s="143">
        <f>3672304-AB14</f>
        <v>3645647.88185654</v>
      </c>
      <c r="J14" s="144">
        <v>1467</v>
      </c>
      <c r="K14" s="144"/>
      <c r="L14" s="143">
        <f t="shared" si="2"/>
        <v>7279178</v>
      </c>
      <c r="M14" s="143">
        <f>2716816+1385272+3177090</f>
        <v>7279178</v>
      </c>
      <c r="N14" s="132">
        <f>8179.7+3395.5+6556.1</f>
        <v>18131.300000000003</v>
      </c>
      <c r="O14" s="131">
        <f>77+11+6</f>
        <v>94</v>
      </c>
      <c r="P14" s="144"/>
      <c r="Q14" s="143">
        <f t="shared" si="3"/>
        <v>172652</v>
      </c>
      <c r="R14" s="143">
        <v>172652</v>
      </c>
      <c r="S14" s="144">
        <v>428.9</v>
      </c>
      <c r="T14" s="144">
        <v>2058</v>
      </c>
      <c r="U14" s="144"/>
      <c r="V14" s="143">
        <f t="shared" si="4"/>
        <v>3584</v>
      </c>
      <c r="W14" s="143">
        <v>3584</v>
      </c>
      <c r="X14" s="132">
        <f>14/(0.00392*360)</f>
        <v>9.920634920634921</v>
      </c>
      <c r="Y14" s="144">
        <v>49</v>
      </c>
      <c r="Z14" s="144"/>
      <c r="AA14" s="143">
        <f t="shared" si="5"/>
        <v>26656.118143459917</v>
      </c>
      <c r="AB14" s="143">
        <f t="shared" si="7"/>
        <v>26656.118143459917</v>
      </c>
      <c r="AC14" s="144">
        <v>71</v>
      </c>
      <c r="AF14" s="135">
        <f t="shared" si="6"/>
        <v>1072935.9999999998</v>
      </c>
    </row>
    <row r="15" spans="1:32" ht="12.75">
      <c r="A15" s="141">
        <v>37561</v>
      </c>
      <c r="B15" s="132">
        <v>22294354</v>
      </c>
      <c r="C15" s="142"/>
      <c r="D15" s="143">
        <f t="shared" si="1"/>
        <v>7720013</v>
      </c>
      <c r="E15" s="143">
        <f>2810274+4110377+175924+597850+25588</f>
        <v>7720013</v>
      </c>
      <c r="F15" s="144">
        <v>7147</v>
      </c>
      <c r="G15" s="144"/>
      <c r="H15" s="143">
        <f t="shared" si="0"/>
        <v>3978611.88185654</v>
      </c>
      <c r="I15" s="143">
        <f>1181271+2135713+91409+572377+24498-AB15</f>
        <v>3978611.88185654</v>
      </c>
      <c r="J15" s="144">
        <v>1465</v>
      </c>
      <c r="K15" s="144"/>
      <c r="L15" s="143">
        <f t="shared" si="2"/>
        <v>7385903</v>
      </c>
      <c r="M15" s="143">
        <f>901380+1390335+3087519+1737081+74347+187228+8013</f>
        <v>7385903</v>
      </c>
      <c r="N15" s="143">
        <f>12953+(13630.9+2959.6+6459.5)*0.5*0.5</f>
        <v>18715.5</v>
      </c>
      <c r="O15" s="131">
        <f>78+11+6</f>
        <v>95</v>
      </c>
      <c r="P15" s="144"/>
      <c r="Q15" s="143">
        <f t="shared" si="3"/>
        <v>184449</v>
      </c>
      <c r="R15" s="143">
        <v>184449</v>
      </c>
      <c r="S15" s="144">
        <v>428.9</v>
      </c>
      <c r="T15" s="144">
        <v>2058</v>
      </c>
      <c r="U15" s="144"/>
      <c r="V15" s="143">
        <f t="shared" si="4"/>
        <v>4336</v>
      </c>
      <c r="W15" s="143">
        <f>2796+1477+63</f>
        <v>4336</v>
      </c>
      <c r="X15" s="132">
        <f>10.93/2796*4336/(0.00392*360)</f>
        <v>12.011125384822503</v>
      </c>
      <c r="Y15" s="144">
        <v>44</v>
      </c>
      <c r="Z15" s="144"/>
      <c r="AA15" s="143">
        <f t="shared" si="5"/>
        <v>26656.118143459917</v>
      </c>
      <c r="AB15" s="143">
        <f t="shared" si="7"/>
        <v>26656.118143459917</v>
      </c>
      <c r="AC15" s="144">
        <v>71</v>
      </c>
      <c r="AF15" s="135">
        <f t="shared" si="6"/>
        <v>2994385</v>
      </c>
    </row>
    <row r="16" spans="1:32" ht="12.75">
      <c r="A16" s="141">
        <v>37591</v>
      </c>
      <c r="B16" s="132">
        <v>25437200</v>
      </c>
      <c r="C16" s="142"/>
      <c r="D16" s="143">
        <f t="shared" si="1"/>
        <v>9366308</v>
      </c>
      <c r="E16" s="143">
        <f>14276047-4110377-175924-597850-25588</f>
        <v>9366308</v>
      </c>
      <c r="F16" s="144">
        <v>7167</v>
      </c>
      <c r="G16" s="144"/>
      <c r="H16" s="143">
        <f t="shared" si="0"/>
        <v>4592244.88185654</v>
      </c>
      <c r="I16" s="143">
        <f>7442898-2135713-91409-572377-24498-AB16</f>
        <v>4592244.88185654</v>
      </c>
      <c r="J16" s="144">
        <v>1465</v>
      </c>
      <c r="K16" s="144"/>
      <c r="L16" s="143">
        <f t="shared" si="2"/>
        <v>7241303</v>
      </c>
      <c r="M16" s="143">
        <f>5169685+1376702+2701585-1737081-74347-187228-8013</f>
        <v>7241303</v>
      </c>
      <c r="N16" s="143">
        <f>+(13630.9+2959.6+6459.5)-(13630.9+2959.6+6459.5)*0.5*0.5</f>
        <v>17287.5</v>
      </c>
      <c r="O16" s="131">
        <f>79+11+6</f>
        <v>96</v>
      </c>
      <c r="P16" s="144"/>
      <c r="Q16" s="143">
        <f t="shared" si="3"/>
        <v>198604</v>
      </c>
      <c r="R16" s="143">
        <v>198604</v>
      </c>
      <c r="S16" s="144">
        <v>428.9</v>
      </c>
      <c r="T16" s="144">
        <v>2058</v>
      </c>
      <c r="U16" s="144"/>
      <c r="V16" s="143">
        <f t="shared" si="4"/>
        <v>3152</v>
      </c>
      <c r="W16" s="143">
        <f>4692-1477-63</f>
        <v>3152</v>
      </c>
      <c r="X16" s="132">
        <f>18.48/4692*3152/(0.00392*360)</f>
        <v>8.797142045223886</v>
      </c>
      <c r="Y16" s="144">
        <v>49</v>
      </c>
      <c r="Z16" s="144"/>
      <c r="AA16" s="143">
        <f t="shared" si="5"/>
        <v>26656.118143459917</v>
      </c>
      <c r="AB16" s="143">
        <f>27797/1.0428</f>
        <v>26656.118143459917</v>
      </c>
      <c r="AC16" s="144">
        <v>71</v>
      </c>
      <c r="AF16" s="135">
        <f t="shared" si="6"/>
        <v>4008932</v>
      </c>
    </row>
    <row r="17" spans="1:32" ht="12.75">
      <c r="A17" s="141">
        <v>37622</v>
      </c>
      <c r="B17" s="132">
        <v>25188355</v>
      </c>
      <c r="C17" s="142"/>
      <c r="D17" s="143">
        <f t="shared" si="1"/>
        <v>10639345</v>
      </c>
      <c r="E17" s="143">
        <v>10639345</v>
      </c>
      <c r="F17" s="144">
        <v>7167</v>
      </c>
      <c r="G17" s="144"/>
      <c r="H17" s="143">
        <f t="shared" si="0"/>
        <v>4462312.74491753</v>
      </c>
      <c r="I17" s="143">
        <f>4488218-AB17</f>
        <v>4462312.74491753</v>
      </c>
      <c r="J17" s="144">
        <v>1464</v>
      </c>
      <c r="K17" s="144"/>
      <c r="L17" s="143">
        <f t="shared" si="2"/>
        <v>7894686</v>
      </c>
      <c r="M17" s="143">
        <f>3160734+1432665+3301287</f>
        <v>7894686</v>
      </c>
      <c r="N17" s="143">
        <f>8639.7+2929.5+6625</f>
        <v>18194.2</v>
      </c>
      <c r="O17" s="131">
        <f>80+11+6</f>
        <v>97</v>
      </c>
      <c r="P17" s="144"/>
      <c r="Q17" s="143">
        <f t="shared" si="3"/>
        <v>194529</v>
      </c>
      <c r="R17" s="143">
        <v>194529</v>
      </c>
      <c r="S17" s="144">
        <v>428.9</v>
      </c>
      <c r="T17" s="144">
        <v>2058</v>
      </c>
      <c r="U17" s="144"/>
      <c r="V17" s="143">
        <f t="shared" si="4"/>
        <v>3768</v>
      </c>
      <c r="W17" s="143">
        <v>3768</v>
      </c>
      <c r="X17" s="132">
        <f>14.83/(0.00392*360)</f>
        <v>10.508786848072562</v>
      </c>
      <c r="Y17" s="144">
        <v>49</v>
      </c>
      <c r="Z17" s="144"/>
      <c r="AA17" s="143">
        <f t="shared" si="5"/>
        <v>25905.255082470274</v>
      </c>
      <c r="AB17" s="143">
        <f>27014/1.0428</f>
        <v>25905.255082470274</v>
      </c>
      <c r="AC17" s="144">
        <v>70</v>
      </c>
      <c r="AF17" s="135">
        <f t="shared" si="6"/>
        <v>1967808.999999999</v>
      </c>
    </row>
    <row r="18" spans="1:32" ht="12.75">
      <c r="A18" s="141">
        <v>37653</v>
      </c>
      <c r="B18" s="132">
        <v>25190654</v>
      </c>
      <c r="C18" s="142"/>
      <c r="D18" s="143">
        <f t="shared" si="1"/>
        <v>9366250</v>
      </c>
      <c r="E18" s="143">
        <v>9366250</v>
      </c>
      <c r="F18" s="144">
        <v>7196</v>
      </c>
      <c r="G18" s="144"/>
      <c r="H18" s="143">
        <f t="shared" si="0"/>
        <v>4740370.74491753</v>
      </c>
      <c r="I18" s="143">
        <f>4766276-AB18</f>
        <v>4740370.74491753</v>
      </c>
      <c r="J18" s="144">
        <v>1463</v>
      </c>
      <c r="K18" s="144"/>
      <c r="L18" s="143">
        <f t="shared" si="2"/>
        <v>7781308</v>
      </c>
      <c r="M18" s="143">
        <f>3409114+1302993+3069201</f>
        <v>7781308</v>
      </c>
      <c r="N18" s="143">
        <f>8811.4+2911.8+6732.1</f>
        <v>18455.300000000003</v>
      </c>
      <c r="O18" s="131">
        <f>80+11+6</f>
        <v>97</v>
      </c>
      <c r="P18" s="144"/>
      <c r="Q18" s="143">
        <f t="shared" si="3"/>
        <v>162505</v>
      </c>
      <c r="R18" s="143">
        <v>162505</v>
      </c>
      <c r="S18" s="144">
        <v>429.3</v>
      </c>
      <c r="T18" s="144">
        <v>2058</v>
      </c>
      <c r="U18" s="144"/>
      <c r="V18" s="143">
        <f t="shared" si="4"/>
        <v>3696</v>
      </c>
      <c r="W18" s="143">
        <v>3696</v>
      </c>
      <c r="X18" s="132">
        <f>14.54/(0.00392*360)</f>
        <v>10.303287981859409</v>
      </c>
      <c r="Y18" s="144">
        <v>49</v>
      </c>
      <c r="Z18" s="144"/>
      <c r="AA18" s="143">
        <f t="shared" si="5"/>
        <v>25905.255082470274</v>
      </c>
      <c r="AB18" s="143">
        <f>27014/1.0428</f>
        <v>25905.255082470274</v>
      </c>
      <c r="AC18" s="144">
        <v>70</v>
      </c>
      <c r="AF18" s="135">
        <f t="shared" si="6"/>
        <v>3110618.999999999</v>
      </c>
    </row>
    <row r="19" spans="1:32" ht="12.75">
      <c r="A19" s="141">
        <v>37681</v>
      </c>
      <c r="B19" s="132">
        <v>21335052</v>
      </c>
      <c r="C19" s="142"/>
      <c r="D19" s="143">
        <f t="shared" si="1"/>
        <v>7648199</v>
      </c>
      <c r="E19" s="143">
        <v>7648199</v>
      </c>
      <c r="F19" s="144">
        <v>7199</v>
      </c>
      <c r="G19" s="144"/>
      <c r="H19" s="143">
        <f t="shared" si="0"/>
        <v>4074856.2163406215</v>
      </c>
      <c r="I19" s="143">
        <f>4099908-AB19</f>
        <v>4074856.2163406215</v>
      </c>
      <c r="J19" s="144">
        <v>1462</v>
      </c>
      <c r="K19" s="144"/>
      <c r="L19" s="143">
        <f t="shared" si="2"/>
        <v>7466346</v>
      </c>
      <c r="M19" s="143">
        <f>2856008+1428449+3181889</f>
        <v>7466346</v>
      </c>
      <c r="N19" s="143">
        <f>8620.6+2958.5+6649.4</f>
        <v>18228.5</v>
      </c>
      <c r="O19" s="131">
        <f>79+11+6</f>
        <v>96</v>
      </c>
      <c r="P19" s="144"/>
      <c r="Q19" s="143">
        <f t="shared" si="3"/>
        <v>163364</v>
      </c>
      <c r="R19" s="143">
        <v>163364</v>
      </c>
      <c r="S19" s="144">
        <v>429.3</v>
      </c>
      <c r="T19" s="144">
        <v>2058</v>
      </c>
      <c r="U19" s="144"/>
      <c r="V19" s="143">
        <f t="shared" si="4"/>
        <v>3685</v>
      </c>
      <c r="W19" s="143">
        <v>3685</v>
      </c>
      <c r="X19" s="132">
        <f>14.5/(0.00392*360)</f>
        <v>10.274943310657596</v>
      </c>
      <c r="Y19" s="144">
        <v>49</v>
      </c>
      <c r="Z19" s="144"/>
      <c r="AA19" s="143">
        <f t="shared" si="5"/>
        <v>25051.783659378598</v>
      </c>
      <c r="AB19" s="143">
        <f>26124/1.0428</f>
        <v>25051.783659378598</v>
      </c>
      <c r="AC19" s="144">
        <v>70</v>
      </c>
      <c r="AF19" s="135">
        <f t="shared" si="6"/>
        <v>1953549.9999999995</v>
      </c>
    </row>
    <row r="20" spans="1:32" ht="12.75">
      <c r="A20" s="141">
        <v>37712</v>
      </c>
      <c r="B20" s="132">
        <v>20656713</v>
      </c>
      <c r="C20" s="142"/>
      <c r="D20" s="143">
        <f t="shared" si="1"/>
        <v>6411730</v>
      </c>
      <c r="E20" s="143">
        <v>6411730</v>
      </c>
      <c r="F20" s="144">
        <v>7204</v>
      </c>
      <c r="G20" s="144"/>
      <c r="H20" s="143">
        <f t="shared" si="0"/>
        <v>3354364.884158036</v>
      </c>
      <c r="I20" s="143">
        <f>3379479-AB20</f>
        <v>3354364.884158036</v>
      </c>
      <c r="J20" s="144">
        <v>1463</v>
      </c>
      <c r="K20" s="144"/>
      <c r="L20" s="143">
        <f t="shared" si="2"/>
        <v>6857135</v>
      </c>
      <c r="M20" s="143">
        <f>2532687+1335739+2988709</f>
        <v>6857135</v>
      </c>
      <c r="N20" s="143">
        <f>8419.45+3006.48+6557.1</f>
        <v>17983.03</v>
      </c>
      <c r="O20" s="131">
        <f>79+11+6</f>
        <v>96</v>
      </c>
      <c r="P20" s="144"/>
      <c r="Q20" s="143">
        <f t="shared" si="3"/>
        <v>139321</v>
      </c>
      <c r="R20" s="143">
        <v>139321</v>
      </c>
      <c r="S20" s="144">
        <v>429.34</v>
      </c>
      <c r="T20" s="144">
        <v>2058</v>
      </c>
      <c r="U20" s="144"/>
      <c r="V20" s="143">
        <f t="shared" si="4"/>
        <v>3678</v>
      </c>
      <c r="W20" s="143">
        <v>3678</v>
      </c>
      <c r="X20" s="132">
        <f>14.47/(0.00392*360)</f>
        <v>10.253684807256237</v>
      </c>
      <c r="Y20" s="144">
        <v>49</v>
      </c>
      <c r="Z20" s="144"/>
      <c r="AA20" s="143">
        <f t="shared" si="5"/>
        <v>25114.115841963943</v>
      </c>
      <c r="AB20" s="143">
        <f aca="true" t="shared" si="8" ref="AB20:AB28">26189/1.0428</f>
        <v>25114.115841963943</v>
      </c>
      <c r="AC20" s="144">
        <v>70</v>
      </c>
      <c r="AF20" s="135">
        <f t="shared" si="6"/>
        <v>3865370.0000000005</v>
      </c>
    </row>
    <row r="21" spans="1:32" ht="12.75">
      <c r="A21" s="141">
        <v>37742</v>
      </c>
      <c r="B21" s="132">
        <v>17045418</v>
      </c>
      <c r="C21" s="142"/>
      <c r="D21" s="143">
        <f t="shared" si="1"/>
        <v>5676188</v>
      </c>
      <c r="E21" s="143">
        <v>5676188</v>
      </c>
      <c r="F21" s="144">
        <v>7207</v>
      </c>
      <c r="G21" s="144"/>
      <c r="H21" s="143">
        <f t="shared" si="0"/>
        <v>3364761.884158036</v>
      </c>
      <c r="I21" s="143">
        <f>3389876-AB21</f>
        <v>3364761.884158036</v>
      </c>
      <c r="J21" s="144">
        <v>1457</v>
      </c>
      <c r="K21" s="144"/>
      <c r="L21" s="143">
        <f t="shared" si="2"/>
        <v>7288276</v>
      </c>
      <c r="M21" s="143">
        <f>2748381+1432698+3107197</f>
        <v>7288276</v>
      </c>
      <c r="N21" s="143">
        <f>8093.78+3387.77+6897.76</f>
        <v>18379.309999999998</v>
      </c>
      <c r="O21" s="131">
        <f>79+13+6</f>
        <v>98</v>
      </c>
      <c r="P21" s="144"/>
      <c r="Q21" s="143">
        <f t="shared" si="3"/>
        <v>127192</v>
      </c>
      <c r="R21" s="143">
        <v>127192</v>
      </c>
      <c r="S21" s="144">
        <v>429.34</v>
      </c>
      <c r="T21" s="144">
        <v>2058</v>
      </c>
      <c r="U21" s="144"/>
      <c r="V21" s="143">
        <f t="shared" si="4"/>
        <v>3678</v>
      </c>
      <c r="W21" s="143">
        <v>3678</v>
      </c>
      <c r="X21" s="132">
        <f>14.47/(0.00392*360)</f>
        <v>10.253684807256237</v>
      </c>
      <c r="Y21" s="144">
        <v>49</v>
      </c>
      <c r="Z21" s="144"/>
      <c r="AA21" s="143">
        <f t="shared" si="5"/>
        <v>25114.115841963943</v>
      </c>
      <c r="AB21" s="143">
        <f t="shared" si="8"/>
        <v>25114.115841963943</v>
      </c>
      <c r="AC21" s="144">
        <v>70</v>
      </c>
      <c r="AF21" s="135">
        <f t="shared" si="6"/>
        <v>560208.0000000003</v>
      </c>
    </row>
    <row r="22" spans="1:32" ht="12.75">
      <c r="A22" s="141">
        <v>37773</v>
      </c>
      <c r="B22" s="132">
        <v>18202719</v>
      </c>
      <c r="C22" s="142"/>
      <c r="D22" s="143">
        <f t="shared" si="1"/>
        <v>4662274</v>
      </c>
      <c r="E22" s="143">
        <v>4662274</v>
      </c>
      <c r="F22" s="144">
        <v>7212</v>
      </c>
      <c r="G22" s="144"/>
      <c r="H22" s="143">
        <f t="shared" si="0"/>
        <v>3509234.884158036</v>
      </c>
      <c r="I22" s="143">
        <f>3534349-AB22</f>
        <v>3509234.884158036</v>
      </c>
      <c r="J22" s="144">
        <v>1461</v>
      </c>
      <c r="K22" s="144"/>
      <c r="L22" s="143">
        <f t="shared" si="2"/>
        <v>7267126</v>
      </c>
      <c r="M22" s="143">
        <f>2593291+1492358+3181477</f>
        <v>7267126</v>
      </c>
      <c r="N22" s="143">
        <f>8510+3572+6928</f>
        <v>19010</v>
      </c>
      <c r="O22" s="131">
        <f>78+13+6</f>
        <v>97</v>
      </c>
      <c r="P22" s="144"/>
      <c r="Q22" s="143">
        <f t="shared" si="3"/>
        <v>115922</v>
      </c>
      <c r="R22" s="143">
        <v>115922</v>
      </c>
      <c r="S22" s="144">
        <v>429.34</v>
      </c>
      <c r="T22" s="144">
        <v>2058</v>
      </c>
      <c r="U22" s="144"/>
      <c r="V22" s="143">
        <f t="shared" si="4"/>
        <v>3603</v>
      </c>
      <c r="W22" s="143">
        <v>3603</v>
      </c>
      <c r="X22" s="132">
        <f>14.17/(0.00392*360)</f>
        <v>10.04109977324263</v>
      </c>
      <c r="Y22" s="144">
        <v>49</v>
      </c>
      <c r="Z22" s="144"/>
      <c r="AA22" s="143">
        <f t="shared" si="5"/>
        <v>25114.115841963943</v>
      </c>
      <c r="AB22" s="143">
        <f t="shared" si="8"/>
        <v>25114.115841963943</v>
      </c>
      <c r="AC22" s="144">
        <v>70</v>
      </c>
      <c r="AF22" s="135">
        <f t="shared" si="6"/>
        <v>2619445.0000000005</v>
      </c>
    </row>
    <row r="23" spans="1:32" ht="12.75">
      <c r="A23" s="141">
        <v>37803</v>
      </c>
      <c r="B23" s="132">
        <v>19482800</v>
      </c>
      <c r="C23" s="142"/>
      <c r="D23" s="143">
        <f t="shared" si="1"/>
        <v>4987696</v>
      </c>
      <c r="E23" s="143">
        <v>4987696</v>
      </c>
      <c r="F23" s="144">
        <v>7223</v>
      </c>
      <c r="G23" s="144"/>
      <c r="H23" s="143">
        <f t="shared" si="0"/>
        <v>4045664.884158036</v>
      </c>
      <c r="I23" s="143">
        <f>4070779-AB23</f>
        <v>4045664.884158036</v>
      </c>
      <c r="J23" s="144">
        <v>1459</v>
      </c>
      <c r="K23" s="144"/>
      <c r="L23" s="143">
        <f t="shared" si="2"/>
        <v>7566881.53</v>
      </c>
      <c r="M23" s="143">
        <f>2448956+1881699.53+3236226</f>
        <v>7566881.53</v>
      </c>
      <c r="N23" s="143">
        <f>7419.06+4139.83+6906.68</f>
        <v>18465.57</v>
      </c>
      <c r="O23" s="131">
        <f>78+13+6</f>
        <v>97</v>
      </c>
      <c r="P23" s="144"/>
      <c r="Q23" s="143">
        <f t="shared" si="3"/>
        <v>122899</v>
      </c>
      <c r="R23" s="143">
        <v>122899</v>
      </c>
      <c r="S23" s="144">
        <v>429.34</v>
      </c>
      <c r="T23" s="144">
        <v>2058</v>
      </c>
      <c r="U23" s="144"/>
      <c r="V23" s="143">
        <f t="shared" si="4"/>
        <v>3757</v>
      </c>
      <c r="W23" s="143">
        <v>3757</v>
      </c>
      <c r="X23" s="132">
        <f>14.77/(0.00392*360)</f>
        <v>10.46626984126984</v>
      </c>
      <c r="Y23" s="144">
        <v>49</v>
      </c>
      <c r="Z23" s="144"/>
      <c r="AA23" s="143">
        <f t="shared" si="5"/>
        <v>25114.115841963943</v>
      </c>
      <c r="AB23" s="143">
        <f t="shared" si="8"/>
        <v>25114.115841963943</v>
      </c>
      <c r="AC23" s="144">
        <v>70</v>
      </c>
      <c r="AF23" s="135">
        <f t="shared" si="6"/>
        <v>2730787.47</v>
      </c>
    </row>
    <row r="24" spans="1:32" ht="12.75">
      <c r="A24" s="141">
        <v>37834</v>
      </c>
      <c r="B24" s="132">
        <v>16908390</v>
      </c>
      <c r="C24" s="142"/>
      <c r="D24" s="143">
        <f t="shared" si="1"/>
        <v>4961892</v>
      </c>
      <c r="E24" s="143">
        <v>4961892</v>
      </c>
      <c r="F24" s="144">
        <v>7232</v>
      </c>
      <c r="G24" s="144"/>
      <c r="H24" s="143">
        <f t="shared" si="0"/>
        <v>3848447.884158036</v>
      </c>
      <c r="I24" s="143">
        <f>3873562-AB24</f>
        <v>3848447.884158036</v>
      </c>
      <c r="J24" s="144">
        <v>1453</v>
      </c>
      <c r="K24" s="144"/>
      <c r="L24" s="143">
        <f t="shared" si="2"/>
        <v>7148835</v>
      </c>
      <c r="M24" s="143">
        <f>2347996+1790527+3010312</f>
        <v>7148835</v>
      </c>
      <c r="N24" s="143">
        <f>7529.77+4164.41+6949.37</f>
        <v>18643.55</v>
      </c>
      <c r="O24" s="131">
        <f>77+13+6</f>
        <v>96</v>
      </c>
      <c r="P24" s="144"/>
      <c r="Q24" s="143">
        <f t="shared" si="3"/>
        <v>137926</v>
      </c>
      <c r="R24" s="143">
        <v>137926</v>
      </c>
      <c r="S24" s="144">
        <v>429.34</v>
      </c>
      <c r="T24" s="144">
        <v>2058</v>
      </c>
      <c r="U24" s="144"/>
      <c r="V24" s="143">
        <f t="shared" si="4"/>
        <v>3678</v>
      </c>
      <c r="W24" s="143">
        <v>3678</v>
      </c>
      <c r="X24" s="132">
        <f>14.47/(0.00392*360)</f>
        <v>10.253684807256237</v>
      </c>
      <c r="Y24" s="144">
        <v>49</v>
      </c>
      <c r="Z24" s="144"/>
      <c r="AA24" s="143">
        <f t="shared" si="5"/>
        <v>25114.115841963943</v>
      </c>
      <c r="AB24" s="143">
        <f t="shared" si="8"/>
        <v>25114.115841963943</v>
      </c>
      <c r="AC24" s="144">
        <v>70</v>
      </c>
      <c r="AF24" s="135">
        <f t="shared" si="6"/>
        <v>782497.0000000003</v>
      </c>
    </row>
    <row r="25" spans="1:32" ht="12.75">
      <c r="A25" s="141">
        <v>37865</v>
      </c>
      <c r="B25" s="132">
        <v>16943197</v>
      </c>
      <c r="C25" s="142"/>
      <c r="D25" s="143">
        <f t="shared" si="1"/>
        <v>4637299</v>
      </c>
      <c r="E25" s="143">
        <v>4637299</v>
      </c>
      <c r="F25" s="144">
        <v>7235</v>
      </c>
      <c r="G25" s="144"/>
      <c r="H25" s="143">
        <f t="shared" si="0"/>
        <v>3283108.884158036</v>
      </c>
      <c r="I25" s="143">
        <f>3308223-AB25</f>
        <v>3283108.884158036</v>
      </c>
      <c r="J25" s="144">
        <v>1449</v>
      </c>
      <c r="K25" s="144"/>
      <c r="L25" s="143">
        <f t="shared" si="2"/>
        <v>6802882</v>
      </c>
      <c r="M25" s="143">
        <f>2298341+1699916+2804625</f>
        <v>6802882</v>
      </c>
      <c r="N25" s="143">
        <f>7800.51+3943.98+5897.09</f>
        <v>17641.58</v>
      </c>
      <c r="O25" s="131">
        <f>76+13+6</f>
        <v>95</v>
      </c>
      <c r="P25" s="144"/>
      <c r="Q25" s="143">
        <f t="shared" si="3"/>
        <v>151557.25</v>
      </c>
      <c r="R25" s="143">
        <v>151557.25</v>
      </c>
      <c r="S25" s="144">
        <v>429.34</v>
      </c>
      <c r="T25" s="144">
        <v>2058</v>
      </c>
      <c r="U25" s="144"/>
      <c r="V25" s="143">
        <f t="shared" si="4"/>
        <v>3678</v>
      </c>
      <c r="W25" s="143">
        <v>3678</v>
      </c>
      <c r="X25" s="132">
        <f>14.47/(0.00392*360)</f>
        <v>10.253684807256237</v>
      </c>
      <c r="Y25" s="144">
        <v>49</v>
      </c>
      <c r="Z25" s="144"/>
      <c r="AA25" s="143">
        <f t="shared" si="5"/>
        <v>25114.115841963943</v>
      </c>
      <c r="AB25" s="143">
        <f t="shared" si="8"/>
        <v>25114.115841963943</v>
      </c>
      <c r="AC25" s="144">
        <v>70</v>
      </c>
      <c r="AF25" s="135">
        <f t="shared" si="6"/>
        <v>2039557.7500000002</v>
      </c>
    </row>
    <row r="26" spans="1:32" ht="12.75">
      <c r="A26" s="141">
        <v>37895</v>
      </c>
      <c r="B26" s="132">
        <v>20322953</v>
      </c>
      <c r="C26" s="142"/>
      <c r="D26" s="143">
        <f t="shared" si="1"/>
        <v>6298849</v>
      </c>
      <c r="E26" s="143">
        <v>6298849</v>
      </c>
      <c r="F26" s="144">
        <v>7241</v>
      </c>
      <c r="G26" s="144"/>
      <c r="H26" s="143">
        <f t="shared" si="0"/>
        <v>3502320.884158036</v>
      </c>
      <c r="I26" s="143">
        <f>3527435-AB26</f>
        <v>3502320.884158036</v>
      </c>
      <c r="J26" s="144">
        <v>1450</v>
      </c>
      <c r="K26" s="144"/>
      <c r="L26" s="143">
        <f t="shared" si="2"/>
        <v>7503098</v>
      </c>
      <c r="M26" s="143">
        <f>2664221+1630017+3208860</f>
        <v>7503098</v>
      </c>
      <c r="N26" s="143">
        <f>8555.99+3823.73+6645.98</f>
        <v>19025.699999999997</v>
      </c>
      <c r="O26" s="131">
        <f>76+13+6</f>
        <v>95</v>
      </c>
      <c r="P26" s="144"/>
      <c r="Q26" s="143">
        <f t="shared" si="3"/>
        <v>176137</v>
      </c>
      <c r="R26" s="143">
        <v>176137</v>
      </c>
      <c r="S26" s="144">
        <v>429.34</v>
      </c>
      <c r="T26" s="144">
        <v>2058</v>
      </c>
      <c r="U26" s="144"/>
      <c r="V26" s="143">
        <f t="shared" si="4"/>
        <v>3610</v>
      </c>
      <c r="W26" s="143">
        <v>3610</v>
      </c>
      <c r="X26" s="132">
        <f>14.2/(0.00392*360)</f>
        <v>10.062358276643991</v>
      </c>
      <c r="Y26" s="144">
        <v>49</v>
      </c>
      <c r="Z26" s="144"/>
      <c r="AA26" s="143">
        <f t="shared" si="5"/>
        <v>25114.115841963943</v>
      </c>
      <c r="AB26" s="143">
        <f t="shared" si="8"/>
        <v>25114.115841963943</v>
      </c>
      <c r="AC26" s="144">
        <v>70</v>
      </c>
      <c r="AF26" s="135">
        <f t="shared" si="6"/>
        <v>2813824.0000000005</v>
      </c>
    </row>
    <row r="27" spans="1:32" ht="12.75">
      <c r="A27" s="141">
        <v>37926</v>
      </c>
      <c r="B27" s="132">
        <v>20485648</v>
      </c>
      <c r="C27" s="142"/>
      <c r="D27" s="143">
        <f t="shared" si="1"/>
        <v>7130580</v>
      </c>
      <c r="E27" s="143">
        <v>7130580</v>
      </c>
      <c r="F27" s="144">
        <v>7251</v>
      </c>
      <c r="G27" s="144"/>
      <c r="H27" s="143">
        <f t="shared" si="0"/>
        <v>3799218.884158036</v>
      </c>
      <c r="I27" s="143">
        <f>3824333-AB27</f>
        <v>3799218.884158036</v>
      </c>
      <c r="J27" s="144">
        <v>1455</v>
      </c>
      <c r="K27" s="144"/>
      <c r="L27" s="143">
        <f t="shared" si="2"/>
        <v>7474749</v>
      </c>
      <c r="M27" s="143">
        <f>2745064+1568588+3161097</f>
        <v>7474749</v>
      </c>
      <c r="N27" s="143">
        <f>8496.09+3355.18+6472.29</f>
        <v>18323.56</v>
      </c>
      <c r="O27" s="131">
        <f>76+13+6</f>
        <v>95</v>
      </c>
      <c r="P27" s="144"/>
      <c r="Q27" s="143">
        <f t="shared" si="3"/>
        <v>187621.92</v>
      </c>
      <c r="R27" s="143">
        <v>187621.92</v>
      </c>
      <c r="S27" s="144">
        <v>429.34</v>
      </c>
      <c r="T27" s="144">
        <v>2058</v>
      </c>
      <c r="U27" s="144"/>
      <c r="V27" s="143">
        <f t="shared" si="4"/>
        <v>3542</v>
      </c>
      <c r="W27" s="143">
        <v>3542</v>
      </c>
      <c r="X27" s="132">
        <f>13.93/(0.00392*360)</f>
        <v>9.871031746031745</v>
      </c>
      <c r="Y27" s="144">
        <v>48</v>
      </c>
      <c r="Z27" s="144"/>
      <c r="AA27" s="143">
        <f t="shared" si="5"/>
        <v>25114.115841963943</v>
      </c>
      <c r="AB27" s="143">
        <f t="shared" si="8"/>
        <v>25114.115841963943</v>
      </c>
      <c r="AC27" s="144">
        <v>70</v>
      </c>
      <c r="AF27" s="135">
        <f t="shared" si="6"/>
        <v>1864822.0800000003</v>
      </c>
    </row>
    <row r="28" spans="1:32" ht="12.75">
      <c r="A28" s="141">
        <v>37956</v>
      </c>
      <c r="B28" s="132">
        <v>24763703</v>
      </c>
      <c r="C28" s="142"/>
      <c r="D28" s="143">
        <f t="shared" si="1"/>
        <v>8905168</v>
      </c>
      <c r="E28" s="143">
        <v>8905168</v>
      </c>
      <c r="F28" s="144">
        <v>7267</v>
      </c>
      <c r="G28" s="144"/>
      <c r="H28" s="143">
        <f t="shared" si="0"/>
        <v>4171746.884158036</v>
      </c>
      <c r="I28" s="143">
        <f>4196861-AB28</f>
        <v>4171746.884158036</v>
      </c>
      <c r="J28" s="144">
        <v>1463</v>
      </c>
      <c r="K28" s="144"/>
      <c r="L28" s="143">
        <f t="shared" si="2"/>
        <v>7172946</v>
      </c>
      <c r="M28" s="143">
        <f>2889225+1582419+2701302</f>
        <v>7172946</v>
      </c>
      <c r="N28" s="143">
        <f>8360.45+3287.89+5819.37</f>
        <v>17467.71</v>
      </c>
      <c r="O28" s="131">
        <f>76+13+6</f>
        <v>95</v>
      </c>
      <c r="P28" s="144"/>
      <c r="Q28" s="143">
        <f t="shared" si="3"/>
        <v>202112</v>
      </c>
      <c r="R28" s="143">
        <v>202112</v>
      </c>
      <c r="S28" s="144">
        <v>429.34</v>
      </c>
      <c r="T28" s="144">
        <v>2058</v>
      </c>
      <c r="U28" s="144"/>
      <c r="V28" s="143">
        <f t="shared" si="4"/>
        <v>3856</v>
      </c>
      <c r="W28" s="143">
        <v>3856</v>
      </c>
      <c r="X28" s="132">
        <f>15.19/(0.00392*360)</f>
        <v>10.76388888888889</v>
      </c>
      <c r="Y28" s="144">
        <v>52</v>
      </c>
      <c r="Z28" s="144"/>
      <c r="AA28" s="143">
        <f t="shared" si="5"/>
        <v>25114.115841963943</v>
      </c>
      <c r="AB28" s="143">
        <f t="shared" si="8"/>
        <v>25114.115841963943</v>
      </c>
      <c r="AC28" s="144">
        <v>70</v>
      </c>
      <c r="AF28" s="135">
        <f t="shared" si="6"/>
        <v>4282760</v>
      </c>
    </row>
    <row r="29" spans="1:32" ht="12.75">
      <c r="A29" s="141">
        <v>37987</v>
      </c>
      <c r="B29" s="132">
        <v>26912980</v>
      </c>
      <c r="C29" s="142"/>
      <c r="D29" s="143">
        <f t="shared" si="1"/>
        <v>11260273</v>
      </c>
      <c r="E29" s="143">
        <v>11260273</v>
      </c>
      <c r="F29" s="144">
        <v>7268</v>
      </c>
      <c r="G29" s="144"/>
      <c r="H29" s="143">
        <f t="shared" si="0"/>
        <v>5142400.884158036</v>
      </c>
      <c r="I29" s="143">
        <f>5167515-AB29</f>
        <v>5142400.884158036</v>
      </c>
      <c r="J29" s="144">
        <v>1462</v>
      </c>
      <c r="K29" s="144"/>
      <c r="L29" s="143">
        <f t="shared" si="2"/>
        <v>8201918</v>
      </c>
      <c r="M29" s="143">
        <f>3490461+1645335+3066122</f>
        <v>8201918</v>
      </c>
      <c r="N29" s="143">
        <f>8430.76+3387.28+6016.6</f>
        <v>17834.64</v>
      </c>
      <c r="O29" s="131">
        <f>77+13+6</f>
        <v>96</v>
      </c>
      <c r="P29" s="144"/>
      <c r="Q29" s="143">
        <f t="shared" si="3"/>
        <v>196852.65</v>
      </c>
      <c r="R29" s="143">
        <v>196852.65</v>
      </c>
      <c r="S29" s="144">
        <v>429.34</v>
      </c>
      <c r="T29" s="144">
        <v>2058</v>
      </c>
      <c r="U29" s="144"/>
      <c r="V29" s="143">
        <f t="shared" si="4"/>
        <v>3391.2</v>
      </c>
      <c r="W29" s="143">
        <v>3391.2</v>
      </c>
      <c r="X29" s="132">
        <f>13.32/(0.00392*360)</f>
        <v>9.438775510204081</v>
      </c>
      <c r="Y29" s="144">
        <v>45</v>
      </c>
      <c r="Z29" s="144"/>
      <c r="AA29" s="143">
        <f t="shared" si="5"/>
        <v>25114.115841963943</v>
      </c>
      <c r="AB29" s="143">
        <f>26189/1.0428</f>
        <v>25114.115841963943</v>
      </c>
      <c r="AC29" s="144">
        <v>70</v>
      </c>
      <c r="AF29" s="135">
        <f t="shared" si="6"/>
        <v>2083030.1500000001</v>
      </c>
    </row>
    <row r="30" spans="1:32" ht="12.75">
      <c r="A30" s="141">
        <v>38018</v>
      </c>
      <c r="B30" s="132">
        <v>23010120</v>
      </c>
      <c r="C30" s="142"/>
      <c r="D30" s="143">
        <f t="shared" si="1"/>
        <v>9023883</v>
      </c>
      <c r="E30" s="143">
        <v>9023883</v>
      </c>
      <c r="F30" s="144">
        <v>7269</v>
      </c>
      <c r="G30" s="144"/>
      <c r="H30" s="143">
        <f t="shared" si="0"/>
        <v>4407640.884158036</v>
      </c>
      <c r="I30" s="143">
        <f>4432755-AB30</f>
        <v>4407640.884158036</v>
      </c>
      <c r="J30" s="144">
        <v>1460</v>
      </c>
      <c r="K30" s="144"/>
      <c r="L30" s="143">
        <f t="shared" si="2"/>
        <v>7652991</v>
      </c>
      <c r="M30" s="143">
        <f>3156917+1506579+2989495</f>
        <v>7652991</v>
      </c>
      <c r="N30" s="143">
        <f>8811.87+3317.19+6424.87</f>
        <v>18553.93</v>
      </c>
      <c r="O30" s="131">
        <f>77+13+6</f>
        <v>96</v>
      </c>
      <c r="P30" s="144"/>
      <c r="Q30" s="143">
        <f t="shared" si="3"/>
        <v>170448</v>
      </c>
      <c r="R30" s="143">
        <v>170448</v>
      </c>
      <c r="S30" s="144">
        <v>429.34</v>
      </c>
      <c r="T30" s="144">
        <v>2058</v>
      </c>
      <c r="U30" s="144"/>
      <c r="V30" s="143">
        <f t="shared" si="4"/>
        <v>3610</v>
      </c>
      <c r="W30" s="143">
        <v>3610</v>
      </c>
      <c r="X30" s="132">
        <f>14.2/(0.00392*360)</f>
        <v>10.062358276643991</v>
      </c>
      <c r="Y30" s="144">
        <v>48</v>
      </c>
      <c r="Z30" s="144"/>
      <c r="AA30" s="143">
        <f t="shared" si="5"/>
        <v>25114.115841963943</v>
      </c>
      <c r="AB30" s="143">
        <f>26189/1.0428</f>
        <v>25114.115841963943</v>
      </c>
      <c r="AC30" s="144">
        <v>70</v>
      </c>
      <c r="AF30" s="135">
        <f t="shared" si="6"/>
        <v>1726433.0000000002</v>
      </c>
    </row>
    <row r="31" spans="1:32" ht="12.75">
      <c r="A31" s="141">
        <v>38047</v>
      </c>
      <c r="B31" s="132">
        <v>21186267</v>
      </c>
      <c r="C31" s="142"/>
      <c r="D31" s="143">
        <f t="shared" si="1"/>
        <v>7683399</v>
      </c>
      <c r="E31" s="143">
        <v>7683399</v>
      </c>
      <c r="F31" s="144">
        <v>7268</v>
      </c>
      <c r="G31" s="144"/>
      <c r="H31" s="143">
        <f t="shared" si="0"/>
        <v>4079127.884158036</v>
      </c>
      <c r="I31" s="143">
        <f>4104242-AB31</f>
        <v>4079127.884158036</v>
      </c>
      <c r="J31" s="144">
        <v>1457</v>
      </c>
      <c r="K31" s="144"/>
      <c r="L31" s="143">
        <f t="shared" si="2"/>
        <v>7652076</v>
      </c>
      <c r="M31" s="143">
        <f>2785325+1685126+3181625</f>
        <v>7652076</v>
      </c>
      <c r="N31" s="143">
        <f>8145.01+3424.34+6855.82</f>
        <v>18425.17</v>
      </c>
      <c r="O31" s="131">
        <f>76+14+6</f>
        <v>96</v>
      </c>
      <c r="P31" s="144"/>
      <c r="Q31" s="143">
        <f t="shared" si="3"/>
        <v>163364</v>
      </c>
      <c r="R31" s="143">
        <v>163364</v>
      </c>
      <c r="S31" s="144">
        <v>429.34</v>
      </c>
      <c r="T31" s="144">
        <v>2058</v>
      </c>
      <c r="U31" s="144"/>
      <c r="V31" s="143">
        <f t="shared" si="4"/>
        <v>3589</v>
      </c>
      <c r="W31" s="143">
        <v>3589</v>
      </c>
      <c r="X31" s="132">
        <f>14.12/(0.00392*360)</f>
        <v>10.005668934240362</v>
      </c>
      <c r="Y31" s="144">
        <v>48</v>
      </c>
      <c r="Z31" s="144"/>
      <c r="AA31" s="143">
        <f t="shared" si="5"/>
        <v>25114.115841963943</v>
      </c>
      <c r="AB31" s="143">
        <f>26189/1.0428</f>
        <v>25114.115841963943</v>
      </c>
      <c r="AC31" s="144">
        <v>70</v>
      </c>
      <c r="AF31" s="135">
        <f t="shared" si="6"/>
        <v>1579597.0000000002</v>
      </c>
    </row>
    <row r="32" spans="1:32" ht="12.75">
      <c r="A32" s="141">
        <v>38078</v>
      </c>
      <c r="B32" s="132">
        <v>20811086</v>
      </c>
      <c r="C32" s="142"/>
      <c r="D32" s="143">
        <f t="shared" si="1"/>
        <v>6992507</v>
      </c>
      <c r="E32" s="143">
        <v>6992507</v>
      </c>
      <c r="F32" s="144">
        <v>7268</v>
      </c>
      <c r="G32" s="144"/>
      <c r="H32" s="143">
        <f t="shared" si="0"/>
        <v>3586114.3060989645</v>
      </c>
      <c r="I32" s="143">
        <f>3611028-AB32</f>
        <v>3586114.3060989645</v>
      </c>
      <c r="J32" s="144">
        <v>1459</v>
      </c>
      <c r="K32" s="144"/>
      <c r="L32" s="143">
        <f t="shared" si="2"/>
        <v>7290925</v>
      </c>
      <c r="M32" s="143">
        <f>2552335+1589298+3149292</f>
        <v>7290925</v>
      </c>
      <c r="N32" s="143">
        <f>7655.92+3642.34+7068.28</f>
        <v>18366.54</v>
      </c>
      <c r="O32" s="131">
        <f>76+14+6</f>
        <v>96</v>
      </c>
      <c r="P32" s="144"/>
      <c r="Q32" s="143">
        <f t="shared" si="3"/>
        <v>139321</v>
      </c>
      <c r="R32" s="143">
        <v>139321</v>
      </c>
      <c r="S32" s="144">
        <v>429.34</v>
      </c>
      <c r="T32" s="144">
        <v>2058</v>
      </c>
      <c r="U32" s="144"/>
      <c r="V32" s="143">
        <f t="shared" si="4"/>
        <v>3610</v>
      </c>
      <c r="W32" s="143">
        <v>3610</v>
      </c>
      <c r="X32" s="132">
        <f>14.2/(0.00392*360)</f>
        <v>10.062358276643991</v>
      </c>
      <c r="Y32" s="144">
        <v>48</v>
      </c>
      <c r="Z32" s="144"/>
      <c r="AA32" s="143">
        <f t="shared" si="5"/>
        <v>24913.693901035673</v>
      </c>
      <c r="AB32" s="143">
        <f>25980/1.0428</f>
        <v>24913.693901035673</v>
      </c>
      <c r="AC32" s="144">
        <v>70</v>
      </c>
      <c r="AF32" s="135">
        <f t="shared" si="6"/>
        <v>2773695.0000000005</v>
      </c>
    </row>
    <row r="33" spans="1:32" ht="12.75">
      <c r="A33" s="141">
        <v>38108</v>
      </c>
      <c r="B33" s="132">
        <v>17703744</v>
      </c>
      <c r="C33" s="142"/>
      <c r="D33" s="143">
        <f t="shared" si="1"/>
        <v>4892623</v>
      </c>
      <c r="E33" s="143">
        <v>4892623</v>
      </c>
      <c r="F33" s="144">
        <v>7273</v>
      </c>
      <c r="G33" s="144"/>
      <c r="H33" s="143">
        <f t="shared" si="0"/>
        <v>3325850.421173763</v>
      </c>
      <c r="I33" s="143">
        <f>3351164-AB33</f>
        <v>3325850.421173763</v>
      </c>
      <c r="J33" s="144">
        <v>1463</v>
      </c>
      <c r="K33" s="144"/>
      <c r="L33" s="143">
        <f t="shared" si="2"/>
        <v>7158332</v>
      </c>
      <c r="M33" s="143">
        <f>2214132+1691883+3252317</f>
        <v>7158332</v>
      </c>
      <c r="N33" s="143">
        <f>7754.16+4121.72+7166.17</f>
        <v>19042.050000000003</v>
      </c>
      <c r="O33" s="131">
        <f>75+14+6</f>
        <v>95</v>
      </c>
      <c r="P33" s="144"/>
      <c r="Q33" s="143">
        <f t="shared" si="3"/>
        <v>127192</v>
      </c>
      <c r="R33" s="143">
        <v>127192</v>
      </c>
      <c r="S33" s="144">
        <v>429.34</v>
      </c>
      <c r="T33" s="144">
        <v>2058</v>
      </c>
      <c r="U33" s="144"/>
      <c r="V33" s="143">
        <f t="shared" si="4"/>
        <v>3600.4</v>
      </c>
      <c r="W33" s="143">
        <v>3600.4</v>
      </c>
      <c r="X33" s="132">
        <f>14.16/(0.00392*360)</f>
        <v>10.034013605442176</v>
      </c>
      <c r="Y33" s="144">
        <v>48</v>
      </c>
      <c r="Z33" s="144"/>
      <c r="AA33" s="143">
        <f t="shared" si="5"/>
        <v>25313.578826237055</v>
      </c>
      <c r="AB33" s="143">
        <f>26397/1.0428</f>
        <v>25313.578826237055</v>
      </c>
      <c r="AC33" s="144">
        <v>70</v>
      </c>
      <c r="AF33" s="135">
        <f t="shared" si="6"/>
        <v>2170832.6000000006</v>
      </c>
    </row>
    <row r="34" spans="1:32" ht="12.75">
      <c r="A34" s="141">
        <v>38139</v>
      </c>
      <c r="B34" s="132">
        <v>18630601</v>
      </c>
      <c r="C34" s="142"/>
      <c r="D34" s="143">
        <f t="shared" si="1"/>
        <v>4848788</v>
      </c>
      <c r="E34" s="143">
        <v>4848788</v>
      </c>
      <c r="F34" s="144">
        <v>7274</v>
      </c>
      <c r="G34" s="144"/>
      <c r="H34" s="143">
        <f t="shared" si="0"/>
        <v>3541754.884158036</v>
      </c>
      <c r="I34" s="143">
        <f>3566869-AB34</f>
        <v>3541754.884158036</v>
      </c>
      <c r="J34" s="144">
        <v>1465</v>
      </c>
      <c r="K34" s="144"/>
      <c r="L34" s="143">
        <f t="shared" si="2"/>
        <v>7240943</v>
      </c>
      <c r="M34" s="143">
        <f>2159134+1827687+3254122</f>
        <v>7240943</v>
      </c>
      <c r="N34" s="143">
        <f>8050.78+4468.37+7177.8</f>
        <v>19696.95</v>
      </c>
      <c r="O34" s="131">
        <f>75+14+6</f>
        <v>95</v>
      </c>
      <c r="P34" s="144"/>
      <c r="Q34" s="143">
        <f t="shared" si="3"/>
        <v>115922</v>
      </c>
      <c r="R34" s="143">
        <v>115922</v>
      </c>
      <c r="S34" s="144">
        <v>429.34</v>
      </c>
      <c r="T34" s="144">
        <v>2058</v>
      </c>
      <c r="U34" s="144"/>
      <c r="V34" s="143">
        <f t="shared" si="4"/>
        <v>3621.4</v>
      </c>
      <c r="W34" s="143">
        <v>3621.4</v>
      </c>
      <c r="X34" s="132">
        <f>14.25/(0.00392*360)</f>
        <v>10.097789115646258</v>
      </c>
      <c r="Y34" s="144">
        <v>48</v>
      </c>
      <c r="Z34" s="144"/>
      <c r="AA34" s="143">
        <f t="shared" si="5"/>
        <v>25114.115841963943</v>
      </c>
      <c r="AB34" s="143">
        <f aca="true" t="shared" si="9" ref="AB34:AB39">26189/1.0428</f>
        <v>25114.115841963943</v>
      </c>
      <c r="AC34" s="144">
        <v>70</v>
      </c>
      <c r="AF34" s="135">
        <f t="shared" si="6"/>
        <v>2854457.6000000006</v>
      </c>
    </row>
    <row r="35" spans="1:32" ht="12.75">
      <c r="A35" s="141">
        <v>38169</v>
      </c>
      <c r="B35" s="132">
        <v>18377788</v>
      </c>
      <c r="C35" s="142"/>
      <c r="D35" s="143">
        <f t="shared" si="1"/>
        <v>5247139</v>
      </c>
      <c r="E35" s="143">
        <v>5247139</v>
      </c>
      <c r="F35" s="144">
        <v>7284</v>
      </c>
      <c r="G35" s="144"/>
      <c r="H35" s="143">
        <f t="shared" si="0"/>
        <v>4133592.884158036</v>
      </c>
      <c r="I35" s="143">
        <f>4158707-AB35</f>
        <v>4133592.884158036</v>
      </c>
      <c r="J35" s="144">
        <v>1469</v>
      </c>
      <c r="K35" s="144"/>
      <c r="L35" s="143">
        <f t="shared" si="2"/>
        <v>7713073</v>
      </c>
      <c r="M35" s="143">
        <f>2472714+2048484+3191875</f>
        <v>7713073</v>
      </c>
      <c r="N35" s="143">
        <f>7590.71+4657.72+6946.14</f>
        <v>19194.57</v>
      </c>
      <c r="O35" s="131">
        <f>74+14+6</f>
        <v>94</v>
      </c>
      <c r="P35" s="144"/>
      <c r="Q35" s="143">
        <f t="shared" si="3"/>
        <v>122899</v>
      </c>
      <c r="R35" s="143">
        <v>122899</v>
      </c>
      <c r="S35" s="144">
        <v>429.34</v>
      </c>
      <c r="T35" s="144">
        <v>2058</v>
      </c>
      <c r="U35" s="144"/>
      <c r="V35" s="143">
        <f t="shared" si="4"/>
        <v>3534.4</v>
      </c>
      <c r="W35" s="143">
        <v>3534.4</v>
      </c>
      <c r="X35" s="132">
        <f>13.9/(0.00392*360)</f>
        <v>9.849773242630386</v>
      </c>
      <c r="Y35" s="144">
        <v>47</v>
      </c>
      <c r="Z35" s="144"/>
      <c r="AA35" s="143">
        <f t="shared" si="5"/>
        <v>25114.115841963943</v>
      </c>
      <c r="AB35" s="143">
        <f t="shared" si="9"/>
        <v>25114.115841963943</v>
      </c>
      <c r="AC35" s="144">
        <v>70</v>
      </c>
      <c r="AF35" s="135">
        <f t="shared" si="6"/>
        <v>1132435.6000000003</v>
      </c>
    </row>
    <row r="36" spans="1:32" ht="12.75">
      <c r="A36" s="141">
        <v>38200</v>
      </c>
      <c r="B36" s="132">
        <v>16251149</v>
      </c>
      <c r="C36" s="142"/>
      <c r="D36" s="143">
        <f t="shared" si="1"/>
        <v>4617646</v>
      </c>
      <c r="E36" s="143">
        <v>4617646</v>
      </c>
      <c r="F36" s="144">
        <v>7287</v>
      </c>
      <c r="G36" s="144"/>
      <c r="H36" s="143">
        <f t="shared" si="0"/>
        <v>3477794.884158036</v>
      </c>
      <c r="I36" s="143">
        <f>3502909-AB36</f>
        <v>3477794.884158036</v>
      </c>
      <c r="J36" s="144">
        <v>1474</v>
      </c>
      <c r="K36" s="144"/>
      <c r="L36" s="143">
        <f t="shared" si="2"/>
        <v>7290529</v>
      </c>
      <c r="M36" s="143">
        <f>2012281+2025009+3253239</f>
        <v>7290529</v>
      </c>
      <c r="N36" s="143">
        <f>7179.31+4609.55+6875.26</f>
        <v>18664.120000000003</v>
      </c>
      <c r="O36" s="131">
        <f>74+14+6</f>
        <v>94</v>
      </c>
      <c r="P36" s="144"/>
      <c r="Q36" s="143">
        <f t="shared" si="3"/>
        <v>137926</v>
      </c>
      <c r="R36" s="143">
        <v>137926</v>
      </c>
      <c r="S36" s="144">
        <v>429.34</v>
      </c>
      <c r="T36" s="144">
        <v>2058</v>
      </c>
      <c r="U36" s="144"/>
      <c r="V36" s="143">
        <f t="shared" si="4"/>
        <v>3534.4</v>
      </c>
      <c r="W36" s="143">
        <v>3534.4</v>
      </c>
      <c r="X36" s="132">
        <f>13.9/(0.00392*360)</f>
        <v>9.849773242630386</v>
      </c>
      <c r="Y36" s="144">
        <v>47</v>
      </c>
      <c r="Z36" s="144"/>
      <c r="AA36" s="143">
        <f t="shared" si="5"/>
        <v>25114.115841963943</v>
      </c>
      <c r="AB36" s="143">
        <f t="shared" si="9"/>
        <v>25114.115841963943</v>
      </c>
      <c r="AC36" s="144">
        <v>70</v>
      </c>
      <c r="AF36" s="135">
        <f t="shared" si="6"/>
        <v>698604.6000000003</v>
      </c>
    </row>
    <row r="37" spans="1:32" ht="12.75">
      <c r="A37" s="141">
        <v>38231</v>
      </c>
      <c r="B37" s="132">
        <v>17555997</v>
      </c>
      <c r="C37" s="142"/>
      <c r="D37" s="143">
        <f t="shared" si="1"/>
        <v>5015892</v>
      </c>
      <c r="E37" s="143">
        <v>5015892</v>
      </c>
      <c r="F37" s="144">
        <v>7296</v>
      </c>
      <c r="G37" s="144"/>
      <c r="H37" s="143">
        <f t="shared" si="0"/>
        <v>3695333.884158036</v>
      </c>
      <c r="I37" s="143">
        <f>3720448-AB37</f>
        <v>3695333.884158036</v>
      </c>
      <c r="J37" s="144">
        <v>1478</v>
      </c>
      <c r="K37" s="144"/>
      <c r="L37" s="143">
        <f t="shared" si="2"/>
        <v>7532953</v>
      </c>
      <c r="M37" s="143">
        <f>2379896+1928897+3224160</f>
        <v>7532953</v>
      </c>
      <c r="N37" s="143">
        <f>7157.18+4683.94+6908.17</f>
        <v>18749.29</v>
      </c>
      <c r="O37" s="131">
        <f>74+14+6</f>
        <v>94</v>
      </c>
      <c r="P37" s="144"/>
      <c r="Q37" s="143">
        <f t="shared" si="3"/>
        <v>151557</v>
      </c>
      <c r="R37" s="143">
        <v>151557</v>
      </c>
      <c r="S37" s="144">
        <v>429.34</v>
      </c>
      <c r="T37" s="144">
        <v>2058</v>
      </c>
      <c r="U37" s="144"/>
      <c r="V37" s="143">
        <f t="shared" si="4"/>
        <v>3520.4</v>
      </c>
      <c r="W37" s="143">
        <v>3520.4</v>
      </c>
      <c r="X37" s="132">
        <f>13.85/(0.00392*360)</f>
        <v>9.814342403628117</v>
      </c>
      <c r="Y37" s="144">
        <v>47</v>
      </c>
      <c r="Z37" s="144"/>
      <c r="AA37" s="143">
        <f t="shared" si="5"/>
        <v>25114.115841963943</v>
      </c>
      <c r="AB37" s="143">
        <f t="shared" si="9"/>
        <v>25114.115841963943</v>
      </c>
      <c r="AC37" s="144">
        <v>70</v>
      </c>
      <c r="AF37" s="135">
        <f t="shared" si="6"/>
        <v>1131626.6000000003</v>
      </c>
    </row>
    <row r="38" spans="1:32" ht="12.75">
      <c r="A38" s="141">
        <v>38261</v>
      </c>
      <c r="B38" s="132">
        <v>17049627</v>
      </c>
      <c r="C38" s="142"/>
      <c r="D38" s="143">
        <f t="shared" si="1"/>
        <v>5592525</v>
      </c>
      <c r="E38" s="143">
        <v>5592525</v>
      </c>
      <c r="F38" s="144">
        <v>7297</v>
      </c>
      <c r="G38" s="144"/>
      <c r="H38" s="143">
        <f t="shared" si="0"/>
        <v>3344355.884158036</v>
      </c>
      <c r="I38" s="143">
        <f>3369470-AB38</f>
        <v>3344355.884158036</v>
      </c>
      <c r="J38" s="144">
        <v>1473</v>
      </c>
      <c r="K38" s="144"/>
      <c r="L38" s="143">
        <f t="shared" si="2"/>
        <v>7357704</v>
      </c>
      <c r="M38" s="143">
        <f>2359641+1726523+3271540</f>
        <v>7357704</v>
      </c>
      <c r="N38" s="143">
        <f>7552.42+4244.6+6840.97</f>
        <v>18637.99</v>
      </c>
      <c r="O38" s="131">
        <f>74+14+6</f>
        <v>94</v>
      </c>
      <c r="P38" s="144"/>
      <c r="Q38" s="143">
        <f t="shared" si="3"/>
        <v>176137</v>
      </c>
      <c r="R38" s="143">
        <v>176137</v>
      </c>
      <c r="S38" s="144">
        <v>429.34</v>
      </c>
      <c r="T38" s="144">
        <v>2058</v>
      </c>
      <c r="U38" s="144"/>
      <c r="V38" s="143">
        <f t="shared" si="4"/>
        <v>3500.4</v>
      </c>
      <c r="W38" s="143">
        <v>3500.4</v>
      </c>
      <c r="X38" s="132">
        <f>13.77/(0.00392*360)</f>
        <v>9.75765306122449</v>
      </c>
      <c r="Y38" s="144">
        <v>46</v>
      </c>
      <c r="Z38" s="144"/>
      <c r="AA38" s="143">
        <f t="shared" si="5"/>
        <v>25114.115841963943</v>
      </c>
      <c r="AB38" s="143">
        <f t="shared" si="9"/>
        <v>25114.115841963943</v>
      </c>
      <c r="AC38" s="144">
        <v>69</v>
      </c>
      <c r="AF38" s="135">
        <f t="shared" si="6"/>
        <v>550290.6000000003</v>
      </c>
    </row>
    <row r="39" spans="1:32" ht="12.75">
      <c r="A39" s="141">
        <v>38292</v>
      </c>
      <c r="B39" s="132">
        <v>18914623</v>
      </c>
      <c r="C39" s="142"/>
      <c r="D39" s="143">
        <f t="shared" si="1"/>
        <v>6585536</v>
      </c>
      <c r="E39" s="143">
        <v>6585536</v>
      </c>
      <c r="F39" s="144">
        <v>7300</v>
      </c>
      <c r="G39" s="144"/>
      <c r="H39" s="143">
        <f t="shared" si="0"/>
        <v>3553690.884158036</v>
      </c>
      <c r="I39" s="143">
        <f>3578805-AB39</f>
        <v>3553690.884158036</v>
      </c>
      <c r="J39" s="144">
        <v>1474</v>
      </c>
      <c r="K39" s="144"/>
      <c r="L39" s="143">
        <f t="shared" si="2"/>
        <v>7148923</v>
      </c>
      <c r="M39" s="143">
        <f>2296178+1692964+3159781</f>
        <v>7148923</v>
      </c>
      <c r="N39" s="143">
        <f>7647+3758+6850</f>
        <v>18255</v>
      </c>
      <c r="O39" s="131">
        <f>73+14+6</f>
        <v>93</v>
      </c>
      <c r="P39" s="144"/>
      <c r="Q39" s="143">
        <f t="shared" si="3"/>
        <v>187622</v>
      </c>
      <c r="R39" s="143">
        <v>187622</v>
      </c>
      <c r="S39" s="144">
        <v>429.34</v>
      </c>
      <c r="T39" s="144">
        <v>2058</v>
      </c>
      <c r="U39" s="144"/>
      <c r="V39" s="143">
        <f t="shared" si="4"/>
        <v>3532.2</v>
      </c>
      <c r="W39" s="143">
        <v>3532.2</v>
      </c>
      <c r="X39" s="132">
        <f>13.9/(0.00392*360)</f>
        <v>9.849773242630386</v>
      </c>
      <c r="Y39" s="144">
        <v>46</v>
      </c>
      <c r="Z39" s="144"/>
      <c r="AA39" s="143">
        <f t="shared" si="5"/>
        <v>25114.115841963943</v>
      </c>
      <c r="AB39" s="143">
        <f t="shared" si="9"/>
        <v>25114.115841963943</v>
      </c>
      <c r="AC39" s="144">
        <v>69</v>
      </c>
      <c r="AF39" s="135">
        <f t="shared" si="6"/>
        <v>1410204.8000000003</v>
      </c>
    </row>
    <row r="40" spans="1:32" ht="12.75">
      <c r="A40" s="141">
        <v>38322</v>
      </c>
      <c r="B40" s="132">
        <v>25696904</v>
      </c>
      <c r="C40" s="142"/>
      <c r="D40" s="143">
        <f t="shared" si="1"/>
        <v>9689184</v>
      </c>
      <c r="E40" s="143">
        <v>9689184</v>
      </c>
      <c r="F40" s="144">
        <v>7312</v>
      </c>
      <c r="G40" s="144"/>
      <c r="H40" s="143">
        <f t="shared" si="0"/>
        <v>4577758.601841196</v>
      </c>
      <c r="I40" s="143">
        <f>4599525-AB40</f>
        <v>4577758.601841196</v>
      </c>
      <c r="J40" s="144">
        <v>1478</v>
      </c>
      <c r="K40" s="144"/>
      <c r="L40" s="143">
        <f t="shared" si="2"/>
        <v>7462848</v>
      </c>
      <c r="M40" s="143">
        <f>2863096+1676738+2923014</f>
        <v>7462848</v>
      </c>
      <c r="N40" s="143">
        <f>8568.33+3832.52+6571.13</f>
        <v>18971.98</v>
      </c>
      <c r="O40" s="131">
        <f>74+14+6</f>
        <v>94</v>
      </c>
      <c r="P40" s="144"/>
      <c r="Q40" s="143">
        <f t="shared" si="3"/>
        <v>202112</v>
      </c>
      <c r="R40" s="143">
        <v>202112</v>
      </c>
      <c r="S40" s="144">
        <v>429.34</v>
      </c>
      <c r="T40" s="144">
        <v>2058</v>
      </c>
      <c r="U40" s="144"/>
      <c r="V40" s="143">
        <f t="shared" si="4"/>
        <v>3329.28</v>
      </c>
      <c r="W40" s="143">
        <v>3329.28</v>
      </c>
      <c r="X40" s="132">
        <f>13.1/(0.00392*360)</f>
        <v>9.282879818594104</v>
      </c>
      <c r="Y40" s="144">
        <v>44</v>
      </c>
      <c r="Z40" s="144"/>
      <c r="AA40" s="143">
        <f t="shared" si="5"/>
        <v>21766.398158803222</v>
      </c>
      <c r="AB40" s="143">
        <f>22698/1.0428</f>
        <v>21766.398158803222</v>
      </c>
      <c r="AC40" s="144">
        <v>69</v>
      </c>
      <c r="AF40" s="135">
        <f t="shared" si="6"/>
        <v>3739905.7200000007</v>
      </c>
    </row>
    <row r="41" spans="1:32" ht="12.75">
      <c r="A41" s="141">
        <v>38353</v>
      </c>
      <c r="B41" s="143">
        <v>25525629</v>
      </c>
      <c r="C41" s="144"/>
      <c r="D41" s="143">
        <f t="shared" si="1"/>
        <v>10338278</v>
      </c>
      <c r="E41" s="143">
        <v>10338278</v>
      </c>
      <c r="F41" s="144">
        <v>7317</v>
      </c>
      <c r="G41" s="144"/>
      <c r="H41" s="143">
        <f t="shared" si="0"/>
        <v>4783667.222477944</v>
      </c>
      <c r="I41" s="143">
        <f>4807107-AB41</f>
        <v>4783667.222477944</v>
      </c>
      <c r="J41" s="144">
        <v>1477</v>
      </c>
      <c r="K41" s="144"/>
      <c r="L41" s="143">
        <f t="shared" si="2"/>
        <v>8128873</v>
      </c>
      <c r="M41" s="143">
        <f>3094112+1763089+3271672</f>
        <v>8128873</v>
      </c>
      <c r="N41" s="143">
        <f>8062.51+3814.06+6718.37</f>
        <v>18594.94</v>
      </c>
      <c r="O41" s="131">
        <f>74+14+6</f>
        <v>94</v>
      </c>
      <c r="P41" s="144"/>
      <c r="Q41" s="143">
        <f t="shared" si="3"/>
        <v>196853</v>
      </c>
      <c r="R41" s="143">
        <v>196853</v>
      </c>
      <c r="S41" s="144">
        <v>429.34</v>
      </c>
      <c r="T41" s="144">
        <v>2058</v>
      </c>
      <c r="U41" s="144"/>
      <c r="V41" s="143">
        <f t="shared" si="4"/>
        <v>3329.28</v>
      </c>
      <c r="W41" s="143">
        <v>3329.28</v>
      </c>
      <c r="X41" s="132">
        <f>13.1/(0.00392*360)</f>
        <v>9.282879818594104</v>
      </c>
      <c r="Y41" s="144">
        <v>44</v>
      </c>
      <c r="Z41" s="144"/>
      <c r="AA41" s="143">
        <f t="shared" si="5"/>
        <v>23439.777522056003</v>
      </c>
      <c r="AB41" s="143">
        <f>24443/1.0428</f>
        <v>23439.777522056003</v>
      </c>
      <c r="AC41" s="144">
        <v>69</v>
      </c>
      <c r="AF41" s="135">
        <f t="shared" si="6"/>
        <v>2051188.7200000014</v>
      </c>
    </row>
    <row r="42" spans="1:32" ht="12.75">
      <c r="A42" s="141">
        <v>38384</v>
      </c>
      <c r="B42" s="143">
        <v>21267840</v>
      </c>
      <c r="C42" s="144"/>
      <c r="D42" s="143">
        <f t="shared" si="1"/>
        <v>8970527</v>
      </c>
      <c r="E42" s="143">
        <v>8970527</v>
      </c>
      <c r="F42" s="144">
        <v>7319</v>
      </c>
      <c r="G42" s="144"/>
      <c r="H42" s="143">
        <f t="shared" si="0"/>
        <v>4408606.893747603</v>
      </c>
      <c r="I42" s="143">
        <f>4432296-AB42</f>
        <v>4408606.893747603</v>
      </c>
      <c r="J42" s="144">
        <v>1477</v>
      </c>
      <c r="K42" s="144"/>
      <c r="L42" s="143">
        <f t="shared" si="2"/>
        <v>7388133</v>
      </c>
      <c r="M42" s="143">
        <f>2974318+1578079+2835736</f>
        <v>7388133</v>
      </c>
      <c r="N42" s="143">
        <f>8235.08+3877.43+6663.05</f>
        <v>18775.56</v>
      </c>
      <c r="O42" s="131">
        <f>74+14+6</f>
        <v>94</v>
      </c>
      <c r="P42" s="144"/>
      <c r="Q42" s="143">
        <f t="shared" si="3"/>
        <v>164866.91</v>
      </c>
      <c r="R42" s="143">
        <v>164866.91</v>
      </c>
      <c r="S42" s="144">
        <v>429.34</v>
      </c>
      <c r="T42" s="144">
        <v>2058</v>
      </c>
      <c r="U42" s="144"/>
      <c r="V42" s="143">
        <f t="shared" si="4"/>
        <v>3363.48</v>
      </c>
      <c r="W42" s="143">
        <v>3363.48</v>
      </c>
      <c r="X42" s="132">
        <f>13.23/(0.00392*360)</f>
        <v>9.375</v>
      </c>
      <c r="Y42" s="144">
        <v>45</v>
      </c>
      <c r="Z42" s="144"/>
      <c r="AA42" s="143">
        <f t="shared" si="5"/>
        <v>23689.106252397392</v>
      </c>
      <c r="AB42" s="143">
        <f>24703/1.0428</f>
        <v>23689.106252397392</v>
      </c>
      <c r="AC42" s="144">
        <v>69</v>
      </c>
      <c r="AF42" s="135">
        <f t="shared" si="6"/>
        <v>308653.61</v>
      </c>
    </row>
    <row r="43" spans="1:32" ht="12.75">
      <c r="A43" s="141">
        <v>38412</v>
      </c>
      <c r="B43" s="143">
        <v>22180291</v>
      </c>
      <c r="C43" s="144"/>
      <c r="D43" s="143">
        <f t="shared" si="1"/>
        <v>8345323</v>
      </c>
      <c r="E43" s="143">
        <v>8345323</v>
      </c>
      <c r="F43" s="144">
        <v>7322</v>
      </c>
      <c r="G43" s="144"/>
      <c r="H43" s="143">
        <f t="shared" si="0"/>
        <v>4203345.936325278</v>
      </c>
      <c r="I43" s="143">
        <f>4226008-AB43</f>
        <v>4203345.936325278</v>
      </c>
      <c r="J43" s="144">
        <v>1477</v>
      </c>
      <c r="K43" s="144"/>
      <c r="L43" s="143">
        <f t="shared" si="2"/>
        <v>7849828</v>
      </c>
      <c r="M43" s="143">
        <f>2813925+1840350+3195553</f>
        <v>7849828</v>
      </c>
      <c r="N43" s="143">
        <f>7838.29-368.52+6204.46</f>
        <v>13674.23</v>
      </c>
      <c r="O43" s="131">
        <f>75+14+6</f>
        <v>95</v>
      </c>
      <c r="P43" s="144"/>
      <c r="Q43" s="143">
        <f t="shared" si="3"/>
        <v>164008</v>
      </c>
      <c r="R43" s="143">
        <v>164008</v>
      </c>
      <c r="S43" s="144">
        <v>429.34</v>
      </c>
      <c r="T43" s="144">
        <v>2058</v>
      </c>
      <c r="U43" s="144"/>
      <c r="V43" s="143">
        <f t="shared" si="4"/>
        <v>3393.12</v>
      </c>
      <c r="W43" s="143">
        <v>3393.12</v>
      </c>
      <c r="X43" s="132">
        <f>13.95/(0.00392*360)</f>
        <v>9.885204081632653</v>
      </c>
      <c r="Y43" s="144">
        <v>44</v>
      </c>
      <c r="Z43" s="144"/>
      <c r="AA43" s="143">
        <f t="shared" si="5"/>
        <v>22662.063674721903</v>
      </c>
      <c r="AB43" s="143">
        <f>23632/1.0428</f>
        <v>22662.063674721903</v>
      </c>
      <c r="AC43" s="144">
        <v>68</v>
      </c>
      <c r="AF43" s="135">
        <f t="shared" si="6"/>
        <v>1591730.88</v>
      </c>
    </row>
    <row r="44" spans="1:32" ht="12.75">
      <c r="A44" s="141">
        <v>38443</v>
      </c>
      <c r="B44" s="143">
        <v>17775417</v>
      </c>
      <c r="C44" s="144"/>
      <c r="D44" s="143">
        <f t="shared" si="1"/>
        <v>6398277</v>
      </c>
      <c r="E44" s="143">
        <v>6398277</v>
      </c>
      <c r="F44" s="144">
        <v>7319</v>
      </c>
      <c r="G44" s="144"/>
      <c r="H44" s="143">
        <f t="shared" si="0"/>
        <v>3619104.936325278</v>
      </c>
      <c r="I44" s="143">
        <f>3641767-AB44</f>
        <v>3619104.936325278</v>
      </c>
      <c r="J44" s="144">
        <v>1479</v>
      </c>
      <c r="K44" s="144"/>
      <c r="L44" s="143">
        <f t="shared" si="2"/>
        <v>6974704</v>
      </c>
      <c r="M44" s="143">
        <f>2350062+1699749+2924893</f>
        <v>6974704</v>
      </c>
      <c r="N44" s="143">
        <f>6955.51+3836.45+6440.34</f>
        <v>17232.3</v>
      </c>
      <c r="O44" s="131">
        <f>76+14+6</f>
        <v>96</v>
      </c>
      <c r="P44" s="144"/>
      <c r="Q44" s="143">
        <f t="shared" si="3"/>
        <v>139858</v>
      </c>
      <c r="R44" s="143">
        <v>139858</v>
      </c>
      <c r="S44" s="144">
        <v>429.34</v>
      </c>
      <c r="T44" s="144">
        <v>2058</v>
      </c>
      <c r="U44" s="144"/>
      <c r="V44" s="143">
        <f t="shared" si="4"/>
        <v>3431.88</v>
      </c>
      <c r="W44" s="143">
        <v>3431.88</v>
      </c>
      <c r="X44" s="132">
        <f aca="true" t="shared" si="10" ref="X44:X49">13.5/(0.00392*360)</f>
        <v>9.566326530612244</v>
      </c>
      <c r="Y44" s="144">
        <v>46</v>
      </c>
      <c r="Z44" s="144"/>
      <c r="AA44" s="143">
        <f t="shared" si="5"/>
        <v>22662.063674721903</v>
      </c>
      <c r="AB44" s="143">
        <f>23632/1.0428</f>
        <v>22662.063674721903</v>
      </c>
      <c r="AC44" s="144">
        <v>68</v>
      </c>
      <c r="AF44" s="135">
        <f t="shared" si="6"/>
        <v>617379.12</v>
      </c>
    </row>
    <row r="45" spans="1:32" ht="12.75">
      <c r="A45" s="141">
        <v>38473</v>
      </c>
      <c r="B45" s="143">
        <v>17093478</v>
      </c>
      <c r="C45" s="144"/>
      <c r="D45" s="143">
        <f t="shared" si="1"/>
        <v>5287232</v>
      </c>
      <c r="E45" s="143">
        <v>5287232</v>
      </c>
      <c r="F45" s="144">
        <v>7321</v>
      </c>
      <c r="G45" s="144"/>
      <c r="H45" s="143">
        <f t="shared" si="0"/>
        <v>3224457.936325278</v>
      </c>
      <c r="I45" s="143">
        <f>3247120-AB45</f>
        <v>3224457.936325278</v>
      </c>
      <c r="J45" s="144">
        <v>1476</v>
      </c>
      <c r="K45" s="144"/>
      <c r="L45" s="143">
        <f t="shared" si="2"/>
        <v>7031142</v>
      </c>
      <c r="M45" s="143">
        <f>2083677+1808250+3139215</f>
        <v>7031142</v>
      </c>
      <c r="N45" s="143">
        <f>7150.32+4396.08+6573.51</f>
        <v>18119.91</v>
      </c>
      <c r="O45" s="131">
        <f>77+14+6</f>
        <v>97</v>
      </c>
      <c r="P45" s="144"/>
      <c r="Q45" s="143">
        <f t="shared" si="3"/>
        <v>127622</v>
      </c>
      <c r="R45" s="143">
        <v>127622</v>
      </c>
      <c r="S45" s="144">
        <v>429.34</v>
      </c>
      <c r="T45" s="144">
        <v>2058</v>
      </c>
      <c r="U45" s="144"/>
      <c r="V45" s="143">
        <f t="shared" si="4"/>
        <v>3431.88</v>
      </c>
      <c r="W45" s="143">
        <v>3431.88</v>
      </c>
      <c r="X45" s="132">
        <f t="shared" si="10"/>
        <v>9.566326530612244</v>
      </c>
      <c r="Y45" s="144">
        <v>46</v>
      </c>
      <c r="Z45" s="144"/>
      <c r="AA45" s="143">
        <f t="shared" si="5"/>
        <v>22662.063674721903</v>
      </c>
      <c r="AB45" s="143">
        <f>23632/1.0428</f>
        <v>22662.063674721903</v>
      </c>
      <c r="AC45" s="144">
        <v>68</v>
      </c>
      <c r="AF45" s="135">
        <f t="shared" si="6"/>
        <v>1396930.12</v>
      </c>
    </row>
    <row r="46" spans="1:32" ht="12.75">
      <c r="A46" s="141">
        <v>38504</v>
      </c>
      <c r="B46" s="143">
        <v>17852363</v>
      </c>
      <c r="C46" s="144"/>
      <c r="D46" s="143">
        <f t="shared" si="1"/>
        <v>5738395</v>
      </c>
      <c r="E46" s="143">
        <v>5738395</v>
      </c>
      <c r="F46" s="144">
        <v>7326</v>
      </c>
      <c r="G46" s="144"/>
      <c r="H46" s="143">
        <f>+I46</f>
        <v>4229298.936325278</v>
      </c>
      <c r="I46" s="143">
        <f>4251961-AB46</f>
        <v>4229298.936325278</v>
      </c>
      <c r="J46" s="144">
        <v>1474</v>
      </c>
      <c r="K46" s="144"/>
      <c r="L46" s="143">
        <f t="shared" si="2"/>
        <v>7488053</v>
      </c>
      <c r="M46" s="143">
        <f>2316596+2040299+3131158</f>
        <v>7488053</v>
      </c>
      <c r="N46" s="143">
        <f>7079.2+4819.94+6564.9</f>
        <v>18464.04</v>
      </c>
      <c r="O46" s="131">
        <f>78+14+6</f>
        <v>98</v>
      </c>
      <c r="P46" s="144"/>
      <c r="Q46" s="143">
        <f t="shared" si="3"/>
        <v>116029</v>
      </c>
      <c r="R46" s="143">
        <v>116029</v>
      </c>
      <c r="S46" s="144">
        <v>429.34</v>
      </c>
      <c r="T46" s="144">
        <v>2058</v>
      </c>
      <c r="U46" s="144"/>
      <c r="V46" s="143">
        <f t="shared" si="4"/>
        <v>3431.88</v>
      </c>
      <c r="W46" s="143">
        <v>3431.88</v>
      </c>
      <c r="X46" s="132">
        <f t="shared" si="10"/>
        <v>9.566326530612244</v>
      </c>
      <c r="Y46" s="144">
        <v>46</v>
      </c>
      <c r="Z46" s="144"/>
      <c r="AA46" s="143">
        <f t="shared" si="5"/>
        <v>22662.063674721903</v>
      </c>
      <c r="AB46" s="143">
        <f>23632/1.0428</f>
        <v>22662.063674721903</v>
      </c>
      <c r="AC46" s="144">
        <v>68</v>
      </c>
      <c r="AF46" s="135">
        <f t="shared" si="6"/>
        <v>254493.11999999997</v>
      </c>
    </row>
    <row r="47" spans="1:32" ht="12.75">
      <c r="A47" s="141">
        <v>38534</v>
      </c>
      <c r="B47" s="143">
        <v>18659467</v>
      </c>
      <c r="C47" s="144"/>
      <c r="D47" s="143">
        <v>5498240</v>
      </c>
      <c r="E47" s="143">
        <v>5429840</v>
      </c>
      <c r="F47" s="144">
        <v>7335</v>
      </c>
      <c r="G47" s="144"/>
      <c r="H47" s="143">
        <v>4186380</v>
      </c>
      <c r="I47" s="143">
        <f>4171029-AB47</f>
        <v>4148366.936325278</v>
      </c>
      <c r="J47" s="144">
        <v>1480</v>
      </c>
      <c r="K47" s="144"/>
      <c r="L47" s="143">
        <v>7690411</v>
      </c>
      <c r="M47" s="143">
        <f>2794556+2042041+3184897</f>
        <v>8021494</v>
      </c>
      <c r="N47" s="143">
        <f>8287.34+5027.16+6773.08</f>
        <v>20087.58</v>
      </c>
      <c r="O47" s="131">
        <f>77+14+6</f>
        <v>97</v>
      </c>
      <c r="P47" s="144"/>
      <c r="Q47" s="143">
        <v>122577</v>
      </c>
      <c r="R47" s="143">
        <v>122576.85</v>
      </c>
      <c r="S47" s="144">
        <v>429.34</v>
      </c>
      <c r="T47" s="144">
        <v>2058</v>
      </c>
      <c r="U47" s="144"/>
      <c r="V47" s="143">
        <v>3293</v>
      </c>
      <c r="W47" s="143">
        <v>3431.88</v>
      </c>
      <c r="X47" s="132">
        <f t="shared" si="10"/>
        <v>9.566326530612244</v>
      </c>
      <c r="Y47" s="144">
        <v>46</v>
      </c>
      <c r="Z47" s="144"/>
      <c r="AA47" s="143">
        <v>22864</v>
      </c>
      <c r="AB47" s="143">
        <f>23632/1.0428</f>
        <v>22662.063674721903</v>
      </c>
      <c r="AC47" s="144">
        <v>67</v>
      </c>
      <c r="AF47" s="135">
        <f t="shared" si="6"/>
        <v>911095.27</v>
      </c>
    </row>
    <row r="48" spans="1:32" ht="12.75">
      <c r="A48" s="141">
        <v>38565</v>
      </c>
      <c r="B48" s="143">
        <v>18371689</v>
      </c>
      <c r="C48" s="144"/>
      <c r="D48" s="143">
        <v>5103871</v>
      </c>
      <c r="E48" s="143">
        <v>4829660</v>
      </c>
      <c r="F48" s="144">
        <v>7331</v>
      </c>
      <c r="G48" s="144"/>
      <c r="H48" s="143">
        <v>3905206</v>
      </c>
      <c r="I48" s="143">
        <f>3705179-AB48</f>
        <v>3682590.7759877252</v>
      </c>
      <c r="J48" s="144">
        <v>1479</v>
      </c>
      <c r="K48" s="144"/>
      <c r="L48" s="143">
        <v>7828805</v>
      </c>
      <c r="M48" s="143">
        <f>2262626+2083492.6+3381332.7</f>
        <v>7727451.3</v>
      </c>
      <c r="N48" s="143">
        <f>7558.25+4630.32+6915.47</f>
        <v>19104.04</v>
      </c>
      <c r="O48" s="131">
        <f>77+14+6</f>
        <v>97</v>
      </c>
      <c r="P48" s="144"/>
      <c r="Q48" s="143">
        <v>137389</v>
      </c>
      <c r="R48" s="143">
        <v>137389.15</v>
      </c>
      <c r="S48" s="144">
        <v>429.34</v>
      </c>
      <c r="T48" s="144">
        <v>2058</v>
      </c>
      <c r="U48" s="144"/>
      <c r="V48" s="143">
        <v>3652</v>
      </c>
      <c r="W48" s="143">
        <v>3431.88</v>
      </c>
      <c r="X48" s="132">
        <f t="shared" si="10"/>
        <v>9.566326530612244</v>
      </c>
      <c r="Y48" s="144">
        <v>46</v>
      </c>
      <c r="Z48" s="144"/>
      <c r="AA48" s="143">
        <v>22588</v>
      </c>
      <c r="AB48" s="143">
        <f aca="true" t="shared" si="11" ref="AB48:AB54">23555/1.0428</f>
        <v>22588.224012274648</v>
      </c>
      <c r="AC48" s="144">
        <v>67</v>
      </c>
      <c r="AF48" s="135">
        <f t="shared" si="6"/>
        <v>1968577.67</v>
      </c>
    </row>
    <row r="49" spans="1:32" ht="12.75">
      <c r="A49" s="141">
        <v>38596</v>
      </c>
      <c r="B49" s="143">
        <v>16706530</v>
      </c>
      <c r="C49" s="144"/>
      <c r="D49" s="143">
        <v>4764138</v>
      </c>
      <c r="E49" s="143">
        <v>5003641</v>
      </c>
      <c r="F49" s="144">
        <v>7350</v>
      </c>
      <c r="G49" s="144"/>
      <c r="H49" s="143">
        <v>3461214</v>
      </c>
      <c r="I49" s="143">
        <f>3721340-AB49</f>
        <v>3698751.7759877252</v>
      </c>
      <c r="J49" s="144">
        <v>1480</v>
      </c>
      <c r="K49" s="144"/>
      <c r="L49" s="143">
        <v>7541197</v>
      </c>
      <c r="M49" s="143">
        <f>2661787.2+1848982+3300964</f>
        <v>7811733.2</v>
      </c>
      <c r="N49" s="143">
        <f>7829+4497.19+7188.32</f>
        <v>19514.51</v>
      </c>
      <c r="O49" s="131">
        <f>77+14+6</f>
        <v>97</v>
      </c>
      <c r="P49" s="144"/>
      <c r="Q49" s="143">
        <v>150913</v>
      </c>
      <c r="R49" s="143">
        <v>150913.24</v>
      </c>
      <c r="S49" s="144">
        <v>429.34</v>
      </c>
      <c r="T49" s="144">
        <v>2058</v>
      </c>
      <c r="U49" s="144"/>
      <c r="V49" s="143">
        <v>3388</v>
      </c>
      <c r="W49" s="143">
        <v>3431.88</v>
      </c>
      <c r="X49" s="132">
        <f t="shared" si="10"/>
        <v>9.566326530612244</v>
      </c>
      <c r="Y49" s="144">
        <v>46</v>
      </c>
      <c r="Z49" s="144"/>
      <c r="AA49" s="143">
        <v>22406</v>
      </c>
      <c r="AB49" s="143">
        <f t="shared" si="11"/>
        <v>22588.224012274648</v>
      </c>
      <c r="AC49" s="144">
        <v>67</v>
      </c>
      <c r="AF49" s="135">
        <f t="shared" si="6"/>
        <v>15470.679999999473</v>
      </c>
    </row>
    <row r="50" spans="1:32" ht="12.75">
      <c r="A50" s="141">
        <v>38626</v>
      </c>
      <c r="B50" s="143">
        <v>17757743</v>
      </c>
      <c r="C50" s="144"/>
      <c r="D50" s="143">
        <v>5696053</v>
      </c>
      <c r="E50" s="143">
        <v>5256326</v>
      </c>
      <c r="F50" s="144">
        <v>7349</v>
      </c>
      <c r="G50" s="144"/>
      <c r="H50" s="143">
        <v>3418142</v>
      </c>
      <c r="I50" s="143">
        <f>3242042-AB50</f>
        <v>3219453.7759877252</v>
      </c>
      <c r="J50" s="144">
        <v>1476</v>
      </c>
      <c r="K50" s="144"/>
      <c r="L50" s="143">
        <v>7407605</v>
      </c>
      <c r="M50" s="143">
        <f>1983868.4+1756790+3155235</f>
        <v>6895893.4</v>
      </c>
      <c r="N50" s="143">
        <f>7477.55+4189.04+6883.92</f>
        <v>18550.510000000002</v>
      </c>
      <c r="O50" s="131">
        <f>76+14+6</f>
        <v>96</v>
      </c>
      <c r="P50" s="144"/>
      <c r="Q50" s="143">
        <v>175493</v>
      </c>
      <c r="R50" s="143">
        <v>175493.11</v>
      </c>
      <c r="S50" s="144">
        <v>429.34</v>
      </c>
      <c r="T50" s="144">
        <v>2058</v>
      </c>
      <c r="U50" s="144"/>
      <c r="V50" s="143">
        <v>3695</v>
      </c>
      <c r="W50" s="143">
        <v>3486.6</v>
      </c>
      <c r="X50" s="132">
        <f>13.71/(0.00392*360)</f>
        <v>9.71513605442177</v>
      </c>
      <c r="Y50" s="144">
        <v>47</v>
      </c>
      <c r="Z50" s="144"/>
      <c r="AA50" s="143">
        <v>22770</v>
      </c>
      <c r="AB50" s="143">
        <f t="shared" si="11"/>
        <v>22588.224012274648</v>
      </c>
      <c r="AC50" s="144">
        <v>67</v>
      </c>
      <c r="AF50" s="135">
        <f t="shared" si="6"/>
        <v>2184501.889999999</v>
      </c>
    </row>
    <row r="51" spans="1:32" ht="12.75">
      <c r="A51" s="141">
        <v>38657</v>
      </c>
      <c r="B51" s="143">
        <v>19413517</v>
      </c>
      <c r="C51" s="144"/>
      <c r="D51" s="143">
        <v>7239938</v>
      </c>
      <c r="E51" s="143">
        <v>6998926</v>
      </c>
      <c r="F51" s="144">
        <v>7354</v>
      </c>
      <c r="G51" s="144"/>
      <c r="H51" s="143">
        <v>3828784</v>
      </c>
      <c r="I51" s="143">
        <f>3696080-AB51</f>
        <v>3673491.7759877252</v>
      </c>
      <c r="J51" s="144">
        <v>1478</v>
      </c>
      <c r="K51" s="144"/>
      <c r="L51" s="143">
        <v>7348826</v>
      </c>
      <c r="M51" s="143">
        <f>2611893+1726294+2897596</f>
        <v>7235783</v>
      </c>
      <c r="N51" s="143">
        <f>8127.08+3904.87+6389.31</f>
        <v>18421.260000000002</v>
      </c>
      <c r="O51" s="131">
        <f>76+14+6</f>
        <v>96</v>
      </c>
      <c r="P51" s="144"/>
      <c r="Q51" s="143">
        <v>187193</v>
      </c>
      <c r="R51" s="143">
        <v>187192.56</v>
      </c>
      <c r="S51" s="144">
        <v>429.34</v>
      </c>
      <c r="T51" s="144">
        <v>2058</v>
      </c>
      <c r="U51" s="144"/>
      <c r="V51" s="143">
        <v>3548</v>
      </c>
      <c r="W51" s="143">
        <v>3500.28</v>
      </c>
      <c r="X51" s="132">
        <f>13.77/(0.00392*360)</f>
        <v>9.75765306122449</v>
      </c>
      <c r="Y51" s="144">
        <v>47</v>
      </c>
      <c r="Z51" s="144"/>
      <c r="AA51" s="143">
        <v>22406</v>
      </c>
      <c r="AB51" s="143">
        <f t="shared" si="11"/>
        <v>22588.224012274648</v>
      </c>
      <c r="AC51" s="144">
        <v>67</v>
      </c>
      <c r="AF51" s="135">
        <f t="shared" si="6"/>
        <v>1292035.1599999995</v>
      </c>
    </row>
    <row r="52" spans="1:32" ht="12.75">
      <c r="A52" s="141">
        <v>38687</v>
      </c>
      <c r="B52" s="143">
        <v>23443598</v>
      </c>
      <c r="C52" s="144"/>
      <c r="D52" s="143">
        <v>9176936</v>
      </c>
      <c r="E52" s="143">
        <v>9349563</v>
      </c>
      <c r="F52" s="144">
        <v>7362</v>
      </c>
      <c r="G52" s="144"/>
      <c r="H52" s="143">
        <v>4368947</v>
      </c>
      <c r="I52" s="143">
        <f>4544338-AB52</f>
        <v>4521749.775987726</v>
      </c>
      <c r="J52" s="144">
        <v>1483</v>
      </c>
      <c r="K52" s="144"/>
      <c r="L52" s="143">
        <v>7610639</v>
      </c>
      <c r="M52" s="143">
        <f>3148627+1792447+2832711</f>
        <v>7773785</v>
      </c>
      <c r="N52" s="143">
        <f>8691.89+3813.02+6229.69</f>
        <v>18734.6</v>
      </c>
      <c r="O52" s="131">
        <f>76+14+6</f>
        <v>96</v>
      </c>
      <c r="P52" s="144"/>
      <c r="Q52" s="143">
        <v>202112</v>
      </c>
      <c r="R52" s="143">
        <v>202112</v>
      </c>
      <c r="S52" s="144">
        <v>429.34</v>
      </c>
      <c r="T52" s="144">
        <v>2058</v>
      </c>
      <c r="U52" s="144"/>
      <c r="V52" s="143">
        <v>3485</v>
      </c>
      <c r="W52" s="143">
        <v>3500.28</v>
      </c>
      <c r="X52" s="132">
        <f>13.77/(0.00392*360)</f>
        <v>9.75765306122449</v>
      </c>
      <c r="Y52" s="144">
        <v>47</v>
      </c>
      <c r="Z52" s="144"/>
      <c r="AA52" s="143">
        <v>22770</v>
      </c>
      <c r="AB52" s="143">
        <f t="shared" si="11"/>
        <v>22588.224012274648</v>
      </c>
      <c r="AC52" s="144">
        <v>66</v>
      </c>
      <c r="AF52" s="135">
        <f t="shared" si="6"/>
        <v>1570299.7199999995</v>
      </c>
    </row>
    <row r="53" spans="1:32" ht="12.75">
      <c r="A53" s="141">
        <v>38718</v>
      </c>
      <c r="B53" s="143">
        <v>23178438</v>
      </c>
      <c r="C53" s="144"/>
      <c r="D53" s="143">
        <v>9120051</v>
      </c>
      <c r="E53" s="143">
        <v>9167255</v>
      </c>
      <c r="F53" s="144">
        <v>7366</v>
      </c>
      <c r="G53" s="144"/>
      <c r="H53" s="143">
        <v>4436795</v>
      </c>
      <c r="I53" s="143">
        <f>4381795-AB53</f>
        <v>4359206.775987726</v>
      </c>
      <c r="J53" s="144">
        <v>1483</v>
      </c>
      <c r="K53" s="144"/>
      <c r="L53" s="143">
        <v>7916694</v>
      </c>
      <c r="M53" s="143">
        <f>2854888+1732863+3148401</f>
        <v>7736152</v>
      </c>
      <c r="N53" s="143">
        <f>8049.11+3729.59+6503.81</f>
        <v>18282.510000000002</v>
      </c>
      <c r="O53" s="131">
        <f>75+14+6</f>
        <v>95</v>
      </c>
      <c r="P53" s="144"/>
      <c r="Q53" s="143">
        <v>196981</v>
      </c>
      <c r="R53" s="143">
        <v>196980.62</v>
      </c>
      <c r="S53" s="144">
        <v>429.61</v>
      </c>
      <c r="T53" s="144">
        <v>2058</v>
      </c>
      <c r="U53" s="144"/>
      <c r="V53" s="143">
        <v>3456</v>
      </c>
      <c r="W53" s="143">
        <v>3500.28</v>
      </c>
      <c r="X53" s="132">
        <f>13.77/(0.00392*360)</f>
        <v>9.75765306122449</v>
      </c>
      <c r="Y53" s="144">
        <v>47</v>
      </c>
      <c r="Z53" s="144"/>
      <c r="AA53" s="143">
        <v>22588</v>
      </c>
      <c r="AB53" s="143">
        <f t="shared" si="11"/>
        <v>22588.224012274648</v>
      </c>
      <c r="AC53" s="144">
        <v>66</v>
      </c>
      <c r="AF53" s="135">
        <f t="shared" si="6"/>
        <v>1692755.0999999994</v>
      </c>
    </row>
    <row r="54" spans="1:32" ht="12.75">
      <c r="A54" s="141">
        <v>38749</v>
      </c>
      <c r="B54" s="143">
        <v>21503463</v>
      </c>
      <c r="C54" s="144"/>
      <c r="D54" s="143">
        <v>8326252</v>
      </c>
      <c r="E54" s="143">
        <v>8939919</v>
      </c>
      <c r="F54" s="144">
        <v>7369</v>
      </c>
      <c r="G54" s="144"/>
      <c r="H54" s="143">
        <v>4103520</v>
      </c>
      <c r="I54" s="143">
        <f>4356372-AB54</f>
        <v>4333783.775987726</v>
      </c>
      <c r="J54" s="144">
        <v>1479</v>
      </c>
      <c r="K54" s="144"/>
      <c r="L54" s="143">
        <v>7191167</v>
      </c>
      <c r="M54" s="143">
        <f>3043266+1559009+2858264</f>
        <v>7460539</v>
      </c>
      <c r="N54" s="143">
        <f>8123.96+3705.75+6604.41</f>
        <v>18434.12</v>
      </c>
      <c r="O54" s="131">
        <f>75+14+6</f>
        <v>95</v>
      </c>
      <c r="P54" s="144"/>
      <c r="Q54" s="143">
        <v>164974</v>
      </c>
      <c r="R54" s="143">
        <v>164973.72</v>
      </c>
      <c r="S54" s="144">
        <v>429.61</v>
      </c>
      <c r="T54" s="144">
        <v>2058</v>
      </c>
      <c r="U54" s="144"/>
      <c r="V54" s="143">
        <v>3335</v>
      </c>
      <c r="W54" s="143">
        <v>3500.28</v>
      </c>
      <c r="X54" s="132">
        <f>13.77/(0.00392*360)</f>
        <v>9.75765306122449</v>
      </c>
      <c r="Y54" s="144">
        <v>47</v>
      </c>
      <c r="Z54" s="144"/>
      <c r="AA54" s="143">
        <v>21966</v>
      </c>
      <c r="AB54" s="143">
        <f t="shared" si="11"/>
        <v>22588.224012274648</v>
      </c>
      <c r="AC54" s="144">
        <v>66</v>
      </c>
      <c r="AF54" s="135">
        <f t="shared" si="6"/>
        <v>578158.9999999997</v>
      </c>
    </row>
    <row r="55" spans="1:32" ht="12.75">
      <c r="A55" s="141">
        <v>38777</v>
      </c>
      <c r="B55" s="143">
        <v>21726896</v>
      </c>
      <c r="C55" s="144"/>
      <c r="D55" s="143">
        <v>8132807</v>
      </c>
      <c r="E55" s="143">
        <v>7643382</v>
      </c>
      <c r="F55" s="144">
        <v>7371</v>
      </c>
      <c r="G55" s="144"/>
      <c r="H55" s="143">
        <v>4179597</v>
      </c>
      <c r="I55" s="143">
        <f>4095971-AB55</f>
        <v>4073382.7759877252</v>
      </c>
      <c r="J55" s="144">
        <v>1479</v>
      </c>
      <c r="K55" s="144"/>
      <c r="L55" s="143">
        <v>7844227</v>
      </c>
      <c r="M55" s="143">
        <f>2758622.4+1701065+3310336</f>
        <v>7770023.4</v>
      </c>
      <c r="N55" s="143">
        <f>7712.46+3808.15+7046.84</f>
        <v>18567.45</v>
      </c>
      <c r="O55" s="131">
        <f>75+14+6</f>
        <v>95</v>
      </c>
      <c r="P55" s="144"/>
      <c r="Q55" s="143">
        <v>164115</v>
      </c>
      <c r="R55" s="143">
        <v>164114.5</v>
      </c>
      <c r="S55" s="144">
        <v>429.61</v>
      </c>
      <c r="T55" s="144">
        <v>2058</v>
      </c>
      <c r="U55" s="144"/>
      <c r="V55" s="143">
        <v>3657</v>
      </c>
      <c r="W55" s="143">
        <v>3568.68</v>
      </c>
      <c r="X55" s="132">
        <f>14.04/(0.00392*360)</f>
        <v>9.948979591836734</v>
      </c>
      <c r="Y55" s="144">
        <v>48</v>
      </c>
      <c r="Z55" s="144"/>
      <c r="AA55" s="143">
        <v>23210</v>
      </c>
      <c r="AB55" s="143">
        <f>23555/1.0428</f>
        <v>22588.224012274648</v>
      </c>
      <c r="AC55" s="144">
        <v>66</v>
      </c>
      <c r="AF55" s="135">
        <f t="shared" si="6"/>
        <v>2049836.4199999992</v>
      </c>
    </row>
    <row r="56" spans="1:32" ht="12.75">
      <c r="A56" s="141">
        <v>38808</v>
      </c>
      <c r="B56" s="143">
        <v>17617807</v>
      </c>
      <c r="C56" s="144"/>
      <c r="D56" s="143">
        <v>6043353</v>
      </c>
      <c r="E56" s="143">
        <v>6132977</v>
      </c>
      <c r="F56" s="144">
        <v>7373</v>
      </c>
      <c r="G56" s="144"/>
      <c r="H56" s="143">
        <v>3412156</v>
      </c>
      <c r="I56" s="143">
        <f>3496122</f>
        <v>3496122</v>
      </c>
      <c r="J56" s="144">
        <v>1482</v>
      </c>
      <c r="K56" s="144"/>
      <c r="L56" s="143">
        <v>7015219</v>
      </c>
      <c r="M56" s="143">
        <f>2212136+1598232.51+3160786</f>
        <v>6971154.51</v>
      </c>
      <c r="N56" s="143">
        <f>7327.78+3946.15+6959.53</f>
        <v>18233.46</v>
      </c>
      <c r="O56" s="131">
        <f>72+14+6</f>
        <v>92</v>
      </c>
      <c r="P56" s="144"/>
      <c r="Q56" s="143">
        <v>139858</v>
      </c>
      <c r="R56" s="143">
        <v>139858</v>
      </c>
      <c r="S56" s="144">
        <v>429.61</v>
      </c>
      <c r="T56" s="144">
        <v>2058</v>
      </c>
      <c r="U56" s="144"/>
      <c r="V56" s="143">
        <v>3429</v>
      </c>
      <c r="W56" s="143">
        <v>3390.84</v>
      </c>
      <c r="X56" s="132">
        <f>13.34/(0.00392*360)</f>
        <v>9.452947845804989</v>
      </c>
      <c r="Y56" s="144">
        <v>45</v>
      </c>
      <c r="Z56" s="144"/>
      <c r="AA56" s="143">
        <v>22406</v>
      </c>
      <c r="AB56" s="143">
        <v>22588</v>
      </c>
      <c r="AC56" s="144">
        <v>66</v>
      </c>
      <c r="AF56" s="135">
        <f t="shared" si="6"/>
        <v>851716.6500000003</v>
      </c>
    </row>
    <row r="57" spans="1:32" ht="12.75">
      <c r="A57" s="141">
        <v>38838</v>
      </c>
      <c r="B57" s="143">
        <v>17278731</v>
      </c>
      <c r="C57" s="144"/>
      <c r="D57" s="143">
        <v>5244651</v>
      </c>
      <c r="E57" s="143">
        <v>5076849</v>
      </c>
      <c r="F57" s="144">
        <v>7365</v>
      </c>
      <c r="G57" s="144"/>
      <c r="H57" s="143">
        <v>3423961</v>
      </c>
      <c r="I57" s="143">
        <f>3233560</f>
        <v>3233560</v>
      </c>
      <c r="J57" s="144">
        <v>1483</v>
      </c>
      <c r="K57" s="144"/>
      <c r="L57" s="143">
        <v>7536366</v>
      </c>
      <c r="M57" s="143">
        <f>2144917+1838281+3419031</f>
        <v>7402229</v>
      </c>
      <c r="N57" s="143">
        <f>7846.41+4712.71+7641.39</f>
        <v>20200.51</v>
      </c>
      <c r="O57" s="131">
        <f>72+14+6</f>
        <v>92</v>
      </c>
      <c r="P57" s="144"/>
      <c r="Q57" s="143">
        <v>127622</v>
      </c>
      <c r="R57" s="143">
        <v>127621.62</v>
      </c>
      <c r="S57" s="144">
        <v>429.34</v>
      </c>
      <c r="T57" s="144">
        <v>2058</v>
      </c>
      <c r="U57" s="144"/>
      <c r="V57" s="143">
        <v>3536</v>
      </c>
      <c r="W57" s="143">
        <v>3500</v>
      </c>
      <c r="X57" s="132">
        <f>13.77/(0.00392*360)</f>
        <v>9.75765306122449</v>
      </c>
      <c r="Y57" s="144">
        <v>47</v>
      </c>
      <c r="Z57" s="144"/>
      <c r="AA57" s="143">
        <v>22770</v>
      </c>
      <c r="AB57" s="143">
        <v>22588</v>
      </c>
      <c r="AC57" s="144">
        <v>66</v>
      </c>
      <c r="AF57" s="135">
        <f t="shared" si="6"/>
        <v>1412383.38</v>
      </c>
    </row>
    <row r="58" spans="1:32" ht="12.75">
      <c r="A58" s="141">
        <v>38869</v>
      </c>
      <c r="B58" s="143">
        <v>17146680</v>
      </c>
      <c r="C58" s="144"/>
      <c r="D58" s="143">
        <v>4891261</v>
      </c>
      <c r="E58" s="143">
        <v>4890373</v>
      </c>
      <c r="F58" s="144">
        <v>7374</v>
      </c>
      <c r="G58" s="144"/>
      <c r="H58" s="143">
        <v>3605018</v>
      </c>
      <c r="I58" s="143">
        <f>3709969</f>
        <v>3709969</v>
      </c>
      <c r="J58" s="144">
        <v>1478</v>
      </c>
      <c r="K58" s="144"/>
      <c r="L58" s="143">
        <v>7474927</v>
      </c>
      <c r="M58" s="143">
        <f>2343483+1863981+3321807</f>
        <v>7529271</v>
      </c>
      <c r="N58" s="143">
        <f>7723.25+4564.88+7742.28</f>
        <v>20030.41</v>
      </c>
      <c r="O58" s="131">
        <f>72+14+6</f>
        <v>92</v>
      </c>
      <c r="P58" s="144"/>
      <c r="Q58" s="143">
        <v>116029</v>
      </c>
      <c r="R58" s="143">
        <v>116029</v>
      </c>
      <c r="S58" s="144">
        <v>429.34</v>
      </c>
      <c r="T58" s="144">
        <v>2058</v>
      </c>
      <c r="U58" s="144"/>
      <c r="V58" s="143">
        <v>3366</v>
      </c>
      <c r="W58" s="143">
        <v>3349.08</v>
      </c>
      <c r="X58" s="132">
        <f>13.17/(0.00392*360)</f>
        <v>9.332482993197278</v>
      </c>
      <c r="Y58" s="144">
        <v>45</v>
      </c>
      <c r="Z58" s="144"/>
      <c r="AA58" s="143">
        <v>22406</v>
      </c>
      <c r="AB58" s="143">
        <v>22588</v>
      </c>
      <c r="AC58" s="144">
        <v>66</v>
      </c>
      <c r="AF58" s="135">
        <f t="shared" si="6"/>
        <v>875100.92</v>
      </c>
    </row>
    <row r="59" spans="1:32" ht="12.75">
      <c r="A59" s="141">
        <v>38899</v>
      </c>
      <c r="B59" s="143">
        <v>18619398</v>
      </c>
      <c r="C59" s="144"/>
      <c r="D59" s="143">
        <v>5331658</v>
      </c>
      <c r="E59" s="143">
        <v>5460605</v>
      </c>
      <c r="F59" s="144">
        <v>7381</v>
      </c>
      <c r="G59" s="144"/>
      <c r="H59" s="143">
        <v>4050391</v>
      </c>
      <c r="I59" s="143">
        <f>4014622</f>
        <v>4014622</v>
      </c>
      <c r="J59" s="144">
        <v>1477</v>
      </c>
      <c r="K59" s="144"/>
      <c r="L59" s="143">
        <v>7876777</v>
      </c>
      <c r="M59" s="143">
        <f>2213382+2078380+3373662</f>
        <v>7665424</v>
      </c>
      <c r="N59" s="143">
        <f>7014.44+4843.2+7632.95</f>
        <v>19490.59</v>
      </c>
      <c r="O59" s="131">
        <f>72+14+6</f>
        <v>92</v>
      </c>
      <c r="P59" s="144"/>
      <c r="Q59" s="143">
        <v>122577</v>
      </c>
      <c r="R59" s="143">
        <v>122576.85</v>
      </c>
      <c r="S59" s="144">
        <v>429.34</v>
      </c>
      <c r="T59" s="144">
        <v>2058</v>
      </c>
      <c r="U59" s="144"/>
      <c r="V59" s="143">
        <v>3363</v>
      </c>
      <c r="W59" s="143">
        <v>3424.68</v>
      </c>
      <c r="X59" s="132">
        <f>13.47/(0.00392*360)</f>
        <v>9.545068027210885</v>
      </c>
      <c r="Y59" s="144">
        <v>46</v>
      </c>
      <c r="Z59" s="144"/>
      <c r="AA59" s="143">
        <v>22770</v>
      </c>
      <c r="AB59" s="143">
        <v>22588</v>
      </c>
      <c r="AC59" s="144">
        <v>66</v>
      </c>
      <c r="AF59" s="135">
        <f t="shared" si="6"/>
        <v>1330157.47</v>
      </c>
    </row>
    <row r="60" spans="1:32" ht="12.75">
      <c r="A60" s="141">
        <v>38930</v>
      </c>
      <c r="B60" s="143">
        <v>17843517</v>
      </c>
      <c r="C60" s="144"/>
      <c r="D60" s="143">
        <v>5007356</v>
      </c>
      <c r="E60" s="143">
        <v>4817371</v>
      </c>
      <c r="F60" s="144">
        <v>7387</v>
      </c>
      <c r="G60" s="144"/>
      <c r="H60" s="143">
        <v>3821842</v>
      </c>
      <c r="I60" s="143">
        <f>3695451</f>
        <v>3695451</v>
      </c>
      <c r="J60" s="144">
        <v>1483</v>
      </c>
      <c r="K60" s="144"/>
      <c r="L60" s="143">
        <v>7864500</v>
      </c>
      <c r="M60" s="143">
        <f>2525908+1971113+3463682</f>
        <v>7960703</v>
      </c>
      <c r="N60" s="143">
        <f>8048.2+4896.98+7459.13</f>
        <v>20404.31</v>
      </c>
      <c r="O60" s="131">
        <f>72+14+6</f>
        <v>92</v>
      </c>
      <c r="P60" s="144"/>
      <c r="Q60" s="143">
        <v>137389</v>
      </c>
      <c r="R60" s="143">
        <v>137389.15</v>
      </c>
      <c r="S60" s="144">
        <v>429.34</v>
      </c>
      <c r="T60" s="144">
        <v>2058</v>
      </c>
      <c r="U60" s="144"/>
      <c r="V60" s="143">
        <v>3587</v>
      </c>
      <c r="W60" s="143">
        <v>3441.78</v>
      </c>
      <c r="X60" s="132">
        <f>13.54/(0.00392*360)</f>
        <v>9.594671201814059</v>
      </c>
      <c r="Y60" s="144">
        <v>47</v>
      </c>
      <c r="Z60" s="144"/>
      <c r="AA60" s="143">
        <v>22588</v>
      </c>
      <c r="AB60" s="143">
        <v>22588</v>
      </c>
      <c r="AC60" s="144">
        <v>66</v>
      </c>
      <c r="AF60" s="135">
        <f t="shared" si="6"/>
        <v>1206573.07</v>
      </c>
    </row>
    <row r="61" spans="1:32" ht="12.75">
      <c r="A61" s="141">
        <v>38961</v>
      </c>
      <c r="B61" s="143">
        <v>16105818</v>
      </c>
      <c r="C61" s="144"/>
      <c r="D61" s="143">
        <v>4835487</v>
      </c>
      <c r="E61" s="143">
        <v>4956705</v>
      </c>
      <c r="F61" s="144">
        <v>7388</v>
      </c>
      <c r="G61" s="144"/>
      <c r="H61" s="143">
        <v>3236070</v>
      </c>
      <c r="I61" s="143">
        <f>3342308</f>
        <v>3342308</v>
      </c>
      <c r="J61" s="144">
        <v>1483</v>
      </c>
      <c r="K61" s="144"/>
      <c r="L61" s="143">
        <v>7168963</v>
      </c>
      <c r="M61" s="143">
        <f>2247720+1705210+3154163</f>
        <v>7107093</v>
      </c>
      <c r="N61" s="143">
        <f>7096.03+4301.99+7267.97</f>
        <v>18665.99</v>
      </c>
      <c r="O61" s="131">
        <f>73+14+6</f>
        <v>93</v>
      </c>
      <c r="P61" s="144"/>
      <c r="Q61" s="143">
        <v>150913</v>
      </c>
      <c r="R61" s="143">
        <v>150913.24</v>
      </c>
      <c r="S61" s="144">
        <v>429.34</v>
      </c>
      <c r="T61" s="144">
        <v>2058</v>
      </c>
      <c r="U61" s="144"/>
      <c r="V61" s="143">
        <v>3338</v>
      </c>
      <c r="W61" s="143">
        <v>3390.48</v>
      </c>
      <c r="X61" s="132">
        <f aca="true" t="shared" si="12" ref="X61:X67">13.34/(0.00392*360)</f>
        <v>9.452947845804989</v>
      </c>
      <c r="Y61" s="144">
        <v>45</v>
      </c>
      <c r="Z61" s="144"/>
      <c r="AA61" s="143">
        <v>22406</v>
      </c>
      <c r="AB61" s="143">
        <v>22588</v>
      </c>
      <c r="AC61" s="144">
        <v>66</v>
      </c>
      <c r="AF61" s="135">
        <f t="shared" si="6"/>
        <v>522820.28</v>
      </c>
    </row>
    <row r="62" spans="1:32" ht="12.75">
      <c r="A62" s="141">
        <v>38991</v>
      </c>
      <c r="B62" s="143">
        <v>18481658</v>
      </c>
      <c r="C62" s="144"/>
      <c r="D62" s="143">
        <v>6124307</v>
      </c>
      <c r="E62" s="143">
        <v>5793787</v>
      </c>
      <c r="F62" s="144">
        <v>7391</v>
      </c>
      <c r="G62" s="144"/>
      <c r="H62" s="143">
        <v>3472843</v>
      </c>
      <c r="I62" s="143">
        <f>3235982</f>
        <v>3235982</v>
      </c>
      <c r="J62" s="144">
        <v>1484</v>
      </c>
      <c r="K62" s="144"/>
      <c r="L62" s="143">
        <v>7644103</v>
      </c>
      <c r="M62" s="143">
        <f>2347032+1698274+3314420</f>
        <v>7359726</v>
      </c>
      <c r="N62" s="143">
        <f>7827.88+4161.66+7286.33</f>
        <v>19275.870000000003</v>
      </c>
      <c r="O62" s="131">
        <f>73+14+6</f>
        <v>93</v>
      </c>
      <c r="P62" s="144"/>
      <c r="Q62" s="143">
        <v>175493</v>
      </c>
      <c r="R62" s="143">
        <v>175493.11</v>
      </c>
      <c r="S62" s="144">
        <v>429.34</v>
      </c>
      <c r="T62" s="144">
        <v>2058</v>
      </c>
      <c r="U62" s="144"/>
      <c r="V62" s="143">
        <v>3487</v>
      </c>
      <c r="W62" s="143">
        <v>3390.48</v>
      </c>
      <c r="X62" s="132">
        <f t="shared" si="12"/>
        <v>9.452947845804989</v>
      </c>
      <c r="Y62" s="144">
        <v>45</v>
      </c>
      <c r="Z62" s="144"/>
      <c r="AA62" s="143">
        <v>22780</v>
      </c>
      <c r="AB62" s="143">
        <v>22588</v>
      </c>
      <c r="AC62" s="144">
        <v>66</v>
      </c>
      <c r="AF62" s="135">
        <f t="shared" si="6"/>
        <v>1890691.4100000001</v>
      </c>
    </row>
    <row r="63" spans="1:32" ht="12.75">
      <c r="A63" s="141">
        <v>39022</v>
      </c>
      <c r="B63" s="143">
        <v>19101584</v>
      </c>
      <c r="C63" s="144"/>
      <c r="D63" s="143">
        <v>6912831</v>
      </c>
      <c r="E63" s="143">
        <v>6702094</v>
      </c>
      <c r="F63" s="144">
        <v>7403</v>
      </c>
      <c r="G63" s="144"/>
      <c r="H63" s="143">
        <v>3678403</v>
      </c>
      <c r="I63" s="143">
        <f>3646600</f>
        <v>3646600</v>
      </c>
      <c r="J63" s="144">
        <v>1488</v>
      </c>
      <c r="K63" s="144"/>
      <c r="L63" s="143">
        <v>7462471</v>
      </c>
      <c r="M63" s="143">
        <f>4072399+1661331+3017387</f>
        <v>8751117</v>
      </c>
      <c r="N63" s="143">
        <f>8043.77+3662.34+7053.66</f>
        <v>18759.77</v>
      </c>
      <c r="O63" s="131">
        <f>73+14+6</f>
        <v>93</v>
      </c>
      <c r="P63" s="144"/>
      <c r="Q63" s="143">
        <v>187193</v>
      </c>
      <c r="R63" s="143">
        <v>187192.56</v>
      </c>
      <c r="S63" s="144">
        <v>429.34</v>
      </c>
      <c r="T63" s="144">
        <v>2058</v>
      </c>
      <c r="U63" s="144"/>
      <c r="V63" s="143">
        <v>3431</v>
      </c>
      <c r="W63" s="143">
        <v>3390.48</v>
      </c>
      <c r="X63" s="132">
        <f t="shared" si="12"/>
        <v>9.452947845804989</v>
      </c>
      <c r="Y63" s="144">
        <v>45</v>
      </c>
      <c r="Z63" s="144"/>
      <c r="AA63" s="143">
        <v>22394</v>
      </c>
      <c r="AB63" s="143">
        <v>22588</v>
      </c>
      <c r="AC63" s="144">
        <v>66</v>
      </c>
      <c r="AF63" s="135">
        <f t="shared" si="6"/>
        <v>-211398.04</v>
      </c>
    </row>
    <row r="64" spans="1:32" ht="12.75">
      <c r="A64" s="141">
        <v>39052</v>
      </c>
      <c r="B64" s="143">
        <v>20833616</v>
      </c>
      <c r="C64" s="144"/>
      <c r="D64" s="143">
        <v>8199616</v>
      </c>
      <c r="E64" s="143">
        <v>7963558</v>
      </c>
      <c r="F64" s="144">
        <v>7411</v>
      </c>
      <c r="G64" s="144"/>
      <c r="H64" s="143">
        <v>4060710</v>
      </c>
      <c r="I64" s="143">
        <f>4011082</f>
        <v>4011082</v>
      </c>
      <c r="J64" s="144">
        <v>1487</v>
      </c>
      <c r="K64" s="144"/>
      <c r="L64" s="143">
        <v>7038592</v>
      </c>
      <c r="M64" s="143">
        <f>2367706+1635374+2427666</f>
        <v>6430746</v>
      </c>
      <c r="N64" s="145">
        <f>8260.36+3646.61+6744.45</f>
        <v>18651.420000000002</v>
      </c>
      <c r="O64" s="131">
        <f>74+14+6</f>
        <v>94</v>
      </c>
      <c r="P64" s="144"/>
      <c r="Q64" s="143">
        <v>202112</v>
      </c>
      <c r="R64" s="143">
        <v>202112.3</v>
      </c>
      <c r="S64" s="144">
        <v>429.34</v>
      </c>
      <c r="T64" s="144">
        <v>2058</v>
      </c>
      <c r="U64" s="144"/>
      <c r="V64" s="143">
        <v>3349</v>
      </c>
      <c r="W64" s="143">
        <v>3390.48</v>
      </c>
      <c r="X64" s="132">
        <f t="shared" si="12"/>
        <v>9.452947845804989</v>
      </c>
      <c r="Y64" s="144">
        <v>45</v>
      </c>
      <c r="Z64" s="144"/>
      <c r="AA64" s="143">
        <v>22782</v>
      </c>
      <c r="AB64" s="143">
        <v>22588</v>
      </c>
      <c r="AC64" s="144">
        <v>66</v>
      </c>
      <c r="AF64" s="135">
        <f t="shared" si="6"/>
        <v>2200139.22</v>
      </c>
    </row>
    <row r="65" spans="1:32" ht="12.75">
      <c r="A65" s="141">
        <v>39083</v>
      </c>
      <c r="B65" s="143">
        <v>23347852</v>
      </c>
      <c r="C65" s="144"/>
      <c r="D65" s="143">
        <v>9384669</v>
      </c>
      <c r="E65" s="143">
        <v>9942311</v>
      </c>
      <c r="F65" s="144">
        <v>7393</v>
      </c>
      <c r="G65" s="144"/>
      <c r="H65" s="143">
        <v>4471780</v>
      </c>
      <c r="I65" s="143">
        <f>4598243</f>
        <v>4598243</v>
      </c>
      <c r="J65" s="144">
        <v>1508</v>
      </c>
      <c r="K65" s="144"/>
      <c r="L65" s="143">
        <v>7955353</v>
      </c>
      <c r="M65" s="143">
        <f>3489302+1658630+3023671</f>
        <v>8171603</v>
      </c>
      <c r="N65" s="145">
        <f>8806.48+3705.84+6767.93</f>
        <v>19280.25</v>
      </c>
      <c r="O65" s="131">
        <f>74+14+6</f>
        <v>94</v>
      </c>
      <c r="P65" s="144"/>
      <c r="Q65" s="143">
        <v>196853</v>
      </c>
      <c r="R65" s="143">
        <v>196852.65</v>
      </c>
      <c r="S65" s="144">
        <v>429.34</v>
      </c>
      <c r="T65" s="144">
        <v>2058</v>
      </c>
      <c r="U65" s="144"/>
      <c r="V65" s="143">
        <v>3246</v>
      </c>
      <c r="W65" s="143">
        <v>3390.48</v>
      </c>
      <c r="X65" s="132">
        <f t="shared" si="12"/>
        <v>9.452947845804989</v>
      </c>
      <c r="Y65" s="144">
        <v>45</v>
      </c>
      <c r="Z65" s="144"/>
      <c r="AA65" s="143">
        <v>22588</v>
      </c>
      <c r="AB65" s="143">
        <v>22588</v>
      </c>
      <c r="AC65" s="144">
        <v>66</v>
      </c>
      <c r="AF65" s="135">
        <f t="shared" si="6"/>
        <v>412863.87</v>
      </c>
    </row>
    <row r="66" spans="1:32" ht="12.75">
      <c r="A66" s="141">
        <v>39114</v>
      </c>
      <c r="B66" s="143">
        <v>22500086</v>
      </c>
      <c r="C66" s="144"/>
      <c r="D66" s="143">
        <v>9013352</v>
      </c>
      <c r="E66" s="143">
        <v>9264775</v>
      </c>
      <c r="F66" s="144">
        <v>7393</v>
      </c>
      <c r="G66" s="144"/>
      <c r="H66" s="143">
        <v>4320408</v>
      </c>
      <c r="I66" s="143">
        <f>4408332</f>
        <v>4408332</v>
      </c>
      <c r="J66" s="144">
        <v>1512</v>
      </c>
      <c r="K66" s="144"/>
      <c r="L66" s="143">
        <v>7485238</v>
      </c>
      <c r="M66" s="143">
        <f>3114952+1501084+2910407</f>
        <v>7526443</v>
      </c>
      <c r="N66" s="145">
        <f>8777.87+3627.45+6640.27</f>
        <v>19045.59</v>
      </c>
      <c r="O66" s="131">
        <f>74+14+6</f>
        <v>94</v>
      </c>
      <c r="P66" s="144"/>
      <c r="Q66" s="143">
        <v>164867</v>
      </c>
      <c r="R66" s="143">
        <v>164866.91</v>
      </c>
      <c r="S66" s="144">
        <v>429.34</v>
      </c>
      <c r="T66" s="144">
        <v>2058</v>
      </c>
      <c r="U66" s="144"/>
      <c r="V66" s="143">
        <v>3275</v>
      </c>
      <c r="W66" s="143">
        <v>3390.48</v>
      </c>
      <c r="X66" s="132">
        <f t="shared" si="12"/>
        <v>9.452947845804989</v>
      </c>
      <c r="Y66" s="144">
        <v>45</v>
      </c>
      <c r="Z66" s="144"/>
      <c r="AA66" s="143">
        <v>23191</v>
      </c>
      <c r="AB66" s="143">
        <v>22588</v>
      </c>
      <c r="AC66" s="144">
        <v>66</v>
      </c>
      <c r="AF66" s="135">
        <f t="shared" si="6"/>
        <v>1109690.61</v>
      </c>
    </row>
    <row r="67" spans="1:32" ht="12.75">
      <c r="A67" s="141">
        <v>39142</v>
      </c>
      <c r="B67" s="143">
        <v>21602755</v>
      </c>
      <c r="C67" s="144"/>
      <c r="D67" s="143">
        <v>8188902</v>
      </c>
      <c r="E67" s="143">
        <v>8037880</v>
      </c>
      <c r="F67" s="144">
        <v>7396</v>
      </c>
      <c r="G67" s="144"/>
      <c r="H67" s="143">
        <v>4175770</v>
      </c>
      <c r="I67" s="143">
        <f>4149193</f>
        <v>4149193</v>
      </c>
      <c r="J67" s="144">
        <v>1510</v>
      </c>
      <c r="K67" s="144"/>
      <c r="L67" s="143">
        <v>7839345</v>
      </c>
      <c r="M67" s="143">
        <f>2922586+1628996+3214395</f>
        <v>7765977</v>
      </c>
      <c r="N67" s="145">
        <f>8509.06+3618.11+6986.28</f>
        <v>19113.45</v>
      </c>
      <c r="O67" s="131">
        <f>74+14+6</f>
        <v>94</v>
      </c>
      <c r="P67" s="144"/>
      <c r="Q67" s="143">
        <v>164008</v>
      </c>
      <c r="R67" s="143">
        <v>164008</v>
      </c>
      <c r="S67" s="144">
        <v>429.34</v>
      </c>
      <c r="T67" s="144">
        <v>2058</v>
      </c>
      <c r="U67" s="144"/>
      <c r="V67" s="143">
        <v>3504</v>
      </c>
      <c r="W67" s="143">
        <v>3390.48</v>
      </c>
      <c r="X67" s="132">
        <f t="shared" si="12"/>
        <v>9.452947845804989</v>
      </c>
      <c r="Y67" s="144">
        <v>45</v>
      </c>
      <c r="Z67" s="144"/>
      <c r="AA67" s="143">
        <v>22335</v>
      </c>
      <c r="AB67" s="143">
        <v>22588</v>
      </c>
      <c r="AC67" s="144">
        <v>66</v>
      </c>
      <c r="AF67" s="135">
        <f t="shared" si="6"/>
        <v>1459718.52</v>
      </c>
    </row>
    <row r="68" spans="1:32" ht="12.75">
      <c r="A68" s="141">
        <v>39173</v>
      </c>
      <c r="B68" s="143">
        <v>18218527</v>
      </c>
      <c r="C68" s="144"/>
      <c r="D68" s="143">
        <v>6326433</v>
      </c>
      <c r="E68" s="143">
        <v>6519034</v>
      </c>
      <c r="F68" s="144">
        <v>7396</v>
      </c>
      <c r="G68" s="144"/>
      <c r="H68" s="143">
        <v>3495794</v>
      </c>
      <c r="I68" s="143">
        <f>3580316</f>
        <v>3580316</v>
      </c>
      <c r="J68" s="144">
        <v>1511</v>
      </c>
      <c r="K68" s="144"/>
      <c r="L68" s="143">
        <v>7214990</v>
      </c>
      <c r="M68" s="143">
        <f>2129384+1553412+3159276</f>
        <v>6842072</v>
      </c>
      <c r="N68" s="145">
        <f>7792.93+3797.74+6917.64</f>
        <v>18508.31</v>
      </c>
      <c r="O68" s="131">
        <f>75+14+6</f>
        <v>95</v>
      </c>
      <c r="P68" s="144"/>
      <c r="Q68" s="143">
        <v>139858</v>
      </c>
      <c r="R68" s="143">
        <v>139857.81</v>
      </c>
      <c r="S68" s="144">
        <v>429.34</v>
      </c>
      <c r="T68" s="144">
        <v>2058</v>
      </c>
      <c r="U68" s="144"/>
      <c r="V68" s="143">
        <v>3308</v>
      </c>
      <c r="W68" s="143">
        <v>3365.28</v>
      </c>
      <c r="X68" s="132">
        <f>13.24/(0.00392*360)</f>
        <v>9.382086167800454</v>
      </c>
      <c r="Y68" s="144">
        <v>44</v>
      </c>
      <c r="Z68" s="144"/>
      <c r="AA68" s="143">
        <v>22044</v>
      </c>
      <c r="AB68" s="143">
        <v>22588</v>
      </c>
      <c r="AC68" s="144">
        <v>66</v>
      </c>
      <c r="AF68" s="135">
        <f t="shared" si="6"/>
        <v>1111293.91</v>
      </c>
    </row>
    <row r="69" spans="1:32" ht="12.75">
      <c r="A69" s="141">
        <v>39203</v>
      </c>
      <c r="B69" s="143">
        <v>16749718</v>
      </c>
      <c r="C69" s="144"/>
      <c r="D69" s="143">
        <v>5157298</v>
      </c>
      <c r="E69" s="143">
        <v>4899963</v>
      </c>
      <c r="F69" s="144">
        <v>7391</v>
      </c>
      <c r="G69" s="144"/>
      <c r="H69" s="143">
        <v>3389425</v>
      </c>
      <c r="I69" s="143">
        <f>3162392</f>
        <v>3162392</v>
      </c>
      <c r="J69" s="144">
        <v>1511</v>
      </c>
      <c r="K69" s="144"/>
      <c r="L69" s="143">
        <v>7438447</v>
      </c>
      <c r="M69" s="143">
        <f>2233248+1752120+3261434</f>
        <v>7246802</v>
      </c>
      <c r="N69" s="145">
        <f>8086.19+4529.88+7146.71</f>
        <v>19762.78</v>
      </c>
      <c r="O69" s="131">
        <f>76+14+6</f>
        <v>96</v>
      </c>
      <c r="P69" s="144"/>
      <c r="Q69" s="143">
        <v>127622</v>
      </c>
      <c r="R69" s="143">
        <v>127621.62</v>
      </c>
      <c r="S69" s="144">
        <v>429.34</v>
      </c>
      <c r="T69" s="144">
        <v>2058</v>
      </c>
      <c r="U69" s="144"/>
      <c r="V69" s="143">
        <v>3493</v>
      </c>
      <c r="W69" s="143">
        <v>3314.88</v>
      </c>
      <c r="X69" s="132">
        <f>13.04/(0.00392*360)</f>
        <v>9.240362811791382</v>
      </c>
      <c r="Y69" s="144">
        <v>44</v>
      </c>
      <c r="Z69" s="144"/>
      <c r="AA69" s="143">
        <v>22938</v>
      </c>
      <c r="AB69" s="143">
        <v>22588</v>
      </c>
      <c r="AC69" s="144">
        <v>65</v>
      </c>
      <c r="AF69" s="135">
        <f t="shared" si="6"/>
        <v>1287036.5</v>
      </c>
    </row>
    <row r="70" spans="1:32" ht="12.75">
      <c r="A70" s="141">
        <v>39234</v>
      </c>
      <c r="B70" s="143">
        <v>17096826</v>
      </c>
      <c r="C70" s="144"/>
      <c r="D70" s="143">
        <v>4883398</v>
      </c>
      <c r="E70" s="143">
        <v>5123222</v>
      </c>
      <c r="F70" s="144">
        <v>7393</v>
      </c>
      <c r="G70" s="144"/>
      <c r="H70" s="143">
        <v>3622145</v>
      </c>
      <c r="I70" s="143">
        <v>3928716</v>
      </c>
      <c r="J70" s="144">
        <v>1509</v>
      </c>
      <c r="K70" s="144"/>
      <c r="L70" s="143">
        <v>7683898</v>
      </c>
      <c r="M70" s="143">
        <f>2790487+1916764+3248927</f>
        <v>7956178</v>
      </c>
      <c r="N70" s="145">
        <f>8123.25+4738.96+7532.88</f>
        <v>20395.09</v>
      </c>
      <c r="O70" s="131">
        <f>76+14+6</f>
        <v>96</v>
      </c>
      <c r="P70" s="144"/>
      <c r="Q70" s="143">
        <v>116029</v>
      </c>
      <c r="R70" s="143">
        <v>116029.44</v>
      </c>
      <c r="S70" s="144">
        <v>429.34</v>
      </c>
      <c r="T70" s="144">
        <v>2058</v>
      </c>
      <c r="U70" s="144"/>
      <c r="V70" s="143">
        <v>3189</v>
      </c>
      <c r="W70" s="143">
        <v>3314.88</v>
      </c>
      <c r="X70" s="132">
        <f aca="true" t="shared" si="13" ref="X70:X75">13.04/(0.00392*360)</f>
        <v>9.240362811791382</v>
      </c>
      <c r="Y70" s="144">
        <v>44</v>
      </c>
      <c r="Z70" s="144"/>
      <c r="AA70" s="143">
        <v>21794</v>
      </c>
      <c r="AB70" s="143">
        <v>21983</v>
      </c>
      <c r="AC70" s="144">
        <v>65</v>
      </c>
      <c r="AF70" s="135">
        <f aca="true" t="shared" si="14" ref="AF70:AF124">+B70-E70-I70-M70-R70-W70-AB70</f>
        <v>-52617.32000000001</v>
      </c>
    </row>
    <row r="71" spans="1:32" ht="12.75">
      <c r="A71" s="141">
        <v>39264</v>
      </c>
      <c r="B71" s="143">
        <v>17421792</v>
      </c>
      <c r="C71" s="144"/>
      <c r="D71" s="143">
        <v>5029894</v>
      </c>
      <c r="E71" s="143">
        <v>4892947</v>
      </c>
      <c r="F71" s="144">
        <v>7395</v>
      </c>
      <c r="G71" s="144"/>
      <c r="H71" s="143">
        <v>3882606</v>
      </c>
      <c r="I71" s="143">
        <v>3740141</v>
      </c>
      <c r="J71" s="144">
        <v>1508</v>
      </c>
      <c r="K71" s="144"/>
      <c r="L71" s="143">
        <v>7749475</v>
      </c>
      <c r="M71" s="143">
        <f>2456494+1981846+3162525</f>
        <v>7600865</v>
      </c>
      <c r="N71" s="145">
        <f>8190.8+4661.28+7202.31</f>
        <v>20054.39</v>
      </c>
      <c r="O71" s="131">
        <f>76+14+6</f>
        <v>96</v>
      </c>
      <c r="P71" s="144"/>
      <c r="Q71" s="143">
        <v>122577</v>
      </c>
      <c r="R71" s="143">
        <v>122576.85</v>
      </c>
      <c r="S71" s="144">
        <v>429.34</v>
      </c>
      <c r="T71" s="144">
        <v>2058</v>
      </c>
      <c r="U71" s="144"/>
      <c r="V71" s="143">
        <v>3347</v>
      </c>
      <c r="W71" s="143">
        <v>3314.88</v>
      </c>
      <c r="X71" s="132">
        <f t="shared" si="13"/>
        <v>9.240362811791382</v>
      </c>
      <c r="Y71" s="144">
        <v>44</v>
      </c>
      <c r="Z71" s="144"/>
      <c r="AA71" s="143">
        <v>22172</v>
      </c>
      <c r="AB71" s="143">
        <v>21983</v>
      </c>
      <c r="AC71" s="144">
        <v>65</v>
      </c>
      <c r="AF71" s="135">
        <f t="shared" si="14"/>
        <v>1039964.27</v>
      </c>
    </row>
    <row r="72" spans="1:32" ht="12.75">
      <c r="A72" s="141">
        <v>39295</v>
      </c>
      <c r="B72" s="143">
        <v>17808746</v>
      </c>
      <c r="C72" s="144"/>
      <c r="D72" s="143">
        <v>5010463</v>
      </c>
      <c r="E72" s="143">
        <v>4795720</v>
      </c>
      <c r="F72" s="144">
        <v>7397</v>
      </c>
      <c r="G72" s="144"/>
      <c r="H72" s="143">
        <v>3780301</v>
      </c>
      <c r="I72" s="143">
        <v>3667667</v>
      </c>
      <c r="J72" s="144">
        <v>1520</v>
      </c>
      <c r="K72" s="144"/>
      <c r="L72" s="143">
        <v>7754043</v>
      </c>
      <c r="M72" s="143">
        <f>2434600+1950752+3082641</f>
        <v>7467993</v>
      </c>
      <c r="N72" s="145">
        <f>8521.13+4669.42+7046.26</f>
        <v>20236.809999999998</v>
      </c>
      <c r="O72" s="131">
        <f>76+14+6</f>
        <v>96</v>
      </c>
      <c r="P72" s="144"/>
      <c r="Q72" s="143">
        <v>137389</v>
      </c>
      <c r="R72" s="143">
        <v>137389.15</v>
      </c>
      <c r="S72" s="144">
        <v>429.34</v>
      </c>
      <c r="T72" s="144">
        <v>2058</v>
      </c>
      <c r="U72" s="144"/>
      <c r="V72" s="143">
        <v>3488</v>
      </c>
      <c r="W72" s="143">
        <v>3314.88</v>
      </c>
      <c r="X72" s="132">
        <f t="shared" si="13"/>
        <v>9.240362811791382</v>
      </c>
      <c r="Y72" s="144">
        <v>44</v>
      </c>
      <c r="Z72" s="144"/>
      <c r="AA72" s="143">
        <v>19916</v>
      </c>
      <c r="AB72" s="143">
        <v>19197</v>
      </c>
      <c r="AC72" s="144">
        <v>53</v>
      </c>
      <c r="AF72" s="135">
        <f t="shared" si="14"/>
        <v>1717464.9700000002</v>
      </c>
    </row>
    <row r="73" spans="1:32" ht="12.75">
      <c r="A73" s="141">
        <v>39326</v>
      </c>
      <c r="B73" s="143">
        <v>16166254</v>
      </c>
      <c r="C73" s="144"/>
      <c r="D73" s="143">
        <v>4672596</v>
      </c>
      <c r="E73" s="143">
        <v>4669576</v>
      </c>
      <c r="F73" s="144">
        <v>7412</v>
      </c>
      <c r="G73" s="144"/>
      <c r="H73" s="143">
        <v>3342442</v>
      </c>
      <c r="I73" s="143">
        <v>3430638</v>
      </c>
      <c r="J73" s="144">
        <v>1521</v>
      </c>
      <c r="K73" s="144"/>
      <c r="L73" s="143">
        <v>7651890</v>
      </c>
      <c r="M73" s="143">
        <f>3108814+1760231+2960676</f>
        <v>7829721</v>
      </c>
      <c r="N73" s="145">
        <f>9490.5+4526.1+6920.93</f>
        <v>20937.53</v>
      </c>
      <c r="O73" s="131">
        <f>76+14+6</f>
        <v>96</v>
      </c>
      <c r="P73" s="144"/>
      <c r="Q73" s="143">
        <v>150913</v>
      </c>
      <c r="R73" s="143">
        <v>150913.24</v>
      </c>
      <c r="S73" s="144">
        <v>429.34</v>
      </c>
      <c r="T73" s="144">
        <v>2058</v>
      </c>
      <c r="U73" s="144"/>
      <c r="V73" s="143">
        <v>3205</v>
      </c>
      <c r="W73" s="143">
        <v>3314.88</v>
      </c>
      <c r="X73" s="132">
        <f t="shared" si="13"/>
        <v>9.240362811791382</v>
      </c>
      <c r="Y73" s="144">
        <v>44</v>
      </c>
      <c r="Z73" s="144"/>
      <c r="AA73" s="143">
        <v>18871</v>
      </c>
      <c r="AB73" s="143">
        <v>18978</v>
      </c>
      <c r="AC73" s="144">
        <v>53</v>
      </c>
      <c r="AF73" s="135">
        <f t="shared" si="14"/>
        <v>63112.880000000005</v>
      </c>
    </row>
    <row r="74" spans="1:32" ht="12.75">
      <c r="A74" s="141">
        <v>39356</v>
      </c>
      <c r="B74" s="143">
        <v>17355793</v>
      </c>
      <c r="C74" s="144"/>
      <c r="D74" s="143">
        <v>5472211</v>
      </c>
      <c r="E74" s="143">
        <v>5311493</v>
      </c>
      <c r="F74" s="144">
        <v>7428</v>
      </c>
      <c r="G74" s="144"/>
      <c r="H74" s="143">
        <v>3464989</v>
      </c>
      <c r="I74" s="143">
        <v>3310497</v>
      </c>
      <c r="J74" s="144">
        <v>1525</v>
      </c>
      <c r="K74" s="144"/>
      <c r="L74" s="143">
        <v>7715966</v>
      </c>
      <c r="M74" s="143">
        <f>2910744+1748515+3031403</f>
        <v>7690662</v>
      </c>
      <c r="N74" s="145">
        <f>9017.41+4260.88+6577.56</f>
        <v>19855.850000000002</v>
      </c>
      <c r="O74" s="131">
        <f>73+18+6</f>
        <v>97</v>
      </c>
      <c r="P74" s="144"/>
      <c r="Q74" s="143">
        <v>175493</v>
      </c>
      <c r="R74" s="143">
        <v>175493.11</v>
      </c>
      <c r="S74" s="144">
        <v>429.34</v>
      </c>
      <c r="T74" s="144">
        <v>2058</v>
      </c>
      <c r="U74" s="144"/>
      <c r="V74" s="143">
        <v>3455</v>
      </c>
      <c r="W74" s="143">
        <v>3314.88</v>
      </c>
      <c r="X74" s="132">
        <f t="shared" si="13"/>
        <v>9.240362811791382</v>
      </c>
      <c r="Y74" s="144">
        <v>44</v>
      </c>
      <c r="Z74" s="144"/>
      <c r="AA74" s="143">
        <v>19141</v>
      </c>
      <c r="AB74" s="143">
        <v>18978</v>
      </c>
      <c r="AC74" s="144">
        <v>53</v>
      </c>
      <c r="AF74" s="135">
        <f t="shared" si="14"/>
        <v>845355.01</v>
      </c>
    </row>
    <row r="75" spans="1:32" ht="12.75">
      <c r="A75" s="141">
        <v>39387</v>
      </c>
      <c r="B75" s="143">
        <v>19369940</v>
      </c>
      <c r="C75" s="144"/>
      <c r="D75" s="143">
        <v>7239771</v>
      </c>
      <c r="E75" s="145">
        <v>6789146</v>
      </c>
      <c r="F75" s="146">
        <v>7434</v>
      </c>
      <c r="G75" s="146"/>
      <c r="H75" s="145">
        <v>3802597</v>
      </c>
      <c r="I75" s="145">
        <v>3548248</v>
      </c>
      <c r="J75" s="146">
        <v>1527</v>
      </c>
      <c r="K75" s="146"/>
      <c r="L75" s="145">
        <v>7458739</v>
      </c>
      <c r="M75" s="145">
        <f>2351240+2191999+2651480-10</f>
        <v>7194709</v>
      </c>
      <c r="N75" s="145">
        <f>7469.37+4820.98+6168.99</f>
        <v>18459.339999999997</v>
      </c>
      <c r="O75" s="147">
        <f>73+18+6</f>
        <v>97</v>
      </c>
      <c r="P75" s="146"/>
      <c r="Q75" s="145">
        <v>187193</v>
      </c>
      <c r="R75" s="145">
        <v>187192.56</v>
      </c>
      <c r="S75" s="146">
        <v>429.34</v>
      </c>
      <c r="T75" s="144">
        <v>2058</v>
      </c>
      <c r="U75" s="146"/>
      <c r="V75" s="143">
        <v>3356</v>
      </c>
      <c r="W75" s="145">
        <v>3314.88</v>
      </c>
      <c r="X75" s="132">
        <f t="shared" si="13"/>
        <v>9.240362811791382</v>
      </c>
      <c r="Y75" s="144">
        <v>44</v>
      </c>
      <c r="Z75" s="146"/>
      <c r="AA75" s="145">
        <v>18719</v>
      </c>
      <c r="AB75" s="143">
        <v>18848</v>
      </c>
      <c r="AC75" s="146">
        <v>51</v>
      </c>
      <c r="AF75" s="135">
        <f t="shared" si="14"/>
        <v>1628481.56</v>
      </c>
    </row>
    <row r="76" spans="1:32" s="147" customFormat="1" ht="12.75">
      <c r="A76" s="148">
        <v>39417</v>
      </c>
      <c r="B76" s="145">
        <v>22463316</v>
      </c>
      <c r="C76" s="146"/>
      <c r="D76" s="145">
        <v>9019454</v>
      </c>
      <c r="E76" s="143">
        <v>9139760</v>
      </c>
      <c r="F76" s="131">
        <v>7450</v>
      </c>
      <c r="G76" s="131"/>
      <c r="H76" s="143">
        <v>4343672</v>
      </c>
      <c r="I76" s="143">
        <v>4402436</v>
      </c>
      <c r="J76" s="131">
        <v>1532</v>
      </c>
      <c r="K76" s="131"/>
      <c r="L76" s="143">
        <v>6964171</v>
      </c>
      <c r="M76" s="143">
        <f>2961314+2192534+1938212</f>
        <v>7092060</v>
      </c>
      <c r="N76" s="143">
        <f>8292.19+4841.21+5515.64</f>
        <v>18649.04</v>
      </c>
      <c r="O76" s="131">
        <f>73+18+6</f>
        <v>97</v>
      </c>
      <c r="P76" s="131"/>
      <c r="Q76" s="143">
        <v>202112</v>
      </c>
      <c r="R76" s="143">
        <v>202112.3</v>
      </c>
      <c r="S76" s="146">
        <v>429.34</v>
      </c>
      <c r="T76" s="144">
        <v>2058</v>
      </c>
      <c r="U76" s="131"/>
      <c r="V76" s="143">
        <v>3234</v>
      </c>
      <c r="W76" s="143">
        <v>3314.88</v>
      </c>
      <c r="X76" s="132">
        <f>13.04/(0.00392*360)</f>
        <v>9.240362811791382</v>
      </c>
      <c r="Y76" s="131">
        <v>44</v>
      </c>
      <c r="Z76" s="131"/>
      <c r="AA76" s="143">
        <v>18852</v>
      </c>
      <c r="AB76" s="143">
        <v>18635</v>
      </c>
      <c r="AC76" s="131">
        <v>51</v>
      </c>
      <c r="AF76" s="135">
        <f t="shared" si="14"/>
        <v>1604997.82</v>
      </c>
    </row>
    <row r="77" spans="1:32" ht="12.75">
      <c r="A77" s="141">
        <v>39448</v>
      </c>
      <c r="B77" s="143">
        <v>23032111</v>
      </c>
      <c r="D77" s="143">
        <v>9334001</v>
      </c>
      <c r="E77" s="143">
        <v>9369353</v>
      </c>
      <c r="F77" s="131">
        <v>7459</v>
      </c>
      <c r="H77" s="143">
        <v>4434126</v>
      </c>
      <c r="I77" s="143">
        <v>4514794</v>
      </c>
      <c r="J77" s="131">
        <v>1530</v>
      </c>
      <c r="L77" s="143">
        <v>7742740</v>
      </c>
      <c r="M77" s="143">
        <f>2817681+2236278+2542913</f>
        <v>7596872</v>
      </c>
      <c r="N77" s="143">
        <f>7530.91+4861.68+5939.32</f>
        <v>18331.91</v>
      </c>
      <c r="O77" s="131">
        <f aca="true" t="shared" si="15" ref="O77:O82">74+18+6</f>
        <v>98</v>
      </c>
      <c r="Q77" s="143">
        <v>196853</v>
      </c>
      <c r="R77" s="143">
        <v>196852.65</v>
      </c>
      <c r="S77" s="146">
        <v>429.34</v>
      </c>
      <c r="T77" s="144">
        <v>2058</v>
      </c>
      <c r="V77" s="143">
        <v>3280</v>
      </c>
      <c r="W77" s="143">
        <v>3246.48</v>
      </c>
      <c r="X77" s="132">
        <f>12.77/(0.00392*360)</f>
        <v>9.049036281179138</v>
      </c>
      <c r="Y77" s="131">
        <v>43</v>
      </c>
      <c r="AA77" s="143">
        <v>18635</v>
      </c>
      <c r="AB77" s="143">
        <v>18635</v>
      </c>
      <c r="AC77" s="131">
        <v>51</v>
      </c>
      <c r="AF77" s="135">
        <f t="shared" si="14"/>
        <v>1332357.87</v>
      </c>
    </row>
    <row r="78" spans="1:32" ht="12.75">
      <c r="A78" s="141">
        <v>39479</v>
      </c>
      <c r="B78" s="143">
        <v>22156585</v>
      </c>
      <c r="D78" s="143">
        <v>8838303</v>
      </c>
      <c r="E78" s="143">
        <v>9068542</v>
      </c>
      <c r="F78" s="131">
        <v>7457</v>
      </c>
      <c r="H78" s="143">
        <v>4281752</v>
      </c>
      <c r="I78" s="143">
        <v>4420354</v>
      </c>
      <c r="J78" s="131">
        <v>1529</v>
      </c>
      <c r="L78" s="143">
        <v>7299184</v>
      </c>
      <c r="M78" s="143">
        <f>3008553+2112494+2366011</f>
        <v>7487058</v>
      </c>
      <c r="N78" s="143">
        <f>8350.25+4816.22+5383.4</f>
        <v>18549.870000000003</v>
      </c>
      <c r="O78" s="131">
        <f t="shared" si="15"/>
        <v>98</v>
      </c>
      <c r="Q78" s="143">
        <v>170448</v>
      </c>
      <c r="R78" s="143">
        <v>170448.33</v>
      </c>
      <c r="S78" s="146">
        <v>429.34</v>
      </c>
      <c r="T78" s="144">
        <v>2058</v>
      </c>
      <c r="V78" s="143">
        <v>3183</v>
      </c>
      <c r="W78" s="143">
        <v>3383.28</v>
      </c>
      <c r="X78" s="132">
        <f>13.31/(0.00392*360)</f>
        <v>9.431689342403628</v>
      </c>
      <c r="Y78" s="131">
        <v>45</v>
      </c>
      <c r="AA78" s="143">
        <v>18303</v>
      </c>
      <c r="AB78" s="143">
        <v>18635</v>
      </c>
      <c r="AC78" s="131">
        <v>51</v>
      </c>
      <c r="AF78" s="135">
        <f t="shared" si="14"/>
        <v>988164.39</v>
      </c>
    </row>
    <row r="79" spans="1:32" ht="12.75">
      <c r="A79" s="141">
        <v>39508</v>
      </c>
      <c r="B79" s="143">
        <v>22013050</v>
      </c>
      <c r="D79" s="143">
        <v>8503960</v>
      </c>
      <c r="E79" s="143">
        <v>8834240</v>
      </c>
      <c r="F79" s="131">
        <v>7467</v>
      </c>
      <c r="H79" s="143">
        <v>4224871</v>
      </c>
      <c r="I79" s="143">
        <v>4316281</v>
      </c>
      <c r="J79" s="131">
        <v>1531</v>
      </c>
      <c r="L79" s="143">
        <v>7696846</v>
      </c>
      <c r="M79" s="143">
        <f>2887398+2160905+2749842</f>
        <v>7798145</v>
      </c>
      <c r="N79" s="143">
        <f>7102.58+4859.73+5785.36</f>
        <v>17747.67</v>
      </c>
      <c r="O79" s="131">
        <f t="shared" si="15"/>
        <v>98</v>
      </c>
      <c r="Q79" s="143">
        <v>164008</v>
      </c>
      <c r="R79" s="143">
        <v>164008</v>
      </c>
      <c r="S79" s="146">
        <v>429.34</v>
      </c>
      <c r="T79" s="144">
        <v>2058</v>
      </c>
      <c r="V79" s="143">
        <v>3351</v>
      </c>
      <c r="W79" s="143">
        <v>3314.88</v>
      </c>
      <c r="X79" s="132">
        <f>13.04/(0.00392*360)</f>
        <v>9.240362811791382</v>
      </c>
      <c r="Y79" s="131">
        <v>44</v>
      </c>
      <c r="AA79" s="143">
        <v>18967</v>
      </c>
      <c r="AB79" s="143">
        <v>18635</v>
      </c>
      <c r="AC79" s="131">
        <v>51</v>
      </c>
      <c r="AF79" s="135">
        <f t="shared" si="14"/>
        <v>878426.12</v>
      </c>
    </row>
    <row r="80" spans="1:32" ht="12.75">
      <c r="A80" s="141">
        <v>39539</v>
      </c>
      <c r="B80" s="143">
        <v>17842658</v>
      </c>
      <c r="D80" s="143">
        <v>6189144</v>
      </c>
      <c r="E80" s="143">
        <v>6205948</v>
      </c>
      <c r="F80" s="131">
        <v>7478</v>
      </c>
      <c r="H80" s="143">
        <v>3454697</v>
      </c>
      <c r="I80" s="143">
        <v>3503782</v>
      </c>
      <c r="J80" s="131">
        <v>1532</v>
      </c>
      <c r="L80" s="143">
        <v>7194725</v>
      </c>
      <c r="M80" s="143">
        <f>2281199+2193334+2755932</f>
        <v>7230465</v>
      </c>
      <c r="N80" s="143">
        <f>7193.78+5546.65+6036.09</f>
        <v>18776.52</v>
      </c>
      <c r="O80" s="131">
        <f t="shared" si="15"/>
        <v>98</v>
      </c>
      <c r="Q80" s="143">
        <v>139858</v>
      </c>
      <c r="R80" s="143">
        <v>139858</v>
      </c>
      <c r="S80" s="146">
        <v>429.34</v>
      </c>
      <c r="T80" s="144">
        <v>2058</v>
      </c>
      <c r="V80" s="143">
        <v>3324</v>
      </c>
      <c r="W80" s="143">
        <v>3314.88</v>
      </c>
      <c r="X80" s="132">
        <f>13/(0.00392*360)</f>
        <v>9.212018140589569</v>
      </c>
      <c r="Y80" s="131">
        <v>44</v>
      </c>
      <c r="AA80" s="143">
        <v>18475</v>
      </c>
      <c r="AB80" s="143">
        <v>18635</v>
      </c>
      <c r="AC80" s="131">
        <v>51</v>
      </c>
      <c r="AF80" s="135">
        <f t="shared" si="14"/>
        <v>740655.12</v>
      </c>
    </row>
    <row r="81" spans="1:32" ht="12.75">
      <c r="A81" s="141">
        <v>39569</v>
      </c>
      <c r="B81" s="143">
        <v>17029191</v>
      </c>
      <c r="D81" s="143">
        <v>5368513</v>
      </c>
      <c r="E81" s="143">
        <v>5245872</v>
      </c>
      <c r="F81" s="131">
        <v>7488</v>
      </c>
      <c r="H81" s="143">
        <v>3277392</v>
      </c>
      <c r="I81" s="143">
        <v>3168135</v>
      </c>
      <c r="J81" s="131">
        <v>1535</v>
      </c>
      <c r="L81" s="143">
        <v>7295057</v>
      </c>
      <c r="M81" s="143">
        <f>2112683.6+2186552+2827476</f>
        <v>7126711.6</v>
      </c>
      <c r="N81" s="143">
        <f>7181.48+5396.78+6564.62</f>
        <v>19142.879999999997</v>
      </c>
      <c r="O81" s="131">
        <f t="shared" si="15"/>
        <v>98</v>
      </c>
      <c r="Q81" s="143">
        <v>125717</v>
      </c>
      <c r="R81" s="143">
        <v>125716.53</v>
      </c>
      <c r="S81" s="146">
        <v>433.16</v>
      </c>
      <c r="T81" s="144">
        <v>2130</v>
      </c>
      <c r="V81" s="143">
        <v>3332</v>
      </c>
      <c r="W81" s="143">
        <v>3242.88</v>
      </c>
      <c r="X81" s="132">
        <f>12.26/(0.00392*360)</f>
        <v>8.687641723356009</v>
      </c>
      <c r="Y81" s="131">
        <v>43</v>
      </c>
      <c r="AA81" s="143">
        <v>18795</v>
      </c>
      <c r="AB81" s="143">
        <f>+(539+36731)/2</f>
        <v>18635</v>
      </c>
      <c r="AC81" s="131">
        <v>51</v>
      </c>
      <c r="AF81" s="135">
        <f t="shared" si="14"/>
        <v>1340877.9900000005</v>
      </c>
    </row>
    <row r="82" spans="1:32" ht="12.75">
      <c r="A82" s="148">
        <v>39600</v>
      </c>
      <c r="B82" s="143">
        <v>16878293</v>
      </c>
      <c r="D82" s="143">
        <v>4824133</v>
      </c>
      <c r="E82" s="143">
        <v>4802246</v>
      </c>
      <c r="F82" s="131">
        <v>7519</v>
      </c>
      <c r="H82" s="143">
        <v>3387944</v>
      </c>
      <c r="I82" s="143">
        <v>3325075</v>
      </c>
      <c r="J82" s="131">
        <v>1535</v>
      </c>
      <c r="L82" s="143">
        <v>7369958</v>
      </c>
      <c r="M82" s="143">
        <f>2077452+2328994+2972242</f>
        <v>7378688</v>
      </c>
      <c r="N82" s="143">
        <f>7036.6+6104.38+6427.95</f>
        <v>19568.93</v>
      </c>
      <c r="O82" s="131">
        <f t="shared" si="15"/>
        <v>98</v>
      </c>
      <c r="Q82" s="143">
        <v>114297</v>
      </c>
      <c r="R82" s="143">
        <v>114297.44</v>
      </c>
      <c r="S82" s="146">
        <v>422.93</v>
      </c>
      <c r="T82" s="144">
        <v>2130</v>
      </c>
      <c r="V82" s="143">
        <v>3294</v>
      </c>
      <c r="W82" s="143">
        <v>3386.88</v>
      </c>
      <c r="X82" s="132">
        <f>12.59/(0.00372*360)</f>
        <v>9.401135005973714</v>
      </c>
      <c r="Y82" s="131">
        <v>45</v>
      </c>
      <c r="AA82" s="143">
        <v>18475</v>
      </c>
      <c r="AB82" s="143">
        <f>+(539+36731)/2</f>
        <v>18635</v>
      </c>
      <c r="AC82" s="131">
        <v>50</v>
      </c>
      <c r="AF82" s="135">
        <f t="shared" si="14"/>
        <v>1235964.6800000002</v>
      </c>
    </row>
    <row r="83" spans="1:32" ht="12.75">
      <c r="A83" s="141">
        <v>39630</v>
      </c>
      <c r="B83" s="143">
        <v>18183975</v>
      </c>
      <c r="D83" s="143">
        <v>5038191</v>
      </c>
      <c r="E83" s="143">
        <v>4947093</v>
      </c>
      <c r="F83" s="131">
        <v>7532</v>
      </c>
      <c r="H83" s="143">
        <v>3741127</v>
      </c>
      <c r="I83" s="143">
        <v>3672953</v>
      </c>
      <c r="J83" s="131">
        <v>1537</v>
      </c>
      <c r="L83" s="143">
        <v>7957407</v>
      </c>
      <c r="M83" s="143">
        <f>2329548+2527537+3131801</f>
        <v>7988886</v>
      </c>
      <c r="N83" s="143">
        <f>7094.2+5896.1+6705.02</f>
        <v>19695.32</v>
      </c>
      <c r="O83" s="131">
        <f>76+18+6</f>
        <v>100</v>
      </c>
      <c r="Q83" s="143">
        <v>120747</v>
      </c>
      <c r="R83" s="143">
        <v>120747.01</v>
      </c>
      <c r="S83" s="146">
        <v>422.93</v>
      </c>
      <c r="T83" s="144">
        <v>2130</v>
      </c>
      <c r="V83" s="143">
        <v>3488</v>
      </c>
      <c r="W83" s="143">
        <v>3314.88</v>
      </c>
      <c r="X83" s="132">
        <f>12.32/(0.00372*360)</f>
        <v>9.199522102747908</v>
      </c>
      <c r="Y83" s="131">
        <v>44</v>
      </c>
      <c r="AA83" s="143">
        <v>17792</v>
      </c>
      <c r="AB83" s="143">
        <v>17283</v>
      </c>
      <c r="AC83" s="131">
        <v>49</v>
      </c>
      <c r="AF83" s="135">
        <f t="shared" si="14"/>
        <v>1433698.11</v>
      </c>
    </row>
    <row r="84" spans="1:32" ht="12.75">
      <c r="A84" s="141">
        <v>39661</v>
      </c>
      <c r="B84" s="143">
        <v>17732167</v>
      </c>
      <c r="D84" s="143">
        <v>4958531</v>
      </c>
      <c r="E84" s="143">
        <v>4901913</v>
      </c>
      <c r="F84" s="131">
        <v>7556</v>
      </c>
      <c r="H84" s="143">
        <v>3664688</v>
      </c>
      <c r="I84" s="143">
        <v>3655588</v>
      </c>
      <c r="J84" s="131">
        <v>1543</v>
      </c>
      <c r="L84" s="143">
        <v>7982839</v>
      </c>
      <c r="M84" s="143">
        <f>2346642+2457079+3149458</f>
        <v>7953179</v>
      </c>
      <c r="N84" s="143">
        <f>6923.38+5929.62+6587.34</f>
        <v>19440.34</v>
      </c>
      <c r="O84" s="131">
        <f aca="true" t="shared" si="16" ref="O84:O99">76+18+6</f>
        <v>100</v>
      </c>
      <c r="Q84" s="143">
        <v>135338</v>
      </c>
      <c r="R84" s="143">
        <v>135338.2</v>
      </c>
      <c r="S84" s="146">
        <v>422.93</v>
      </c>
      <c r="T84" s="144">
        <v>2130</v>
      </c>
      <c r="V84" s="143">
        <v>3313</v>
      </c>
      <c r="W84" s="143">
        <v>3317.4</v>
      </c>
      <c r="X84" s="132">
        <f>12.33/(0.00372*360)</f>
        <v>9.206989247311826</v>
      </c>
      <c r="Y84" s="131">
        <v>44</v>
      </c>
      <c r="AA84" s="143">
        <v>17283</v>
      </c>
      <c r="AB84" s="143">
        <v>17283</v>
      </c>
      <c r="AC84" s="131">
        <v>47</v>
      </c>
      <c r="AF84" s="135">
        <f t="shared" si="14"/>
        <v>1065548.4000000001</v>
      </c>
    </row>
    <row r="85" spans="1:32" ht="12.75">
      <c r="A85" s="141">
        <v>39692</v>
      </c>
      <c r="B85" s="143">
        <v>16860353</v>
      </c>
      <c r="D85" s="143">
        <v>4881038</v>
      </c>
      <c r="E85" s="143">
        <v>5063136</v>
      </c>
      <c r="F85" s="131">
        <v>7577</v>
      </c>
      <c r="H85" s="143">
        <v>3261971</v>
      </c>
      <c r="I85" s="143">
        <v>3435026</v>
      </c>
      <c r="J85" s="131">
        <v>1543</v>
      </c>
      <c r="L85" s="143">
        <v>7676849</v>
      </c>
      <c r="M85" s="143">
        <f>2299953+2276051+3098296</f>
        <v>7674300</v>
      </c>
      <c r="N85" s="143">
        <f>6992.89+5870.72+6393.2</f>
        <v>19256.81</v>
      </c>
      <c r="O85" s="131">
        <f t="shared" si="16"/>
        <v>100</v>
      </c>
      <c r="Q85" s="143">
        <v>148660</v>
      </c>
      <c r="R85" s="143">
        <v>148660.33</v>
      </c>
      <c r="S85" s="146">
        <v>422.93</v>
      </c>
      <c r="T85" s="144">
        <v>2130</v>
      </c>
      <c r="V85" s="143">
        <v>3205</v>
      </c>
      <c r="W85" s="143">
        <v>3317.4</v>
      </c>
      <c r="X85" s="132">
        <f>12.33/(0.00372*360)</f>
        <v>9.206989247311826</v>
      </c>
      <c r="Y85" s="131">
        <v>44</v>
      </c>
      <c r="AA85" s="143">
        <v>15450</v>
      </c>
      <c r="AB85" s="143">
        <v>14986</v>
      </c>
      <c r="AC85" s="131">
        <v>47</v>
      </c>
      <c r="AF85" s="135">
        <f t="shared" si="14"/>
        <v>520927.27</v>
      </c>
    </row>
    <row r="86" spans="1:32" ht="12.75">
      <c r="A86" s="141">
        <v>39722</v>
      </c>
      <c r="B86" s="143">
        <v>18640281</v>
      </c>
      <c r="D86" s="143">
        <v>5977646</v>
      </c>
      <c r="E86" s="143">
        <v>5736151</v>
      </c>
      <c r="F86" s="131">
        <v>7588</v>
      </c>
      <c r="H86" s="143">
        <v>3426380</v>
      </c>
      <c r="I86" s="143">
        <v>3355584</v>
      </c>
      <c r="J86" s="131">
        <v>1543</v>
      </c>
      <c r="L86" s="143">
        <v>7836210</v>
      </c>
      <c r="M86" s="143">
        <f>2455417+2174251+3157339</f>
        <v>7787007</v>
      </c>
      <c r="N86" s="143">
        <f>6985.46+5259.61+6254.75</f>
        <v>18499.82</v>
      </c>
      <c r="O86" s="131">
        <f t="shared" si="16"/>
        <v>100</v>
      </c>
      <c r="Q86" s="143">
        <v>172873</v>
      </c>
      <c r="R86" s="143">
        <v>172873.32</v>
      </c>
      <c r="S86" s="146">
        <v>422.93</v>
      </c>
      <c r="T86" s="144">
        <v>2130</v>
      </c>
      <c r="V86" s="143">
        <v>3362</v>
      </c>
      <c r="W86" s="143">
        <v>3353.64</v>
      </c>
      <c r="X86" s="132">
        <f>12.46/(0.00372*360)</f>
        <v>9.304062126642771</v>
      </c>
      <c r="Y86" s="131">
        <v>45</v>
      </c>
      <c r="AA86" s="143">
        <v>15115</v>
      </c>
      <c r="AB86" s="143">
        <v>14986</v>
      </c>
      <c r="AC86" s="131">
        <v>47</v>
      </c>
      <c r="AF86" s="135">
        <f t="shared" si="14"/>
        <v>1570326.04</v>
      </c>
    </row>
    <row r="87" spans="1:32" ht="12.75">
      <c r="A87" s="141">
        <v>39753</v>
      </c>
      <c r="B87" s="143">
        <v>19886751</v>
      </c>
      <c r="D87" s="143">
        <v>7408144</v>
      </c>
      <c r="E87" s="143">
        <v>7702513</v>
      </c>
      <c r="F87" s="131">
        <v>7605</v>
      </c>
      <c r="H87" s="143">
        <v>3783852</v>
      </c>
      <c r="I87" s="143">
        <v>3978635</v>
      </c>
      <c r="J87" s="131">
        <v>1543</v>
      </c>
      <c r="L87" s="143">
        <v>7514998</v>
      </c>
      <c r="M87" s="143">
        <f>2927900+2052754+2747466</f>
        <v>7728120</v>
      </c>
      <c r="N87" s="143">
        <f>7884.86+5008.63+6310.03</f>
        <v>19203.52</v>
      </c>
      <c r="O87" s="131">
        <f t="shared" si="16"/>
        <v>100</v>
      </c>
      <c r="Q87" s="143">
        <v>184398</v>
      </c>
      <c r="R87" s="143">
        <v>184397.96</v>
      </c>
      <c r="S87" s="146">
        <v>422.93</v>
      </c>
      <c r="T87" s="144">
        <v>2130</v>
      </c>
      <c r="V87" s="143">
        <v>3228</v>
      </c>
      <c r="W87" s="143">
        <v>3383.28</v>
      </c>
      <c r="X87" s="132">
        <f aca="true" t="shared" si="17" ref="X87:X92">12.57/(0.00372*360)</f>
        <v>9.386200716845877</v>
      </c>
      <c r="Y87" s="131">
        <v>45</v>
      </c>
      <c r="AA87" s="143">
        <v>14857</v>
      </c>
      <c r="AB87" s="143">
        <v>14986</v>
      </c>
      <c r="AC87" s="131">
        <v>47</v>
      </c>
      <c r="AF87" s="135">
        <f t="shared" si="14"/>
        <v>274715.76</v>
      </c>
    </row>
    <row r="88" spans="1:32" ht="12.75">
      <c r="A88" s="141">
        <v>39783</v>
      </c>
      <c r="B88" s="143">
        <v>22939032</v>
      </c>
      <c r="D88" s="143">
        <v>9567657</v>
      </c>
      <c r="E88" s="143">
        <v>9160716</v>
      </c>
      <c r="F88" s="131">
        <v>7613</v>
      </c>
      <c r="H88" s="143">
        <v>4473434</v>
      </c>
      <c r="I88" s="143">
        <v>4338307</v>
      </c>
      <c r="J88" s="131">
        <v>1544</v>
      </c>
      <c r="L88" s="143">
        <v>7179055</v>
      </c>
      <c r="M88" s="143">
        <f>2975766+2080263+2122648</f>
        <v>7178677</v>
      </c>
      <c r="N88" s="143">
        <f>7906.25+4686.38+5435.57</f>
        <v>18028.2</v>
      </c>
      <c r="O88" s="131">
        <f t="shared" si="16"/>
        <v>100</v>
      </c>
      <c r="Q88" s="143">
        <v>199095</v>
      </c>
      <c r="R88" s="143">
        <v>199095.16</v>
      </c>
      <c r="S88" s="146">
        <v>422.93</v>
      </c>
      <c r="T88" s="144">
        <v>2130</v>
      </c>
      <c r="V88" s="143">
        <v>3500</v>
      </c>
      <c r="W88" s="143">
        <v>3383.28</v>
      </c>
      <c r="X88" s="132">
        <f t="shared" si="17"/>
        <v>9.386200716845877</v>
      </c>
      <c r="Y88" s="131">
        <v>45</v>
      </c>
      <c r="AA88" s="143">
        <v>14581</v>
      </c>
      <c r="AB88" s="143">
        <v>14266</v>
      </c>
      <c r="AC88" s="131">
        <v>46</v>
      </c>
      <c r="AF88" s="135">
        <f t="shared" si="14"/>
        <v>2044587.56</v>
      </c>
    </row>
    <row r="89" spans="1:32" ht="12.75">
      <c r="A89" s="141">
        <v>39814</v>
      </c>
      <c r="B89" s="143">
        <v>25179016</v>
      </c>
      <c r="D89" s="143">
        <v>10316265</v>
      </c>
      <c r="E89" s="143">
        <v>10163523</v>
      </c>
      <c r="F89" s="131">
        <v>7616</v>
      </c>
      <c r="H89" s="143">
        <v>4693029</v>
      </c>
      <c r="I89" s="143">
        <v>4486075</v>
      </c>
      <c r="J89" s="131">
        <v>1544</v>
      </c>
      <c r="L89" s="143">
        <v>7653225</v>
      </c>
      <c r="M89" s="143">
        <f>3005806+2205164+2328209</f>
        <v>7539179</v>
      </c>
      <c r="N89" s="143">
        <f>8424.95+4547.2+5143.95</f>
        <v>18116.100000000002</v>
      </c>
      <c r="O89" s="131">
        <f t="shared" si="16"/>
        <v>100</v>
      </c>
      <c r="Q89" s="143">
        <v>193914</v>
      </c>
      <c r="R89" s="143">
        <v>193913.97</v>
      </c>
      <c r="S89" s="146">
        <v>422.93</v>
      </c>
      <c r="T89" s="144">
        <v>2130</v>
      </c>
      <c r="V89" s="143">
        <v>3443</v>
      </c>
      <c r="W89" s="143">
        <v>3383.28</v>
      </c>
      <c r="X89" s="132">
        <f t="shared" si="17"/>
        <v>9.386200716845877</v>
      </c>
      <c r="Y89" s="131">
        <v>45</v>
      </c>
      <c r="AA89" s="143">
        <v>14266</v>
      </c>
      <c r="AB89" s="143">
        <v>14266</v>
      </c>
      <c r="AC89" s="131">
        <v>46</v>
      </c>
      <c r="AF89" s="135">
        <f t="shared" si="14"/>
        <v>2778675.75</v>
      </c>
    </row>
    <row r="90" spans="1:32" ht="12.75">
      <c r="A90" s="141">
        <v>39845</v>
      </c>
      <c r="B90" s="143">
        <v>20744809</v>
      </c>
      <c r="D90" s="143">
        <v>8504317</v>
      </c>
      <c r="E90" s="143">
        <v>9162954</v>
      </c>
      <c r="F90" s="131">
        <v>7618</v>
      </c>
      <c r="H90" s="143">
        <v>3996228</v>
      </c>
      <c r="I90" s="143">
        <v>4337546</v>
      </c>
      <c r="J90" s="131">
        <v>1547</v>
      </c>
      <c r="L90" s="143">
        <v>6921984</v>
      </c>
      <c r="M90" s="143">
        <f>2907462+1949307+2249395</f>
        <v>7106164</v>
      </c>
      <c r="N90" s="143">
        <f>7932.53+4605.59+5032.46</f>
        <v>17570.579999999998</v>
      </c>
      <c r="O90" s="131">
        <f t="shared" si="16"/>
        <v>100</v>
      </c>
      <c r="Q90" s="143">
        <v>175728</v>
      </c>
      <c r="R90" s="143">
        <v>175727.9</v>
      </c>
      <c r="S90" s="146">
        <v>422.93</v>
      </c>
      <c r="T90" s="144">
        <v>2130</v>
      </c>
      <c r="V90" s="143">
        <v>3157</v>
      </c>
      <c r="W90" s="143">
        <v>3383.28</v>
      </c>
      <c r="X90" s="132">
        <f t="shared" si="17"/>
        <v>9.386200716845877</v>
      </c>
      <c r="Y90" s="131">
        <v>45</v>
      </c>
      <c r="AA90" s="143">
        <v>13872</v>
      </c>
      <c r="AB90" s="143">
        <v>14266</v>
      </c>
      <c r="AC90" s="131">
        <v>46</v>
      </c>
      <c r="AF90" s="135">
        <f t="shared" si="14"/>
        <v>-55232.17999999999</v>
      </c>
    </row>
    <row r="91" spans="1:32" ht="12.75">
      <c r="A91" s="148">
        <v>39873</v>
      </c>
      <c r="B91" s="143">
        <v>20987646</v>
      </c>
      <c r="D91" s="143">
        <v>8091654</v>
      </c>
      <c r="E91" s="143">
        <v>7680215</v>
      </c>
      <c r="F91" s="131">
        <v>7626</v>
      </c>
      <c r="H91" s="143">
        <v>4007180</v>
      </c>
      <c r="I91" s="143">
        <v>3839630</v>
      </c>
      <c r="J91" s="131">
        <v>1546</v>
      </c>
      <c r="L91" s="143">
        <v>7304138</v>
      </c>
      <c r="M91" s="143">
        <f>2570023+2162539+2408682</f>
        <v>7141244</v>
      </c>
      <c r="N91" s="143">
        <f>7357.57+4593.14+5039.02</f>
        <v>16989.73</v>
      </c>
      <c r="O91" s="131">
        <f t="shared" si="16"/>
        <v>100</v>
      </c>
      <c r="Q91" s="143">
        <v>161560</v>
      </c>
      <c r="R91" s="143">
        <v>161559.8</v>
      </c>
      <c r="S91" s="146">
        <v>422.93</v>
      </c>
      <c r="T91" s="144">
        <v>2130</v>
      </c>
      <c r="V91" s="143">
        <v>3635</v>
      </c>
      <c r="W91" s="143">
        <v>3383.28</v>
      </c>
      <c r="X91" s="132">
        <f t="shared" si="17"/>
        <v>9.386200716845877</v>
      </c>
      <c r="Y91" s="131">
        <v>45</v>
      </c>
      <c r="AA91" s="143">
        <v>14660</v>
      </c>
      <c r="AB91" s="143">
        <v>14266</v>
      </c>
      <c r="AC91" s="131">
        <v>46</v>
      </c>
      <c r="AF91" s="135">
        <f t="shared" si="14"/>
        <v>2147347.9200000004</v>
      </c>
    </row>
    <row r="92" spans="1:32" ht="12.75">
      <c r="A92" s="141">
        <v>39904</v>
      </c>
      <c r="B92" s="143">
        <v>17548619</v>
      </c>
      <c r="D92" s="143">
        <v>6342124</v>
      </c>
      <c r="E92" s="143">
        <v>6643770</v>
      </c>
      <c r="F92" s="131">
        <v>7628</v>
      </c>
      <c r="H92" s="143">
        <v>3293116</v>
      </c>
      <c r="I92" s="143">
        <v>3403308</v>
      </c>
      <c r="J92" s="131">
        <v>1544</v>
      </c>
      <c r="L92" s="143">
        <v>6677986</v>
      </c>
      <c r="M92" s="143">
        <f>2317963+1947811+2462201</f>
        <v>6727975</v>
      </c>
      <c r="N92" s="143">
        <f>6949.41+4543.08+5623.28</f>
        <v>17115.77</v>
      </c>
      <c r="O92" s="131">
        <f t="shared" si="16"/>
        <v>100</v>
      </c>
      <c r="Q92" s="143">
        <v>137770</v>
      </c>
      <c r="R92" s="143">
        <v>137769.95</v>
      </c>
      <c r="S92" s="146">
        <v>422.93</v>
      </c>
      <c r="T92" s="144">
        <v>2130</v>
      </c>
      <c r="V92" s="143">
        <v>3350</v>
      </c>
      <c r="W92" s="143">
        <v>3383.28</v>
      </c>
      <c r="X92" s="132">
        <f t="shared" si="17"/>
        <v>9.386200716845877</v>
      </c>
      <c r="Y92" s="131">
        <v>45</v>
      </c>
      <c r="AA92" s="143">
        <v>14143</v>
      </c>
      <c r="AB92" s="143">
        <v>14266</v>
      </c>
      <c r="AC92" s="131">
        <v>45</v>
      </c>
      <c r="AF92" s="135">
        <f t="shared" si="14"/>
        <v>618146.77</v>
      </c>
    </row>
    <row r="93" spans="1:32" ht="12.75">
      <c r="A93" s="141">
        <v>39934</v>
      </c>
      <c r="B93" s="143">
        <v>16339291</v>
      </c>
      <c r="D93" s="143">
        <v>5334178</v>
      </c>
      <c r="E93" s="143">
        <v>5047251</v>
      </c>
      <c r="F93" s="131">
        <v>7628</v>
      </c>
      <c r="H93" s="143">
        <v>3160898</v>
      </c>
      <c r="I93" s="143">
        <v>2899724</v>
      </c>
      <c r="J93" s="131">
        <v>1549</v>
      </c>
      <c r="L93" s="143">
        <v>6789033</v>
      </c>
      <c r="M93" s="143">
        <f>2014443+2056775+2554444</f>
        <v>6625662</v>
      </c>
      <c r="N93" s="143">
        <f>6912.08+4733.31+5745.84</f>
        <v>17391.23</v>
      </c>
      <c r="O93" s="131">
        <f t="shared" si="16"/>
        <v>100</v>
      </c>
      <c r="Q93" s="143">
        <v>125717</v>
      </c>
      <c r="R93" s="143">
        <v>125716.53</v>
      </c>
      <c r="S93" s="146">
        <v>422.93</v>
      </c>
      <c r="T93" s="144">
        <v>2130</v>
      </c>
      <c r="V93" s="143">
        <v>3488</v>
      </c>
      <c r="W93" s="143">
        <v>3395.82</v>
      </c>
      <c r="X93" s="132">
        <f>12.62/(0.00372*360)</f>
        <v>9.42353643966547</v>
      </c>
      <c r="Y93" s="131">
        <v>45</v>
      </c>
      <c r="AA93" s="143">
        <v>14240</v>
      </c>
      <c r="AB93" s="143">
        <v>14066</v>
      </c>
      <c r="AC93" s="131">
        <v>43</v>
      </c>
      <c r="AF93" s="135">
        <f t="shared" si="14"/>
        <v>1623475.65</v>
      </c>
    </row>
    <row r="94" spans="1:32" ht="12.75">
      <c r="A94" s="141">
        <v>39965</v>
      </c>
      <c r="B94" s="143">
        <v>16363954</v>
      </c>
      <c r="D94" s="143">
        <v>4863897</v>
      </c>
      <c r="E94" s="143">
        <v>5175577</v>
      </c>
      <c r="F94" s="131">
        <v>7637</v>
      </c>
      <c r="H94" s="143">
        <v>3217533</v>
      </c>
      <c r="I94" s="143">
        <v>3329854</v>
      </c>
      <c r="J94" s="131">
        <v>1549</v>
      </c>
      <c r="L94" s="143">
        <v>6875806</v>
      </c>
      <c r="M94" s="143">
        <f>2222294+2116563+2630901</f>
        <v>6969758</v>
      </c>
      <c r="N94" s="143">
        <f>7022.32+4955.87+6042.78</f>
        <v>18020.969999999998</v>
      </c>
      <c r="O94" s="131">
        <f t="shared" si="16"/>
        <v>100</v>
      </c>
      <c r="Q94" s="143">
        <v>114297</v>
      </c>
      <c r="R94" s="143">
        <v>114297.44</v>
      </c>
      <c r="S94" s="146">
        <v>422.93</v>
      </c>
      <c r="T94" s="144">
        <v>2130</v>
      </c>
      <c r="V94" s="143">
        <v>3275</v>
      </c>
      <c r="W94" s="143">
        <v>3373.02</v>
      </c>
      <c r="X94" s="132">
        <f>12.28/(0.00372*360)</f>
        <v>9.169653524492233</v>
      </c>
      <c r="Y94" s="131">
        <v>44</v>
      </c>
      <c r="AA94" s="143">
        <v>13595</v>
      </c>
      <c r="AB94" s="143">
        <v>13628</v>
      </c>
      <c r="AC94" s="131">
        <v>43</v>
      </c>
      <c r="AF94" s="135">
        <f t="shared" si="14"/>
        <v>757466.54</v>
      </c>
    </row>
    <row r="95" spans="1:32" ht="12.75">
      <c r="A95" s="141">
        <v>39995</v>
      </c>
      <c r="B95" s="143">
        <v>17069905</v>
      </c>
      <c r="D95" s="143">
        <v>4989695</v>
      </c>
      <c r="E95" s="143">
        <v>4879132</v>
      </c>
      <c r="F95" s="131">
        <v>7659</v>
      </c>
      <c r="H95" s="143">
        <v>3499748</v>
      </c>
      <c r="I95" s="143">
        <v>3521640</v>
      </c>
      <c r="J95" s="131">
        <v>1553</v>
      </c>
      <c r="L95" s="143">
        <v>7376292</v>
      </c>
      <c r="M95" s="143">
        <f>2233641+2275037+2905848</f>
        <v>7414526</v>
      </c>
      <c r="N95" s="143">
        <f>6785.48+4808.51+6073.97</f>
        <v>17667.96</v>
      </c>
      <c r="O95" s="131">
        <f t="shared" si="16"/>
        <v>100</v>
      </c>
      <c r="Q95" s="143">
        <v>120747</v>
      </c>
      <c r="R95" s="143">
        <v>120747.01</v>
      </c>
      <c r="S95" s="146">
        <v>422.93</v>
      </c>
      <c r="T95" s="144">
        <v>2130</v>
      </c>
      <c r="V95" s="143">
        <v>3373</v>
      </c>
      <c r="W95" s="143">
        <v>3383.28</v>
      </c>
      <c r="X95" s="132">
        <f>4.08/(0.00372*360)+7.08/(0.0031*360)</f>
        <v>9.39068100358423</v>
      </c>
      <c r="Y95" s="131">
        <v>45</v>
      </c>
      <c r="AA95" s="143">
        <v>13705</v>
      </c>
      <c r="AB95" s="143">
        <v>13628</v>
      </c>
      <c r="AC95" s="131">
        <v>43</v>
      </c>
      <c r="AF95" s="135">
        <f t="shared" si="14"/>
        <v>1116848.71</v>
      </c>
    </row>
    <row r="96" spans="1:32" ht="12.75">
      <c r="A96" s="141">
        <v>40026</v>
      </c>
      <c r="B96" s="143">
        <v>17698258</v>
      </c>
      <c r="D96" s="143">
        <v>5128548</v>
      </c>
      <c r="E96" s="143">
        <v>5292129</v>
      </c>
      <c r="F96" s="131">
        <v>7681</v>
      </c>
      <c r="H96" s="143">
        <v>3589014</v>
      </c>
      <c r="I96" s="143">
        <v>3733584</v>
      </c>
      <c r="J96" s="131">
        <v>1552</v>
      </c>
      <c r="L96" s="143">
        <v>7372559</v>
      </c>
      <c r="M96" s="143">
        <f>2406380.2+2327548+2722695</f>
        <v>7456623.2</v>
      </c>
      <c r="N96" s="143">
        <f>6909.43+5220.31+5670.05</f>
        <v>17799.79</v>
      </c>
      <c r="O96" s="131">
        <f t="shared" si="16"/>
        <v>100</v>
      </c>
      <c r="Q96" s="143">
        <v>135338</v>
      </c>
      <c r="R96" s="143">
        <v>135338.2</v>
      </c>
      <c r="S96" s="146">
        <v>422.93</v>
      </c>
      <c r="T96" s="144">
        <v>2130</v>
      </c>
      <c r="V96" s="143">
        <v>3343</v>
      </c>
      <c r="W96" s="143">
        <v>3383.28</v>
      </c>
      <c r="X96" s="132">
        <f>10.42/(0.0031*360)</f>
        <v>9.336917562724015</v>
      </c>
      <c r="Y96" s="131">
        <v>45</v>
      </c>
      <c r="AA96" s="143">
        <v>13588</v>
      </c>
      <c r="AB96" s="143">
        <v>13628</v>
      </c>
      <c r="AC96" s="131">
        <v>43</v>
      </c>
      <c r="AF96" s="135">
        <f t="shared" si="14"/>
        <v>1063572.3199999998</v>
      </c>
    </row>
    <row r="97" spans="1:32" ht="12.75">
      <c r="A97" s="148">
        <v>40057</v>
      </c>
      <c r="B97" s="143">
        <v>16401389</v>
      </c>
      <c r="D97" s="143">
        <v>4951541</v>
      </c>
      <c r="E97" s="143">
        <v>4799844</v>
      </c>
      <c r="F97" s="131">
        <v>7686</v>
      </c>
      <c r="H97" s="143">
        <v>3212977</v>
      </c>
      <c r="I97" s="143">
        <v>3175025</v>
      </c>
      <c r="J97" s="131">
        <v>1554</v>
      </c>
      <c r="L97" s="143">
        <v>7002480</v>
      </c>
      <c r="M97" s="143">
        <f>2217799+2070530+2683807</f>
        <v>6972136</v>
      </c>
      <c r="N97" s="143">
        <f>7689.6+4927.72+5797.47</f>
        <v>18414.79</v>
      </c>
      <c r="O97" s="131">
        <f t="shared" si="16"/>
        <v>100</v>
      </c>
      <c r="Q97" s="143">
        <v>148660</v>
      </c>
      <c r="R97" s="143">
        <v>148660</v>
      </c>
      <c r="S97" s="146">
        <v>422.93</v>
      </c>
      <c r="T97" s="144">
        <v>2130</v>
      </c>
      <c r="V97" s="143">
        <v>3282</v>
      </c>
      <c r="W97" s="143">
        <v>3383.28</v>
      </c>
      <c r="X97" s="132">
        <f aca="true" t="shared" si="18" ref="X97:X103">10.42/(0.0031*360)</f>
        <v>9.336917562724015</v>
      </c>
      <c r="Y97" s="131">
        <v>45</v>
      </c>
      <c r="AA97" s="143">
        <v>13471</v>
      </c>
      <c r="AB97" s="143">
        <v>13628</v>
      </c>
      <c r="AC97" s="131">
        <v>43</v>
      </c>
      <c r="AF97" s="135">
        <f t="shared" si="14"/>
        <v>1288712.72</v>
      </c>
    </row>
    <row r="98" spans="1:32" ht="12.75">
      <c r="A98" s="141">
        <v>40087</v>
      </c>
      <c r="B98" s="143">
        <v>18036761</v>
      </c>
      <c r="D98" s="143">
        <v>6198939</v>
      </c>
      <c r="E98" s="143">
        <v>5836846</v>
      </c>
      <c r="F98" s="131">
        <v>7693</v>
      </c>
      <c r="H98" s="143">
        <v>3302017</v>
      </c>
      <c r="I98" s="143">
        <v>3119933</v>
      </c>
      <c r="J98" s="131">
        <v>1547</v>
      </c>
      <c r="L98" s="143">
        <v>6877714</v>
      </c>
      <c r="M98" s="143">
        <f>2304624+1901208+2548469</f>
        <v>6754301</v>
      </c>
      <c r="N98" s="143">
        <f>6718.92+4161.81+5820.62</f>
        <v>16701.35</v>
      </c>
      <c r="O98" s="131">
        <f>77+18+6</f>
        <v>101</v>
      </c>
      <c r="Q98" s="143">
        <v>172873</v>
      </c>
      <c r="R98" s="143">
        <v>172873.32</v>
      </c>
      <c r="S98" s="146">
        <v>422.93</v>
      </c>
      <c r="T98" s="144">
        <v>2130</v>
      </c>
      <c r="V98" s="143">
        <v>3491</v>
      </c>
      <c r="W98" s="143">
        <v>3383.28</v>
      </c>
      <c r="X98" s="132">
        <f t="shared" si="18"/>
        <v>9.336917562724015</v>
      </c>
      <c r="Y98" s="131">
        <v>45</v>
      </c>
      <c r="AA98" s="143">
        <v>13705</v>
      </c>
      <c r="AB98" s="143">
        <v>13628</v>
      </c>
      <c r="AC98" s="131">
        <v>43</v>
      </c>
      <c r="AF98" s="135">
        <f t="shared" si="14"/>
        <v>2135796.4000000004</v>
      </c>
    </row>
    <row r="99" spans="1:32" ht="12.75">
      <c r="A99" s="141">
        <v>40118</v>
      </c>
      <c r="B99" s="143">
        <v>18073124</v>
      </c>
      <c r="D99" s="143">
        <v>6717269</v>
      </c>
      <c r="E99" s="143">
        <v>6473701</v>
      </c>
      <c r="F99" s="131">
        <v>7697</v>
      </c>
      <c r="H99" s="143">
        <v>3363266</v>
      </c>
      <c r="I99" s="143">
        <v>3263780</v>
      </c>
      <c r="J99" s="131">
        <v>1547</v>
      </c>
      <c r="L99" s="143">
        <v>6783876</v>
      </c>
      <c r="M99" s="143">
        <f>2413878+1849457+2393956</f>
        <v>6657291</v>
      </c>
      <c r="N99" s="143">
        <f>6912.24+3806.78+5144.64</f>
        <v>15863.66</v>
      </c>
      <c r="O99" s="131">
        <f t="shared" si="16"/>
        <v>100</v>
      </c>
      <c r="Q99" s="143">
        <v>184398</v>
      </c>
      <c r="R99" s="143">
        <v>184397.96</v>
      </c>
      <c r="S99" s="146">
        <v>422.93</v>
      </c>
      <c r="T99" s="144">
        <v>2130</v>
      </c>
      <c r="V99" s="143">
        <v>3378</v>
      </c>
      <c r="W99" s="143">
        <v>3383.28</v>
      </c>
      <c r="X99" s="132">
        <f t="shared" si="18"/>
        <v>9.336917562724015</v>
      </c>
      <c r="Y99" s="131">
        <v>45</v>
      </c>
      <c r="AA99" s="143">
        <v>13471</v>
      </c>
      <c r="AB99" s="143">
        <v>13628</v>
      </c>
      <c r="AC99" s="131">
        <v>43</v>
      </c>
      <c r="AF99" s="135">
        <f t="shared" si="14"/>
        <v>1476942.76</v>
      </c>
    </row>
    <row r="100" spans="1:32" ht="12.75">
      <c r="A100" s="141">
        <v>40148</v>
      </c>
      <c r="B100" s="143">
        <v>21527001</v>
      </c>
      <c r="D100" s="143">
        <v>9203856</v>
      </c>
      <c r="E100" s="143">
        <v>9556390</v>
      </c>
      <c r="F100" s="131">
        <v>7697</v>
      </c>
      <c r="H100" s="143">
        <v>4080764</v>
      </c>
      <c r="I100" s="143">
        <v>4298638</v>
      </c>
      <c r="J100" s="131">
        <v>1547</v>
      </c>
      <c r="L100" s="143">
        <v>6420151</v>
      </c>
      <c r="M100" s="143">
        <f>3081604+1886407+1723933</f>
        <v>6691944</v>
      </c>
      <c r="N100" s="143">
        <f>8057.11+3924.93+4759.53</f>
        <v>16741.57</v>
      </c>
      <c r="O100" s="131">
        <f>75+18+6</f>
        <v>99</v>
      </c>
      <c r="Q100" s="143">
        <v>199095</v>
      </c>
      <c r="R100" s="143">
        <v>199095.16</v>
      </c>
      <c r="S100" s="146">
        <v>422.93</v>
      </c>
      <c r="T100" s="144">
        <v>2130</v>
      </c>
      <c r="V100" s="143">
        <v>3287</v>
      </c>
      <c r="W100" s="143">
        <v>3383.28</v>
      </c>
      <c r="X100" s="132">
        <f t="shared" si="18"/>
        <v>9.336917562724015</v>
      </c>
      <c r="Y100" s="131">
        <v>45</v>
      </c>
      <c r="AA100" s="143">
        <v>13705</v>
      </c>
      <c r="AB100" s="143">
        <v>13628</v>
      </c>
      <c r="AC100" s="131">
        <v>43</v>
      </c>
      <c r="AF100" s="135">
        <f t="shared" si="14"/>
        <v>763922.5599999999</v>
      </c>
    </row>
    <row r="101" spans="1:32" ht="12.75">
      <c r="A101" s="141">
        <v>40179</v>
      </c>
      <c r="B101" s="143">
        <v>23172597</v>
      </c>
      <c r="D101" s="143">
        <v>9650649</v>
      </c>
      <c r="E101" s="143">
        <v>9491580</v>
      </c>
      <c r="F101" s="131">
        <v>7713</v>
      </c>
      <c r="H101" s="143">
        <v>4312532</v>
      </c>
      <c r="I101" s="143">
        <v>4179142</v>
      </c>
      <c r="J101" s="131">
        <v>1549</v>
      </c>
      <c r="L101" s="143">
        <v>7696133</v>
      </c>
      <c r="M101" s="143">
        <f>2742147+1956111+2095830</f>
        <v>6794088</v>
      </c>
      <c r="N101" s="143">
        <f>7726.88+3924.01+4822.51</f>
        <v>16473.4</v>
      </c>
      <c r="O101" s="131">
        <f>76+18+6</f>
        <v>100</v>
      </c>
      <c r="Q101" s="143">
        <v>193914</v>
      </c>
      <c r="R101" s="143">
        <v>193913.97</v>
      </c>
      <c r="S101" s="146">
        <v>422.93</v>
      </c>
      <c r="T101" s="144">
        <v>2130</v>
      </c>
      <c r="V101" s="143">
        <v>3404</v>
      </c>
      <c r="W101" s="143">
        <v>3383.28</v>
      </c>
      <c r="X101" s="132">
        <f t="shared" si="18"/>
        <v>9.336917562724015</v>
      </c>
      <c r="Y101" s="131">
        <v>45</v>
      </c>
      <c r="AA101" s="143">
        <v>13588</v>
      </c>
      <c r="AB101" s="143">
        <v>13628</v>
      </c>
      <c r="AC101" s="131">
        <v>41</v>
      </c>
      <c r="AF101" s="135">
        <f t="shared" si="14"/>
        <v>2496861.75</v>
      </c>
    </row>
    <row r="102" spans="1:32" ht="12.75">
      <c r="A102" s="141">
        <v>40210</v>
      </c>
      <c r="B102" s="143">
        <v>20395977</v>
      </c>
      <c r="D102" s="143">
        <v>8233322.74</v>
      </c>
      <c r="E102" s="143">
        <v>9136627</v>
      </c>
      <c r="F102" s="131">
        <v>7712</v>
      </c>
      <c r="H102" s="143">
        <v>3840843</v>
      </c>
      <c r="I102" s="143">
        <v>4245822</v>
      </c>
      <c r="J102" s="131">
        <v>1549</v>
      </c>
      <c r="L102" s="143">
        <v>6198986</v>
      </c>
      <c r="M102" s="143">
        <f>2914447.2+1802965.97+1999407.66</f>
        <v>6716820.83</v>
      </c>
      <c r="N102" s="143">
        <f>7224.3+4045.75+4920.23</f>
        <v>16190.279999999999</v>
      </c>
      <c r="O102" s="131">
        <f>75+18+6</f>
        <v>99</v>
      </c>
      <c r="Q102" s="143">
        <v>175728</v>
      </c>
      <c r="R102" s="143">
        <v>175727.9</v>
      </c>
      <c r="S102" s="146">
        <v>422.93</v>
      </c>
      <c r="T102" s="144">
        <v>2130</v>
      </c>
      <c r="V102" s="143">
        <v>3242</v>
      </c>
      <c r="W102" s="143">
        <v>3383.28</v>
      </c>
      <c r="X102" s="132">
        <f t="shared" si="18"/>
        <v>9.336917562724015</v>
      </c>
      <c r="Y102" s="131">
        <v>45</v>
      </c>
      <c r="AA102" s="143">
        <v>12377</v>
      </c>
      <c r="AB102" s="143">
        <v>12458</v>
      </c>
      <c r="AC102" s="131">
        <v>42</v>
      </c>
      <c r="AF102" s="135">
        <f t="shared" si="14"/>
        <v>105137.98999999993</v>
      </c>
    </row>
    <row r="103" spans="1:32" ht="12.75">
      <c r="A103" s="141">
        <v>40238</v>
      </c>
      <c r="B103" s="143">
        <v>18966083</v>
      </c>
      <c r="D103" s="143">
        <v>6942317.31</v>
      </c>
      <c r="E103" s="143">
        <v>6555603</v>
      </c>
      <c r="F103" s="131">
        <v>7723</v>
      </c>
      <c r="H103" s="143">
        <v>3558896</v>
      </c>
      <c r="I103" s="143">
        <v>3334831</v>
      </c>
      <c r="J103" s="131">
        <v>1547</v>
      </c>
      <c r="L103" s="143">
        <v>6497245</v>
      </c>
      <c r="M103" s="143">
        <f>2361038+1955765+2294804</f>
        <v>6611607</v>
      </c>
      <c r="N103" s="143">
        <f>6802.61+4072.94+4992.8</f>
        <v>15868.349999999999</v>
      </c>
      <c r="O103" s="131">
        <f>75+18+6</f>
        <v>99</v>
      </c>
      <c r="Q103" s="143">
        <v>161560</v>
      </c>
      <c r="R103" s="143">
        <v>161559.8</v>
      </c>
      <c r="S103" s="146">
        <v>422.93</v>
      </c>
      <c r="T103" s="144">
        <v>2130</v>
      </c>
      <c r="V103" s="143">
        <v>3662</v>
      </c>
      <c r="W103" s="143">
        <v>3383.28</v>
      </c>
      <c r="X103" s="132">
        <f t="shared" si="18"/>
        <v>9.336917562724015</v>
      </c>
      <c r="Y103" s="131">
        <v>45</v>
      </c>
      <c r="AA103" s="143">
        <v>12761</v>
      </c>
      <c r="AB103" s="143">
        <v>12458</v>
      </c>
      <c r="AC103" s="131">
        <v>42</v>
      </c>
      <c r="AF103" s="135">
        <f t="shared" si="14"/>
        <v>2286640.9200000004</v>
      </c>
    </row>
    <row r="104" spans="1:32" ht="12.75">
      <c r="A104" s="141">
        <v>40269</v>
      </c>
      <c r="B104" s="143">
        <v>15876110</v>
      </c>
      <c r="D104" s="143">
        <v>5481458.87</v>
      </c>
      <c r="E104" s="143">
        <v>5401019</v>
      </c>
      <c r="F104" s="131">
        <v>7721</v>
      </c>
      <c r="H104" s="143">
        <v>3045834</v>
      </c>
      <c r="I104" s="143">
        <v>2989790</v>
      </c>
      <c r="J104" s="131">
        <v>1550</v>
      </c>
      <c r="L104" s="143">
        <v>6046098</v>
      </c>
      <c r="M104" s="143">
        <f>2078645+1900339+2271524</f>
        <v>6250508</v>
      </c>
      <c r="N104" s="143">
        <f>6490.02+4490.5+5127.94</f>
        <v>16108.46</v>
      </c>
      <c r="O104" s="131">
        <f>75+18+6</f>
        <v>99</v>
      </c>
      <c r="Q104" s="143">
        <v>137770</v>
      </c>
      <c r="R104" s="143">
        <v>137769.95</v>
      </c>
      <c r="S104" s="146">
        <v>422.93</v>
      </c>
      <c r="T104" s="144">
        <v>2130</v>
      </c>
      <c r="V104" s="143">
        <v>3379</v>
      </c>
      <c r="W104" s="143">
        <v>3383.28</v>
      </c>
      <c r="X104" s="132">
        <f>10.25/(0.0031*360)</f>
        <v>9.184587813620073</v>
      </c>
      <c r="Y104" s="131">
        <v>45</v>
      </c>
      <c r="AA104" s="143">
        <v>12962</v>
      </c>
      <c r="AB104" s="143">
        <v>12458</v>
      </c>
      <c r="AC104" s="131">
        <v>41</v>
      </c>
      <c r="AF104" s="135">
        <f t="shared" si="14"/>
        <v>1081181.77</v>
      </c>
    </row>
    <row r="105" spans="1:32" ht="12.75">
      <c r="A105" s="141">
        <v>40299</v>
      </c>
      <c r="B105" s="143">
        <v>16780450</v>
      </c>
      <c r="D105" s="143">
        <f>+E105</f>
        <v>5254446</v>
      </c>
      <c r="E105" s="143">
        <v>5254446</v>
      </c>
      <c r="F105" s="131">
        <v>7722</v>
      </c>
      <c r="H105" s="143">
        <f>+I105</f>
        <v>3221337</v>
      </c>
      <c r="I105" s="143">
        <v>3221337</v>
      </c>
      <c r="J105" s="131">
        <v>1554</v>
      </c>
      <c r="L105" s="143">
        <f>+M105</f>
        <v>6965887</v>
      </c>
      <c r="M105" s="143">
        <f>2247765+2176853+2541269</f>
        <v>6965887</v>
      </c>
      <c r="N105" s="143">
        <f>7031.21+5271.81+5289.03</f>
        <v>17592.05</v>
      </c>
      <c r="O105" s="131">
        <f aca="true" t="shared" si="19" ref="O105:O110">76+18+6</f>
        <v>100</v>
      </c>
      <c r="Q105" s="143">
        <f>+R105</f>
        <v>125716.53</v>
      </c>
      <c r="R105" s="143">
        <v>125716.53</v>
      </c>
      <c r="S105" s="146">
        <v>422.93</v>
      </c>
      <c r="T105" s="144">
        <v>2130</v>
      </c>
      <c r="V105" s="143">
        <f>+W105</f>
        <v>3383.28</v>
      </c>
      <c r="W105" s="143">
        <v>3383.28</v>
      </c>
      <c r="X105" s="132">
        <f>3.43/(0.0031*360)+7.49/(0.00327*360)</f>
        <v>9.436031918275186</v>
      </c>
      <c r="Y105" s="131">
        <v>45</v>
      </c>
      <c r="AA105" s="143">
        <f>+AB105</f>
        <v>11256</v>
      </c>
      <c r="AB105" s="143">
        <v>11256</v>
      </c>
      <c r="AC105" s="131">
        <v>41</v>
      </c>
      <c r="AF105" s="135">
        <f t="shared" si="14"/>
        <v>1198424.19</v>
      </c>
    </row>
    <row r="106" spans="1:32" ht="12.75">
      <c r="A106" s="141">
        <v>40330</v>
      </c>
      <c r="B106" s="143">
        <v>15920655</v>
      </c>
      <c r="D106" s="143">
        <f aca="true" t="shared" si="20" ref="D106:D124">+E106</f>
        <v>4967109</v>
      </c>
      <c r="E106" s="143">
        <v>4967109</v>
      </c>
      <c r="F106" s="131">
        <v>7728</v>
      </c>
      <c r="H106" s="143">
        <f aca="true" t="shared" si="21" ref="H106:H124">+I106</f>
        <v>3314646</v>
      </c>
      <c r="I106" s="143">
        <v>3314646</v>
      </c>
      <c r="J106" s="131">
        <v>1553</v>
      </c>
      <c r="L106" s="143">
        <f aca="true" t="shared" si="22" ref="L106:L124">+M106</f>
        <v>6770764</v>
      </c>
      <c r="M106" s="143">
        <f>2369851+2181246+2219667</f>
        <v>6770764</v>
      </c>
      <c r="N106" s="143">
        <f>7449.41+5008.97+5310.19</f>
        <v>17768.57</v>
      </c>
      <c r="O106" s="131">
        <f t="shared" si="19"/>
        <v>100</v>
      </c>
      <c r="Q106" s="143">
        <f aca="true" t="shared" si="23" ref="Q106:Q124">+R106</f>
        <v>114297.44</v>
      </c>
      <c r="R106" s="143">
        <v>114297.44</v>
      </c>
      <c r="S106" s="146">
        <v>422.93</v>
      </c>
      <c r="T106" s="144">
        <v>2130</v>
      </c>
      <c r="V106" s="143">
        <f aca="true" t="shared" si="24" ref="V106:V124">+W106</f>
        <v>3383.28</v>
      </c>
      <c r="W106" s="143">
        <v>3383.28</v>
      </c>
      <c r="X106" s="132">
        <f aca="true" t="shared" si="25" ref="X106:X111">11.07/(0.00327*360)</f>
        <v>9.403669724770642</v>
      </c>
      <c r="Y106" s="131">
        <v>45</v>
      </c>
      <c r="AA106" s="143">
        <f aca="true" t="shared" si="26" ref="AA106:AA124">+AB106</f>
        <v>11256</v>
      </c>
      <c r="AB106" s="143">
        <v>11256</v>
      </c>
      <c r="AC106" s="131">
        <v>41</v>
      </c>
      <c r="AF106" s="135">
        <f t="shared" si="14"/>
        <v>739199.28</v>
      </c>
    </row>
    <row r="107" spans="1:32" ht="12.75">
      <c r="A107" s="141">
        <v>40360</v>
      </c>
      <c r="B107" s="143">
        <v>18247719</v>
      </c>
      <c r="D107" s="143">
        <f t="shared" si="20"/>
        <v>5689075</v>
      </c>
      <c r="E107" s="143">
        <v>5689075</v>
      </c>
      <c r="F107" s="131">
        <v>7750</v>
      </c>
      <c r="H107" s="143">
        <f t="shared" si="21"/>
        <v>3957008</v>
      </c>
      <c r="I107" s="143">
        <v>3957008</v>
      </c>
      <c r="J107" s="131">
        <v>1555</v>
      </c>
      <c r="L107" s="143">
        <f t="shared" si="22"/>
        <v>7551793</v>
      </c>
      <c r="M107" s="143">
        <f>2529875+2454675+2567243</f>
        <v>7551793</v>
      </c>
      <c r="N107" s="143">
        <f>7550.03+5140.01+5629.38</f>
        <v>18319.420000000002</v>
      </c>
      <c r="O107" s="131">
        <f t="shared" si="19"/>
        <v>100</v>
      </c>
      <c r="Q107" s="143">
        <f t="shared" si="23"/>
        <v>120747.01</v>
      </c>
      <c r="R107" s="143">
        <v>120747.01</v>
      </c>
      <c r="S107" s="146">
        <v>422.93</v>
      </c>
      <c r="T107" s="144">
        <v>2130</v>
      </c>
      <c r="V107" s="143">
        <f t="shared" si="24"/>
        <v>3383.28</v>
      </c>
      <c r="W107" s="143">
        <v>3383.28</v>
      </c>
      <c r="X107" s="132">
        <f t="shared" si="25"/>
        <v>9.403669724770642</v>
      </c>
      <c r="Y107" s="131">
        <v>45</v>
      </c>
      <c r="AA107" s="143">
        <f t="shared" si="26"/>
        <v>11256</v>
      </c>
      <c r="AB107" s="143">
        <v>11256</v>
      </c>
      <c r="AC107" s="131">
        <v>41</v>
      </c>
      <c r="AF107" s="135">
        <f t="shared" si="14"/>
        <v>914456.71</v>
      </c>
    </row>
    <row r="108" spans="1:32" ht="12.75">
      <c r="A108" s="141">
        <v>40391</v>
      </c>
      <c r="B108" s="143">
        <v>18196813</v>
      </c>
      <c r="D108" s="143">
        <f t="shared" si="20"/>
        <v>5245990</v>
      </c>
      <c r="E108" s="143">
        <v>5245990</v>
      </c>
      <c r="F108" s="131">
        <v>7777</v>
      </c>
      <c r="H108" s="143">
        <f t="shared" si="21"/>
        <v>3483296</v>
      </c>
      <c r="I108" s="143">
        <v>3483296</v>
      </c>
      <c r="J108" s="131">
        <v>1555</v>
      </c>
      <c r="L108" s="143">
        <f t="shared" si="22"/>
        <v>7521522</v>
      </c>
      <c r="M108" s="143">
        <f>2351548+2371444+2798530</f>
        <v>7521522</v>
      </c>
      <c r="N108" s="143">
        <f>6652.73+5030.85+5975.16</f>
        <v>17658.739999999998</v>
      </c>
      <c r="O108" s="131">
        <f t="shared" si="19"/>
        <v>100</v>
      </c>
      <c r="Q108" s="143">
        <f t="shared" si="23"/>
        <v>135338.2</v>
      </c>
      <c r="R108" s="143">
        <v>135338.2</v>
      </c>
      <c r="S108" s="146">
        <v>422.93</v>
      </c>
      <c r="T108" s="144">
        <v>2130</v>
      </c>
      <c r="V108" s="143">
        <f t="shared" si="24"/>
        <v>3383.28</v>
      </c>
      <c r="W108" s="143">
        <v>3383.28</v>
      </c>
      <c r="X108" s="132">
        <f t="shared" si="25"/>
        <v>9.403669724770642</v>
      </c>
      <c r="Y108" s="131">
        <v>44</v>
      </c>
      <c r="AA108" s="143">
        <f t="shared" si="26"/>
        <v>11256</v>
      </c>
      <c r="AB108" s="143">
        <v>11256</v>
      </c>
      <c r="AC108" s="131">
        <v>41</v>
      </c>
      <c r="AF108" s="135">
        <f t="shared" si="14"/>
        <v>1796027.52</v>
      </c>
    </row>
    <row r="109" spans="1:32" ht="12.75">
      <c r="A109" s="141">
        <v>40422</v>
      </c>
      <c r="B109" s="143">
        <v>16287609</v>
      </c>
      <c r="D109" s="143">
        <f t="shared" si="20"/>
        <v>4851493</v>
      </c>
      <c r="E109" s="143">
        <v>4851493</v>
      </c>
      <c r="F109" s="131">
        <v>7781</v>
      </c>
      <c r="H109" s="143">
        <f t="shared" si="21"/>
        <v>3090081</v>
      </c>
      <c r="I109" s="143">
        <v>3090081</v>
      </c>
      <c r="J109" s="131">
        <v>1555</v>
      </c>
      <c r="L109" s="143">
        <f t="shared" si="22"/>
        <v>7130382</v>
      </c>
      <c r="M109" s="143">
        <f>2444149+2013344+2672889</f>
        <v>7130382</v>
      </c>
      <c r="N109" s="143">
        <f>7480.05+5019.58+5859.39</f>
        <v>18359.02</v>
      </c>
      <c r="O109" s="131">
        <f t="shared" si="19"/>
        <v>100</v>
      </c>
      <c r="Q109" s="143">
        <f t="shared" si="23"/>
        <v>148660.33</v>
      </c>
      <c r="R109" s="143">
        <v>148660.33</v>
      </c>
      <c r="S109" s="146">
        <v>422.93</v>
      </c>
      <c r="T109" s="144">
        <v>2130</v>
      </c>
      <c r="V109" s="143">
        <f t="shared" si="24"/>
        <v>3383.28</v>
      </c>
      <c r="W109" s="143">
        <v>3383.28</v>
      </c>
      <c r="X109" s="132">
        <f t="shared" si="25"/>
        <v>9.403669724770642</v>
      </c>
      <c r="Y109" s="131">
        <v>44</v>
      </c>
      <c r="AA109" s="143">
        <f t="shared" si="26"/>
        <v>11256</v>
      </c>
      <c r="AB109" s="143">
        <v>11256</v>
      </c>
      <c r="AC109" s="131">
        <v>41</v>
      </c>
      <c r="AF109" s="135">
        <f t="shared" si="14"/>
        <v>1052353.39</v>
      </c>
    </row>
    <row r="110" spans="1:32" ht="12.75">
      <c r="A110" s="141">
        <v>40452</v>
      </c>
      <c r="B110" s="143">
        <v>17018502</v>
      </c>
      <c r="D110" s="143">
        <f t="shared" si="20"/>
        <v>5881677</v>
      </c>
      <c r="E110" s="143">
        <v>5881677</v>
      </c>
      <c r="F110" s="131">
        <v>7781</v>
      </c>
      <c r="H110" s="143">
        <f t="shared" si="21"/>
        <v>3187753</v>
      </c>
      <c r="I110" s="143">
        <v>3187753</v>
      </c>
      <c r="J110" s="131">
        <v>1552</v>
      </c>
      <c r="L110" s="143">
        <f t="shared" si="22"/>
        <v>6790065</v>
      </c>
      <c r="M110" s="143">
        <f>2553359+1868058+2368648</f>
        <v>6790065</v>
      </c>
      <c r="N110" s="143">
        <f>7407.78+4159.19+5105.18</f>
        <v>16672.15</v>
      </c>
      <c r="O110" s="131">
        <f t="shared" si="19"/>
        <v>100</v>
      </c>
      <c r="Q110" s="143">
        <f t="shared" si="23"/>
        <v>172873.32</v>
      </c>
      <c r="R110" s="143">
        <v>172873.32</v>
      </c>
      <c r="S110" s="146">
        <v>422.93</v>
      </c>
      <c r="T110" s="144">
        <v>2130</v>
      </c>
      <c r="V110" s="143">
        <f t="shared" si="24"/>
        <v>3385.2</v>
      </c>
      <c r="W110" s="143">
        <v>3385.2</v>
      </c>
      <c r="X110" s="132">
        <f t="shared" si="25"/>
        <v>9.403669724770642</v>
      </c>
      <c r="Y110" s="131">
        <v>44</v>
      </c>
      <c r="AA110" s="143">
        <f t="shared" si="26"/>
        <v>11256</v>
      </c>
      <c r="AB110" s="143">
        <v>11256</v>
      </c>
      <c r="AC110" s="131">
        <v>41</v>
      </c>
      <c r="AF110" s="135">
        <f t="shared" si="14"/>
        <v>971492.48</v>
      </c>
    </row>
    <row r="111" spans="1:32" ht="12.75">
      <c r="A111" s="141">
        <v>40483</v>
      </c>
      <c r="B111" s="143">
        <v>18275778</v>
      </c>
      <c r="D111" s="143">
        <f t="shared" si="20"/>
        <v>7129924</v>
      </c>
      <c r="E111" s="143">
        <v>7129924</v>
      </c>
      <c r="F111" s="131">
        <v>7782</v>
      </c>
      <c r="H111" s="143">
        <f t="shared" si="21"/>
        <v>3561988</v>
      </c>
      <c r="I111" s="143">
        <v>3561988</v>
      </c>
      <c r="J111" s="131">
        <v>1556</v>
      </c>
      <c r="L111" s="143">
        <f t="shared" si="22"/>
        <v>6636045</v>
      </c>
      <c r="M111" s="143">
        <f>2754566+1830124+2051355</f>
        <v>6636045</v>
      </c>
      <c r="N111" s="143">
        <f>7679.74+3827.83+4788.75</f>
        <v>16296.32</v>
      </c>
      <c r="O111" s="131">
        <f>77+18+6</f>
        <v>101</v>
      </c>
      <c r="Q111" s="143">
        <f t="shared" si="23"/>
        <v>184397.96</v>
      </c>
      <c r="R111" s="143">
        <v>184397.96</v>
      </c>
      <c r="S111" s="146">
        <v>422.93</v>
      </c>
      <c r="T111" s="144">
        <v>2130</v>
      </c>
      <c r="V111" s="143">
        <f t="shared" si="24"/>
        <v>3468.84</v>
      </c>
      <c r="W111" s="143">
        <v>3468.84</v>
      </c>
      <c r="X111" s="132">
        <f t="shared" si="25"/>
        <v>9.403669724770642</v>
      </c>
      <c r="Y111" s="131">
        <v>45</v>
      </c>
      <c r="AA111" s="143">
        <f t="shared" si="26"/>
        <v>11256</v>
      </c>
      <c r="AB111" s="143">
        <v>11256</v>
      </c>
      <c r="AC111" s="131">
        <v>41</v>
      </c>
      <c r="AF111" s="135">
        <f t="shared" si="14"/>
        <v>748698.2000000001</v>
      </c>
    </row>
    <row r="112" spans="1:32" ht="12.75">
      <c r="A112" s="141">
        <v>40513</v>
      </c>
      <c r="B112" s="143">
        <v>22070790</v>
      </c>
      <c r="D112" s="143">
        <f t="shared" si="20"/>
        <v>9725660</v>
      </c>
      <c r="E112" s="143">
        <v>9725660</v>
      </c>
      <c r="F112" s="131">
        <v>7785</v>
      </c>
      <c r="H112" s="143">
        <f t="shared" si="21"/>
        <v>4413802</v>
      </c>
      <c r="I112" s="143">
        <v>4413802</v>
      </c>
      <c r="J112" s="131">
        <v>1558</v>
      </c>
      <c r="L112" s="143">
        <f t="shared" si="22"/>
        <v>6803019</v>
      </c>
      <c r="M112" s="143">
        <f>3074481+1902395+1826143</f>
        <v>6803019</v>
      </c>
      <c r="N112" s="143">
        <f>7924.21+3856.84+4497.7</f>
        <v>16278.75</v>
      </c>
      <c r="O112" s="131">
        <f>76+18+6</f>
        <v>100</v>
      </c>
      <c r="Q112" s="143">
        <f t="shared" si="23"/>
        <v>199095.16</v>
      </c>
      <c r="R112" s="143">
        <v>199095.16</v>
      </c>
      <c r="S112" s="146">
        <v>422.93</v>
      </c>
      <c r="T112" s="144">
        <v>2130</v>
      </c>
      <c r="V112" s="143">
        <f t="shared" si="24"/>
        <v>3307.68</v>
      </c>
      <c r="W112" s="143">
        <v>3307.68</v>
      </c>
      <c r="X112" s="132">
        <f>10.82/(0.00327*360)</f>
        <v>9.191301393136255</v>
      </c>
      <c r="Y112" s="131">
        <v>43</v>
      </c>
      <c r="AA112" s="143">
        <f t="shared" si="26"/>
        <v>11256</v>
      </c>
      <c r="AB112" s="143">
        <v>11256</v>
      </c>
      <c r="AC112" s="131">
        <v>41</v>
      </c>
      <c r="AF112" s="135">
        <f t="shared" si="14"/>
        <v>914650.1599999999</v>
      </c>
    </row>
    <row r="113" spans="1:32" ht="12.75">
      <c r="A113" s="141">
        <v>40544</v>
      </c>
      <c r="B113" s="143">
        <v>23225566</v>
      </c>
      <c r="D113" s="143">
        <f t="shared" si="20"/>
        <v>9354524</v>
      </c>
      <c r="E113" s="143">
        <v>9354524</v>
      </c>
      <c r="F113" s="131">
        <v>7779</v>
      </c>
      <c r="H113" s="143">
        <f t="shared" si="21"/>
        <v>4266523</v>
      </c>
      <c r="I113" s="143">
        <v>4266523</v>
      </c>
      <c r="J113" s="131">
        <v>1559</v>
      </c>
      <c r="L113" s="143">
        <f t="shared" si="22"/>
        <v>6743014</v>
      </c>
      <c r="M113" s="143">
        <f>2838766+1924561+1979687</f>
        <v>6743014</v>
      </c>
      <c r="N113" s="143">
        <f>7320.5+3830.59+4699.35</f>
        <v>15850.44</v>
      </c>
      <c r="O113" s="131">
        <f>76+18+6</f>
        <v>100</v>
      </c>
      <c r="Q113" s="143">
        <f t="shared" si="23"/>
        <v>193913.97</v>
      </c>
      <c r="R113" s="143">
        <v>193913.97</v>
      </c>
      <c r="S113" s="146">
        <v>422.93</v>
      </c>
      <c r="T113" s="144">
        <v>2130</v>
      </c>
      <c r="V113" s="143">
        <f t="shared" si="24"/>
        <v>3451.32</v>
      </c>
      <c r="W113" s="143">
        <v>3451.32</v>
      </c>
      <c r="X113" s="132">
        <f>11.28/(0.00327*360)</f>
        <v>9.582059123343527</v>
      </c>
      <c r="Y113" s="131">
        <v>44</v>
      </c>
      <c r="AA113" s="143">
        <f t="shared" si="26"/>
        <v>10896</v>
      </c>
      <c r="AB113" s="143">
        <v>10896</v>
      </c>
      <c r="AC113" s="131">
        <v>41</v>
      </c>
      <c r="AF113" s="135">
        <f t="shared" si="14"/>
        <v>2653243.71</v>
      </c>
    </row>
    <row r="114" spans="1:32" ht="12.75">
      <c r="A114" s="141">
        <v>40575</v>
      </c>
      <c r="B114" s="143">
        <v>20579135</v>
      </c>
      <c r="D114" s="143">
        <f t="shared" si="20"/>
        <v>8668035</v>
      </c>
      <c r="E114" s="143">
        <v>8668035</v>
      </c>
      <c r="F114" s="131">
        <v>7859</v>
      </c>
      <c r="H114" s="143">
        <f t="shared" si="21"/>
        <v>4101244</v>
      </c>
      <c r="I114" s="143">
        <v>4101244</v>
      </c>
      <c r="J114" s="131">
        <v>1560</v>
      </c>
      <c r="L114" s="143">
        <f t="shared" si="22"/>
        <v>6792956</v>
      </c>
      <c r="M114" s="143">
        <f>2840376+1852554+2100026</f>
        <v>6792956</v>
      </c>
      <c r="N114" s="143">
        <f>7565.64+4131.34+5212.36</f>
        <v>16909.34</v>
      </c>
      <c r="O114" s="131">
        <f>51+43+6</f>
        <v>100</v>
      </c>
      <c r="Q114" s="143">
        <f t="shared" si="23"/>
        <v>175727.9</v>
      </c>
      <c r="R114" s="143">
        <v>175727.9</v>
      </c>
      <c r="S114" s="146">
        <v>422.93</v>
      </c>
      <c r="T114" s="144">
        <v>2130</v>
      </c>
      <c r="V114" s="143">
        <f t="shared" si="24"/>
        <v>3383.28</v>
      </c>
      <c r="W114" s="143">
        <v>3383.28</v>
      </c>
      <c r="X114" s="132">
        <f>11.07/(0.00327*360)</f>
        <v>9.403669724770642</v>
      </c>
      <c r="Y114" s="131">
        <v>44</v>
      </c>
      <c r="AA114" s="143">
        <f t="shared" si="26"/>
        <v>11016</v>
      </c>
      <c r="AB114" s="143">
        <v>11016</v>
      </c>
      <c r="AC114" s="131">
        <v>41</v>
      </c>
      <c r="AF114" s="135">
        <f t="shared" si="14"/>
        <v>826772.82</v>
      </c>
    </row>
    <row r="115" spans="1:32" ht="12.75">
      <c r="A115" s="141">
        <v>40603</v>
      </c>
      <c r="B115" s="143">
        <v>20876532</v>
      </c>
      <c r="D115" s="143">
        <f t="shared" si="20"/>
        <v>7989855</v>
      </c>
      <c r="E115" s="143">
        <v>7989855</v>
      </c>
      <c r="F115" s="131">
        <v>7873</v>
      </c>
      <c r="H115" s="143">
        <f t="shared" si="21"/>
        <v>3999450</v>
      </c>
      <c r="I115" s="143">
        <v>3999450</v>
      </c>
      <c r="J115" s="131">
        <v>1560</v>
      </c>
      <c r="L115" s="143">
        <f t="shared" si="22"/>
        <v>6541365.95</v>
      </c>
      <c r="M115" s="143">
        <f>1033085+3031832.95+2476448</f>
        <v>6541365.95</v>
      </c>
      <c r="N115" s="143">
        <f>2946.97+6459.64+5232.11</f>
        <v>14638.720000000001</v>
      </c>
      <c r="O115" s="131">
        <f>75+19+6</f>
        <v>100</v>
      </c>
      <c r="Q115" s="143">
        <f t="shared" si="23"/>
        <v>161559.8</v>
      </c>
      <c r="R115" s="143">
        <v>161559.8</v>
      </c>
      <c r="S115" s="146">
        <v>422.93</v>
      </c>
      <c r="T115" s="144">
        <v>2130</v>
      </c>
      <c r="V115" s="143">
        <f t="shared" si="24"/>
        <v>3383.28</v>
      </c>
      <c r="W115" s="143">
        <v>3383.28</v>
      </c>
      <c r="X115" s="132">
        <f>11.07/(0.00327*360)</f>
        <v>9.403669724770642</v>
      </c>
      <c r="Y115" s="131">
        <v>44</v>
      </c>
      <c r="AA115" s="143">
        <f t="shared" si="26"/>
        <v>10976</v>
      </c>
      <c r="AB115" s="143">
        <v>10976</v>
      </c>
      <c r="AC115" s="131">
        <v>40</v>
      </c>
      <c r="AF115" s="135">
        <f t="shared" si="14"/>
        <v>2169941.97</v>
      </c>
    </row>
    <row r="116" spans="1:32" ht="12.75">
      <c r="A116" s="141">
        <v>40634</v>
      </c>
      <c r="B116" s="143">
        <v>17445769</v>
      </c>
      <c r="D116" s="143">
        <f t="shared" si="20"/>
        <v>6277867</v>
      </c>
      <c r="E116" s="143">
        <v>6277867</v>
      </c>
      <c r="F116" s="131">
        <v>7874</v>
      </c>
      <c r="H116" s="143">
        <f t="shared" si="21"/>
        <v>3203926</v>
      </c>
      <c r="I116" s="143">
        <v>3203926</v>
      </c>
      <c r="J116" s="131">
        <v>1562</v>
      </c>
      <c r="L116" s="143">
        <f t="shared" si="22"/>
        <v>6650049</v>
      </c>
      <c r="M116" s="143">
        <f>2531023+1780846+2338180</f>
        <v>6650049</v>
      </c>
      <c r="N116" s="143">
        <f>7121.57+4095.29+5314.44</f>
        <v>16531.3</v>
      </c>
      <c r="O116" s="131">
        <f>75+19+6</f>
        <v>100</v>
      </c>
      <c r="Q116" s="143">
        <f t="shared" si="23"/>
        <v>137769.95</v>
      </c>
      <c r="R116" s="143">
        <v>137769.95</v>
      </c>
      <c r="S116" s="146">
        <v>422.93</v>
      </c>
      <c r="T116" s="144">
        <v>2130</v>
      </c>
      <c r="V116" s="143">
        <f t="shared" si="24"/>
        <v>3383.28</v>
      </c>
      <c r="W116" s="143">
        <v>3383.28</v>
      </c>
      <c r="X116" s="132">
        <f>11.07/(0.00327*360)</f>
        <v>9.403669724770642</v>
      </c>
      <c r="Y116" s="131">
        <v>44</v>
      </c>
      <c r="AA116" s="143">
        <f t="shared" si="26"/>
        <v>11216</v>
      </c>
      <c r="AB116" s="143">
        <v>11216</v>
      </c>
      <c r="AC116" s="131">
        <v>40</v>
      </c>
      <c r="AF116" s="135">
        <f t="shared" si="14"/>
        <v>1161557.77</v>
      </c>
    </row>
    <row r="117" spans="1:32" ht="12.75">
      <c r="A117" s="141">
        <v>40664</v>
      </c>
      <c r="B117" s="143">
        <v>16194222</v>
      </c>
      <c r="D117" s="143">
        <f t="shared" si="20"/>
        <v>5107261</v>
      </c>
      <c r="E117" s="143">
        <v>5107261</v>
      </c>
      <c r="F117" s="131">
        <v>7869</v>
      </c>
      <c r="H117" s="143">
        <f t="shared" si="21"/>
        <v>3123674</v>
      </c>
      <c r="I117" s="143">
        <v>3123674</v>
      </c>
      <c r="J117" s="131">
        <v>1568</v>
      </c>
      <c r="L117" s="143">
        <f t="shared" si="22"/>
        <v>6963741</v>
      </c>
      <c r="M117" s="143">
        <f>346644+3919449+2697648</f>
        <v>6963741</v>
      </c>
      <c r="N117" s="143">
        <f>1001.34+10707.99+5977.06</f>
        <v>17686.39</v>
      </c>
      <c r="O117" s="131">
        <f>5+90+6</f>
        <v>101</v>
      </c>
      <c r="Q117" s="143">
        <f t="shared" si="23"/>
        <v>125715.92</v>
      </c>
      <c r="R117" s="143">
        <v>125715.92</v>
      </c>
      <c r="S117" s="146">
        <v>422.93</v>
      </c>
      <c r="T117" s="144">
        <v>2130</v>
      </c>
      <c r="V117" s="143">
        <f t="shared" si="24"/>
        <v>3383.28</v>
      </c>
      <c r="W117" s="143">
        <v>3383.28</v>
      </c>
      <c r="X117" s="132">
        <f aca="true" t="shared" si="27" ref="X117:X123">10.64/(0.003131*360)</f>
        <v>9.439653642783634</v>
      </c>
      <c r="Y117" s="131">
        <v>45</v>
      </c>
      <c r="AA117" s="143">
        <f t="shared" si="26"/>
        <v>11216</v>
      </c>
      <c r="AB117" s="143">
        <v>11216</v>
      </c>
      <c r="AC117" s="131">
        <v>40</v>
      </c>
      <c r="AF117" s="135">
        <f t="shared" si="14"/>
        <v>859230.7999999999</v>
      </c>
    </row>
    <row r="118" spans="1:32" ht="12.75">
      <c r="A118" s="141">
        <v>40695</v>
      </c>
      <c r="B118" s="143">
        <v>15886340</v>
      </c>
      <c r="D118" s="143">
        <f t="shared" si="20"/>
        <v>4603337.8</v>
      </c>
      <c r="E118" s="143">
        <v>4603337.8</v>
      </c>
      <c r="F118" s="131">
        <v>7880</v>
      </c>
      <c r="H118" s="143">
        <f t="shared" si="21"/>
        <v>3172369.81</v>
      </c>
      <c r="I118" s="143">
        <v>3172369.81</v>
      </c>
      <c r="J118" s="131">
        <v>1568</v>
      </c>
      <c r="L118" s="143">
        <f t="shared" si="22"/>
        <v>6724924.5</v>
      </c>
      <c r="M118" s="143">
        <f>80920+4154048.33+2489956.17</f>
        <v>6724924.5</v>
      </c>
      <c r="N118" s="143">
        <f>367.34+11169.91+5297.99</f>
        <v>16835.239999999998</v>
      </c>
      <c r="O118" s="131">
        <f>2+93+6</f>
        <v>101</v>
      </c>
      <c r="Q118" s="143">
        <f t="shared" si="23"/>
        <v>114296.83</v>
      </c>
      <c r="R118" s="143">
        <v>114296.83</v>
      </c>
      <c r="S118" s="146">
        <v>422.93</v>
      </c>
      <c r="T118" s="144">
        <v>2130</v>
      </c>
      <c r="V118" s="143">
        <f t="shared" si="24"/>
        <v>3383.28</v>
      </c>
      <c r="W118" s="143">
        <v>3383.28</v>
      </c>
      <c r="X118" s="132">
        <f t="shared" si="27"/>
        <v>9.439653642783634</v>
      </c>
      <c r="Y118" s="131">
        <v>45</v>
      </c>
      <c r="AA118" s="143">
        <f t="shared" si="26"/>
        <v>10917</v>
      </c>
      <c r="AB118" s="143">
        <v>10917</v>
      </c>
      <c r="AC118" s="131">
        <v>40</v>
      </c>
      <c r="AF118" s="135">
        <f t="shared" si="14"/>
        <v>1257110.7799999986</v>
      </c>
    </row>
    <row r="119" spans="1:32" ht="12.75">
      <c r="A119" s="141">
        <v>40725</v>
      </c>
      <c r="B119" s="143">
        <v>17258128</v>
      </c>
      <c r="D119" s="143">
        <f t="shared" si="20"/>
        <v>5532918.12</v>
      </c>
      <c r="E119" s="143">
        <v>5532918.12</v>
      </c>
      <c r="F119" s="131">
        <v>7883</v>
      </c>
      <c r="H119" s="143">
        <f t="shared" si="21"/>
        <v>3772352.37</v>
      </c>
      <c r="I119" s="143">
        <v>3772352.37</v>
      </c>
      <c r="J119" s="131">
        <v>1561</v>
      </c>
      <c r="L119" s="143">
        <f t="shared" si="22"/>
        <v>7711766.640000001</v>
      </c>
      <c r="M119" s="143">
        <f>4916756.17+2795010.47</f>
        <v>7711766.640000001</v>
      </c>
      <c r="N119" s="143">
        <f>12147.49+6250.04</f>
        <v>18397.53</v>
      </c>
      <c r="O119" s="131">
        <f>2+93+6</f>
        <v>101</v>
      </c>
      <c r="Q119" s="143">
        <f t="shared" si="23"/>
        <v>120746.45</v>
      </c>
      <c r="R119" s="143">
        <v>120746.45</v>
      </c>
      <c r="S119" s="146">
        <v>422.93</v>
      </c>
      <c r="T119" s="144">
        <v>2130</v>
      </c>
      <c r="V119" s="143">
        <f t="shared" si="24"/>
        <v>3383.28</v>
      </c>
      <c r="W119" s="143">
        <v>3383.28</v>
      </c>
      <c r="X119" s="132">
        <f t="shared" si="27"/>
        <v>9.439653642783634</v>
      </c>
      <c r="Y119" s="131">
        <v>45</v>
      </c>
      <c r="AA119" s="143">
        <f t="shared" si="26"/>
        <v>11515</v>
      </c>
      <c r="AB119" s="143">
        <v>11515</v>
      </c>
      <c r="AC119" s="131">
        <v>39</v>
      </c>
      <c r="AF119" s="135">
        <f t="shared" si="14"/>
        <v>105446.13999999825</v>
      </c>
    </row>
    <row r="120" spans="1:32" ht="12.75">
      <c r="A120" s="141">
        <v>40756</v>
      </c>
      <c r="B120" s="143">
        <v>18380514</v>
      </c>
      <c r="D120" s="143">
        <f t="shared" si="20"/>
        <v>5050407.81</v>
      </c>
      <c r="E120" s="143">
        <v>5050407.81</v>
      </c>
      <c r="F120" s="131">
        <v>7906</v>
      </c>
      <c r="H120" s="143">
        <f t="shared" si="21"/>
        <v>3507767.38</v>
      </c>
      <c r="I120" s="143">
        <v>3507767.38</v>
      </c>
      <c r="J120" s="131">
        <v>1560</v>
      </c>
      <c r="L120" s="143">
        <f t="shared" si="22"/>
        <v>7368943.859999999</v>
      </c>
      <c r="M120" s="143">
        <f>4668343.6+2700600.26</f>
        <v>7368943.859999999</v>
      </c>
      <c r="N120" s="143">
        <f>11156.44+5573.05</f>
        <v>16729.49</v>
      </c>
      <c r="O120" s="131">
        <f>95+6</f>
        <v>101</v>
      </c>
      <c r="Q120" s="143">
        <f t="shared" si="23"/>
        <v>135337.5</v>
      </c>
      <c r="R120" s="143">
        <v>135337.5</v>
      </c>
      <c r="S120" s="146">
        <v>422.93</v>
      </c>
      <c r="T120" s="144">
        <v>2130</v>
      </c>
      <c r="V120" s="143">
        <f t="shared" si="24"/>
        <v>3383.28</v>
      </c>
      <c r="W120" s="143">
        <v>3383.28</v>
      </c>
      <c r="X120" s="132">
        <f t="shared" si="27"/>
        <v>9.439653642783634</v>
      </c>
      <c r="Y120" s="131">
        <v>45</v>
      </c>
      <c r="AA120" s="143">
        <f t="shared" si="26"/>
        <v>11147</v>
      </c>
      <c r="AB120" s="143">
        <v>11147</v>
      </c>
      <c r="AC120" s="131">
        <v>39</v>
      </c>
      <c r="AF120" s="135">
        <f t="shared" si="14"/>
        <v>2303527.170000003</v>
      </c>
    </row>
    <row r="121" spans="1:32" ht="12.75">
      <c r="A121" s="141">
        <v>40787</v>
      </c>
      <c r="B121" s="143">
        <v>16097698</v>
      </c>
      <c r="D121" s="143">
        <f t="shared" si="20"/>
        <v>4697885</v>
      </c>
      <c r="E121" s="143">
        <v>4697885</v>
      </c>
      <c r="F121" s="131">
        <v>7912</v>
      </c>
      <c r="H121" s="143">
        <f t="shared" si="21"/>
        <v>3061047.88</v>
      </c>
      <c r="I121" s="143">
        <v>3061047.88</v>
      </c>
      <c r="J121" s="131">
        <v>1561</v>
      </c>
      <c r="L121" s="143">
        <f t="shared" si="22"/>
        <v>7187659</v>
      </c>
      <c r="M121" s="143">
        <f>11520+4385774+2790365</f>
        <v>7187659</v>
      </c>
      <c r="N121" s="143">
        <f>277.2+11771.69+6091.55</f>
        <v>18140.440000000002</v>
      </c>
      <c r="O121" s="131">
        <f>1+94+6</f>
        <v>101</v>
      </c>
      <c r="Q121" s="143">
        <f t="shared" si="23"/>
        <v>148659.87</v>
      </c>
      <c r="R121" s="143">
        <v>148659.87</v>
      </c>
      <c r="S121" s="146">
        <v>422.93</v>
      </c>
      <c r="T121" s="144">
        <v>2130</v>
      </c>
      <c r="V121" s="143">
        <f t="shared" si="24"/>
        <v>3383.28</v>
      </c>
      <c r="W121" s="143">
        <v>3383.28</v>
      </c>
      <c r="X121" s="132">
        <f t="shared" si="27"/>
        <v>9.439653642783634</v>
      </c>
      <c r="Y121" s="131">
        <v>45</v>
      </c>
      <c r="AA121" s="143">
        <f t="shared" si="26"/>
        <v>11147</v>
      </c>
      <c r="AB121" s="143">
        <v>11147</v>
      </c>
      <c r="AC121" s="131">
        <v>39</v>
      </c>
      <c r="AF121" s="135">
        <f t="shared" si="14"/>
        <v>987915.9700000001</v>
      </c>
    </row>
    <row r="122" spans="1:32" ht="12.75">
      <c r="A122" s="141">
        <v>40817</v>
      </c>
      <c r="B122" s="143">
        <v>16772439</v>
      </c>
      <c r="D122" s="143">
        <f t="shared" si="20"/>
        <v>5603120.95</v>
      </c>
      <c r="E122" s="143">
        <v>5603120.95</v>
      </c>
      <c r="F122" s="131">
        <v>7924</v>
      </c>
      <c r="H122" s="143">
        <f t="shared" si="21"/>
        <v>3145807.11</v>
      </c>
      <c r="I122" s="143">
        <v>3145807.11</v>
      </c>
      <c r="J122" s="131">
        <v>1564</v>
      </c>
      <c r="L122" s="143">
        <f t="shared" si="22"/>
        <v>7019453.25</v>
      </c>
      <c r="M122" s="143">
        <f>4301586.95+2717866.3</f>
        <v>7019453.25</v>
      </c>
      <c r="N122" s="143">
        <f>11175.39+6018.53</f>
        <v>17193.92</v>
      </c>
      <c r="O122" s="131">
        <f>95+6</f>
        <v>101</v>
      </c>
      <c r="Q122" s="143">
        <f t="shared" si="23"/>
        <v>172872.55</v>
      </c>
      <c r="R122" s="143">
        <v>172872.55</v>
      </c>
      <c r="S122" s="146">
        <v>422.93</v>
      </c>
      <c r="T122" s="144">
        <v>2130</v>
      </c>
      <c r="V122" s="143">
        <f t="shared" si="24"/>
        <v>3383.28</v>
      </c>
      <c r="W122" s="143">
        <v>3383.28</v>
      </c>
      <c r="X122" s="132">
        <f t="shared" si="27"/>
        <v>9.439653642783634</v>
      </c>
      <c r="Y122" s="131">
        <v>45</v>
      </c>
      <c r="AA122" s="143">
        <f t="shared" si="26"/>
        <v>10355</v>
      </c>
      <c r="AB122" s="143">
        <v>10355</v>
      </c>
      <c r="AC122" s="131">
        <v>39</v>
      </c>
      <c r="AF122" s="135">
        <f t="shared" si="14"/>
        <v>817446.8600000013</v>
      </c>
    </row>
    <row r="123" spans="1:32" ht="12.75">
      <c r="A123" s="141">
        <v>40848</v>
      </c>
      <c r="B123" s="143">
        <v>18043769</v>
      </c>
      <c r="D123" s="143">
        <f t="shared" si="20"/>
        <v>6479516.26</v>
      </c>
      <c r="E123" s="143">
        <v>6479516.26</v>
      </c>
      <c r="F123" s="131">
        <v>7930</v>
      </c>
      <c r="H123" s="143">
        <f t="shared" si="21"/>
        <v>3347026.4</v>
      </c>
      <c r="I123" s="143">
        <v>3347026.4</v>
      </c>
      <c r="J123" s="131">
        <v>1567</v>
      </c>
      <c r="L123" s="143">
        <f t="shared" si="22"/>
        <v>7176663.26</v>
      </c>
      <c r="M123" s="143">
        <f>4508049.76+2668613.5</f>
        <v>7176663.26</v>
      </c>
      <c r="N123" s="143">
        <f>11140.52+6098.76</f>
        <v>17239.28</v>
      </c>
      <c r="O123" s="131">
        <f>95+6</f>
        <v>101</v>
      </c>
      <c r="Q123" s="143">
        <f t="shared" si="23"/>
        <v>184397.32</v>
      </c>
      <c r="R123" s="143">
        <v>184397.32</v>
      </c>
      <c r="S123" s="146">
        <v>422.93</v>
      </c>
      <c r="T123" s="144">
        <v>2130</v>
      </c>
      <c r="V123" s="143">
        <f t="shared" si="24"/>
        <v>3383.28</v>
      </c>
      <c r="W123" s="143">
        <v>3383.28</v>
      </c>
      <c r="X123" s="132">
        <f t="shared" si="27"/>
        <v>9.439653642783634</v>
      </c>
      <c r="Y123" s="131">
        <v>45</v>
      </c>
      <c r="AA123" s="143">
        <f t="shared" si="26"/>
        <v>11147</v>
      </c>
      <c r="AB123" s="143">
        <v>11147</v>
      </c>
      <c r="AC123" s="131">
        <v>38</v>
      </c>
      <c r="AF123" s="135">
        <f t="shared" si="14"/>
        <v>841635.48</v>
      </c>
    </row>
    <row r="124" spans="1:32" ht="12.75">
      <c r="A124" s="141">
        <v>40878</v>
      </c>
      <c r="B124" s="143">
        <v>20999780</v>
      </c>
      <c r="D124" s="143">
        <f t="shared" si="20"/>
        <v>8257913</v>
      </c>
      <c r="E124" s="143">
        <v>8257913</v>
      </c>
      <c r="F124" s="131">
        <v>7933</v>
      </c>
      <c r="H124" s="143">
        <f t="shared" si="21"/>
        <v>3980285</v>
      </c>
      <c r="I124" s="143">
        <v>3980285</v>
      </c>
      <c r="J124" s="131">
        <v>1569</v>
      </c>
      <c r="L124" s="143">
        <f t="shared" si="22"/>
        <v>6716088</v>
      </c>
      <c r="M124" s="143">
        <f>4646670+2069418</f>
        <v>6716088</v>
      </c>
      <c r="N124" s="143">
        <f>11001+5509</f>
        <v>16510</v>
      </c>
      <c r="O124" s="131">
        <f>95+6</f>
        <v>101</v>
      </c>
      <c r="Q124" s="143">
        <f t="shared" si="23"/>
        <v>199094</v>
      </c>
      <c r="R124" s="143">
        <v>199094</v>
      </c>
      <c r="S124" s="143">
        <v>423</v>
      </c>
      <c r="T124" s="144">
        <v>2130</v>
      </c>
      <c r="V124" s="143">
        <f t="shared" si="24"/>
        <v>3115</v>
      </c>
      <c r="W124" s="143">
        <v>3115</v>
      </c>
      <c r="X124" s="132">
        <f>10.33/(0.003131*360)</f>
        <v>9.16462614003336</v>
      </c>
      <c r="Y124" s="131">
        <v>45</v>
      </c>
      <c r="AA124" s="143">
        <f t="shared" si="26"/>
        <v>10355</v>
      </c>
      <c r="AB124" s="143">
        <v>10355</v>
      </c>
      <c r="AC124" s="131">
        <v>38</v>
      </c>
      <c r="AF124" s="135">
        <f t="shared" si="14"/>
        <v>1832930</v>
      </c>
    </row>
    <row r="125" ht="12.75">
      <c r="S125" s="146"/>
    </row>
    <row r="126" spans="1:32" ht="12.75">
      <c r="A126" s="131" t="s">
        <v>10</v>
      </c>
      <c r="B126" s="143">
        <f>SUM(B5:B125)</f>
        <v>2325064842</v>
      </c>
      <c r="D126" s="143">
        <f>SUM(D5:D125)</f>
        <v>800242602.8599999</v>
      </c>
      <c r="E126" s="143">
        <f>SUM(E5:E125)</f>
        <v>799488605.9399999</v>
      </c>
      <c r="H126" s="143">
        <f>SUM(H5:H125)</f>
        <v>453995764.64850396</v>
      </c>
      <c r="I126" s="143">
        <f>SUM(I5:I125)</f>
        <v>453533876.792731</v>
      </c>
      <c r="L126" s="143">
        <f>SUM(L5:L125)</f>
        <v>877560487.79</v>
      </c>
      <c r="M126" s="143">
        <f>SUM(M5:M125)</f>
        <v>877301208.23</v>
      </c>
      <c r="N126" s="143">
        <f>SUM(N5:N125)</f>
        <v>2175994.3500000006</v>
      </c>
      <c r="Q126" s="143">
        <f>SUM(Q5:Q125)</f>
        <v>18722597.74</v>
      </c>
      <c r="R126" s="143">
        <f>SUM(R5:R125)</f>
        <v>18722596.75</v>
      </c>
      <c r="S126" s="143">
        <f>SUM(S5:S125)</f>
        <v>51243.04000000002</v>
      </c>
      <c r="V126" s="143">
        <f>SUM(V5:V125)</f>
        <v>412974.84000000043</v>
      </c>
      <c r="W126" s="143">
        <f>SUM(W5:W125)</f>
        <v>412600.8600000011</v>
      </c>
      <c r="X126" s="132">
        <f>SUM(X5:X125)</f>
        <v>1147.6580719381657</v>
      </c>
      <c r="AA126" s="143">
        <f>SUM(AA5:AA125)</f>
        <v>2360721.301495972</v>
      </c>
      <c r="AB126" s="143">
        <f>SUM(AB5:AB125)</f>
        <v>2357783.157268892</v>
      </c>
      <c r="AF126" s="135">
        <f>SUM(AF5:AF125)</f>
        <v>173248170.26999998</v>
      </c>
    </row>
    <row r="127" spans="1:32" s="149" customFormat="1" ht="11.25">
      <c r="A127" s="149" t="s">
        <v>165</v>
      </c>
      <c r="B127" s="135">
        <f>221759892+221209084+225969774+233194448+230101606+229437606+236047561+242100886+246525601+238718385</f>
        <v>2325064843</v>
      </c>
      <c r="D127" s="135">
        <f>37479176+78169629+79398441+80889262+80642283+30307748+286988049+111630586+6479516.26+8257913</f>
        <v>800242603.26</v>
      </c>
      <c r="E127" s="135">
        <f>-7636701+72495806+86696349+80665379+82285609+78930880+78209625+81016767+80315658+79160933+72610871.78+6479516.26+8257913</f>
        <v>799488606.04</v>
      </c>
      <c r="H127" s="135">
        <f>23168673+45481306+46091929+45412233+43415771+14758100+164756364+63584073+3347026.4+3980285</f>
        <v>453995760.4</v>
      </c>
      <c r="I127" s="135">
        <f>-3819382-1257870+43958355+49705336+46760773+47741454+45753090+45535465+45748643+43448406+42864332+39767963.55+3347026.4+3980285</f>
        <v>453533876.95</v>
      </c>
      <c r="L127" s="135">
        <f>45427483+90034005+90911557+90745866+84055244+26438462+310181768+125873350+7176663.26+4646670+2069418</f>
        <v>877560486.26</v>
      </c>
      <c r="M127" s="135">
        <f>-6419170+36606016+13000496+34958238+34974477.8+18372350.45+36952464.75+30768238+20950206+37694870+30810517.4+21864154.1+37341263.5+31912379.2+21200186.15+38374648.88+32309556+21279721+36134498+30505739.2+26898763+33436988+29590080+24942201+30011258+30428995+24397333+27605100+12756813.97+36838147.06+26911929.82+7176663.26+(4646670+2069418)</f>
        <v>877301210.5400001</v>
      </c>
      <c r="N127" s="135">
        <f>84885.7+30132.29+70264.86+104527.3+41152.49+79720.37+94335.73+47602.9+80949.94+93168.46+46456.54+79885.86+93505.18+50146.42+85427.99+101045.35+50603.25+82652.21+88568.58+64391.33+73902.72+87520.78+55589.7+66569.65+87551.87+53916.37+62580.09+34524.77+90502.61+60164.18+17239+(11001+5509)</f>
        <v>2175994.4900000007</v>
      </c>
      <c r="Q127" s="135">
        <f>975677+1885255+1884914+1872293+1870098+668972+6494172+2687727+184397.32+199094</f>
        <v>18722599.32</v>
      </c>
      <c r="R127" s="135">
        <f>-153756+1767648+1877579+1891354+1884913.8+1885255.2+1884913.81+1875310.05+1870097.57+1870097.57+1685695.9+184397.32+199094</f>
        <v>18722600.220000003</v>
      </c>
      <c r="S127" s="135">
        <f>4716.64+5151.2+5152+5152.08+5153.16+5152.08+5117.44+5075.16+5075.16+4652.23+423+423</f>
        <v>51243.149999999994</v>
      </c>
      <c r="V127" s="135">
        <f>21061+41333+40099+39860+40504+13687+148954+60979+3383.28+3115</f>
        <v>412975.28</v>
      </c>
      <c r="W127" s="135">
        <f>-3385+40663+45067+42900+40993.32+41347.62+40131.36+39890.76+40601.64+40686.84+37208.52+3383.28+3115</f>
        <v>412603.3400000001</v>
      </c>
      <c r="X127" s="150">
        <f>117+172.3/(0.00392*360)+168.76/(0.00392*360)+161.26/(0.00392*360)+162.66/(0.00392*360)+157.88/(0.00392*360)+68.93/(0.00392*360)+83.08/(0.00372*360)+91.83/(0.00372*360)+48.98/(0.0031*360)+55.36/(0.0031*360)+74.41/(0.00327*360)+55.31/(0.00327*360)+63.84/(0.00313*360)+10.33/(0.00313*360)</f>
        <v>1149.0570585935207</v>
      </c>
      <c r="AA127" s="135">
        <f>135804+271066+252562+206727+166421+51688+1054502+200449+11147+10355</f>
        <v>2360721</v>
      </c>
      <c r="AB127" s="135">
        <f>(1257870)+180704+255495+209969+167164+143422+121657+11147+10355</f>
        <v>2357783</v>
      </c>
      <c r="AF127" s="135"/>
    </row>
    <row r="128" spans="1:32" s="149" customFormat="1" ht="11.25">
      <c r="A128" s="149" t="s">
        <v>42</v>
      </c>
      <c r="B128" s="151">
        <f>+B126-B127</f>
        <v>-1</v>
      </c>
      <c r="D128" s="151">
        <f>+D126-D127</f>
        <v>-0.40000009536743164</v>
      </c>
      <c r="E128" s="151">
        <f>+E126-E127</f>
        <v>-0.10000002384185791</v>
      </c>
      <c r="H128" s="151">
        <f>+H126-H127</f>
        <v>4.2485039830207825</v>
      </c>
      <c r="I128" s="151">
        <f>+I126-I127</f>
        <v>-0.15726900100708008</v>
      </c>
      <c r="L128" s="151">
        <f>+L126-L127</f>
        <v>1.5299999713897705</v>
      </c>
      <c r="M128" s="151">
        <f>+M126-M127</f>
        <v>-2.3100000619888306</v>
      </c>
      <c r="N128" s="151">
        <f>+N126-N127</f>
        <v>-0.14000000013038516</v>
      </c>
      <c r="Q128" s="151">
        <f>+Q126-Q127</f>
        <v>-1.580000001937151</v>
      </c>
      <c r="R128" s="151">
        <f>+R126-R127</f>
        <v>-3.4700000025331974</v>
      </c>
      <c r="S128" s="151">
        <f>+S126-S127</f>
        <v>-0.10999999997147825</v>
      </c>
      <c r="V128" s="151">
        <f>+V126-V127</f>
        <v>-0.4399999995948747</v>
      </c>
      <c r="W128" s="151">
        <f>+W126-W127</f>
        <v>-2.4799999989918433</v>
      </c>
      <c r="X128" s="152">
        <f>+X126-X127</f>
        <v>-1.3989866553549746</v>
      </c>
      <c r="AA128" s="151">
        <f>+AA126-AA127</f>
        <v>0.30149597208946943</v>
      </c>
      <c r="AB128" s="151">
        <f>+AB126-AB127</f>
        <v>0.15726889204233885</v>
      </c>
      <c r="AF128" s="135"/>
    </row>
    <row r="129" spans="4:28" ht="12.75">
      <c r="D129" s="153"/>
      <c r="E129" s="154"/>
      <c r="H129" s="153"/>
      <c r="I129" s="154"/>
      <c r="L129" s="153"/>
      <c r="M129" s="154"/>
      <c r="Q129" s="153"/>
      <c r="R129" s="154"/>
      <c r="V129" s="153"/>
      <c r="W129" s="154"/>
      <c r="AA129" s="153" t="s">
        <v>166</v>
      </c>
      <c r="AB129" s="154"/>
    </row>
    <row r="130" spans="4:28" ht="12.75">
      <c r="D130" s="155" t="s">
        <v>167</v>
      </c>
      <c r="E130" s="154">
        <f>+D126-E126</f>
        <v>753996.9199999571</v>
      </c>
      <c r="H130" s="155" t="s">
        <v>167</v>
      </c>
      <c r="I130" s="154">
        <f>+H126-I126</f>
        <v>461887.8557729721</v>
      </c>
      <c r="L130" s="155" t="s">
        <v>167</v>
      </c>
      <c r="M130" s="154">
        <f>+L126-M126</f>
        <v>259279.55999994278</v>
      </c>
      <c r="Q130" s="155" t="s">
        <v>167</v>
      </c>
      <c r="R130" s="154">
        <f>+Q126-R126</f>
        <v>0.9899999983608723</v>
      </c>
      <c r="V130" s="155" t="s">
        <v>167</v>
      </c>
      <c r="W130" s="154">
        <f>+V126-W126</f>
        <v>373.9799999993411</v>
      </c>
      <c r="AA130" s="155" t="s">
        <v>167</v>
      </c>
      <c r="AB130" s="154">
        <f>+AA126-AB126</f>
        <v>2938.144227080047</v>
      </c>
    </row>
    <row r="131" spans="5:28" ht="12.75">
      <c r="E131" s="156">
        <f>+E130/E126</f>
        <v>0.000943099019045361</v>
      </c>
      <c r="I131" s="156">
        <f>+I130/I126</f>
        <v>0.0010184197463689332</v>
      </c>
      <c r="M131" s="156">
        <f>+M130/M126</f>
        <v>0.0002955422351726296</v>
      </c>
      <c r="R131" s="156">
        <f>+R130/R126</f>
        <v>5.287728041041488E-08</v>
      </c>
      <c r="W131" s="156">
        <f>+W130/W126</f>
        <v>0.0009063965596177867</v>
      </c>
      <c r="AB131" s="156">
        <f>+AB130/AB126</f>
        <v>0.0012461469232325033</v>
      </c>
    </row>
    <row r="132" spans="1:3" ht="12.75">
      <c r="A132" s="131" t="s">
        <v>168</v>
      </c>
      <c r="B132" s="143">
        <f>+B126</f>
        <v>2325064842</v>
      </c>
      <c r="C132" s="157"/>
    </row>
    <row r="133" spans="1:3" ht="12.75">
      <c r="A133" s="131" t="s">
        <v>169</v>
      </c>
      <c r="B133" s="143">
        <f>+E126+I126+M126+R126+W126+AB126</f>
        <v>2151816671.73</v>
      </c>
      <c r="C133" s="157"/>
    </row>
    <row r="134" spans="1:3" ht="12.75">
      <c r="A134" s="131" t="s">
        <v>170</v>
      </c>
      <c r="B134" s="143">
        <f>+B132-B133</f>
        <v>173248170.26999998</v>
      </c>
      <c r="C134" s="143"/>
    </row>
    <row r="135" spans="2:4" ht="12.75">
      <c r="B135" s="158">
        <f>+B134/B132</f>
        <v>0.07451326394879097</v>
      </c>
      <c r="C135" s="158"/>
      <c r="D135" s="158"/>
    </row>
  </sheetData>
  <sheetProtection/>
  <mergeCells count="6">
    <mergeCell ref="D2:F2"/>
    <mergeCell ref="H2:J2"/>
    <mergeCell ref="L2:N2"/>
    <mergeCell ref="Q2:T2"/>
    <mergeCell ref="V2:Y2"/>
    <mergeCell ref="AA2:AC2"/>
  </mergeCells>
  <printOptions/>
  <pageMargins left="0.31" right="0.19" top="0.57" bottom="0.71" header="0.5" footer="0.5"/>
  <pageSetup fitToHeight="3" fitToWidth="1" horizontalDpi="600" verticalDpi="600" orientation="landscape" paperSize="5" scale="48" r:id="rId3"/>
  <headerFooter alignWithMargins="0">
    <oddFooter>&amp;L&amp;Z&amp;F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18.8515625" style="0" customWidth="1"/>
    <col min="4" max="4" width="2.421875" style="0" customWidth="1"/>
    <col min="5" max="5" width="22.421875" style="0" bestFit="1" customWidth="1"/>
    <col min="6" max="6" width="13.28125" style="0" customWidth="1"/>
  </cols>
  <sheetData>
    <row r="1" ht="15.75">
      <c r="A1" s="43" t="str">
        <f>Summary!A1</f>
        <v>Lakeland Power Load Forecast for 2013 Rate Application</v>
      </c>
    </row>
    <row r="3" spans="2:5" ht="12.75">
      <c r="B3" s="83" t="s">
        <v>134</v>
      </c>
      <c r="E3" s="83" t="s">
        <v>69</v>
      </c>
    </row>
    <row r="4" spans="1:5" ht="12.75">
      <c r="A4" s="37" t="s">
        <v>24</v>
      </c>
      <c r="B4" s="87">
        <f>'Purchased Power Model '!N6</f>
        <v>0.8880584940390045</v>
      </c>
      <c r="E4" s="88">
        <f>Residential!L6</f>
        <v>0.9446695923790066</v>
      </c>
    </row>
    <row r="5" spans="1:5" ht="13.5" thickBot="1">
      <c r="A5" s="37" t="s">
        <v>25</v>
      </c>
      <c r="B5" s="87">
        <f>'Purchased Power Model '!N7</f>
        <v>0.8831487788652767</v>
      </c>
      <c r="E5" s="88">
        <f>Residential!L7</f>
        <v>0.9427450564617547</v>
      </c>
    </row>
    <row r="6" spans="1:7" ht="12.75">
      <c r="A6" s="53"/>
      <c r="B6" s="53" t="s">
        <v>37</v>
      </c>
      <c r="C6" s="53" t="s">
        <v>38</v>
      </c>
      <c r="E6" s="53"/>
      <c r="F6" s="53" t="s">
        <v>37</v>
      </c>
      <c r="G6" s="53" t="s">
        <v>38</v>
      </c>
    </row>
    <row r="7" spans="1:7" ht="12.75">
      <c r="A7" s="37" t="s">
        <v>31</v>
      </c>
      <c r="B7" s="57">
        <f>'Purchased Power Model '!N18</f>
        <v>2004347.2772178396</v>
      </c>
      <c r="C7" s="84">
        <f>'Purchased Power Model '!P18</f>
        <v>0.6315784126394491</v>
      </c>
      <c r="E7" s="37" t="s">
        <v>31</v>
      </c>
      <c r="F7" s="57">
        <f>Residential!L18</f>
        <v>780719.9076762404</v>
      </c>
      <c r="G7" s="84">
        <f>Residential!N18</f>
        <v>0.5234950533081484</v>
      </c>
    </row>
    <row r="8" spans="1:7" ht="12.75">
      <c r="A8" s="37" t="s">
        <v>3</v>
      </c>
      <c r="B8" s="57">
        <f>'Purchased Power Model '!N19</f>
        <v>8347.749354654969</v>
      </c>
      <c r="C8" s="84">
        <f>'Purchased Power Model '!P19</f>
        <v>18.623033289152808</v>
      </c>
      <c r="E8" s="37" t="s">
        <v>3</v>
      </c>
      <c r="F8" s="57">
        <f>Residential!L19</f>
        <v>6189.398101687769</v>
      </c>
      <c r="G8" s="84">
        <f>Residential!N19</f>
        <v>29.66958087152498</v>
      </c>
    </row>
    <row r="9" spans="1:7" ht="12.75">
      <c r="A9" s="37" t="s">
        <v>4</v>
      </c>
      <c r="B9" s="57">
        <f>'Purchased Power Model '!N20</f>
        <v>12771.035260376366</v>
      </c>
      <c r="C9" s="84">
        <f>'Purchased Power Model '!P20</f>
        <v>1.9712360189510216</v>
      </c>
      <c r="E9" s="37" t="s">
        <v>4</v>
      </c>
      <c r="F9" s="57">
        <f>Residential!L20</f>
        <v>8393.158462392395</v>
      </c>
      <c r="G9" s="84">
        <f>Residential!N20</f>
        <v>2.7806923294763246</v>
      </c>
    </row>
    <row r="10" spans="1:7" ht="12.75">
      <c r="A10" s="37" t="s">
        <v>5</v>
      </c>
      <c r="B10" s="57">
        <f>'Purchased Power Model '!N21</f>
        <v>500310.0803220967</v>
      </c>
      <c r="C10" s="84">
        <f>'Purchased Power Model '!P21</f>
        <v>4.751419523905791</v>
      </c>
      <c r="E10" s="37" t="s">
        <v>20</v>
      </c>
      <c r="F10" s="57">
        <f>Residential!L21</f>
        <v>-502947.06508022535</v>
      </c>
      <c r="G10" s="84">
        <f>Residential!N21</f>
        <v>-4.865711392893327</v>
      </c>
    </row>
    <row r="11" spans="1:7" ht="13.5" thickBot="1">
      <c r="A11" s="37" t="s">
        <v>20</v>
      </c>
      <c r="B11" s="57">
        <f>'Purchased Power Model '!N22</f>
        <v>-1348467.5180857508</v>
      </c>
      <c r="C11" s="84">
        <f>'Purchased Power Model '!P22</f>
        <v>-6.1113397202432</v>
      </c>
      <c r="E11" s="52" t="s">
        <v>5</v>
      </c>
      <c r="F11" s="58">
        <f>Residential!L22</f>
        <v>120326.00201555644</v>
      </c>
      <c r="G11" s="70">
        <f>Residential!N22</f>
        <v>2.432970187128556</v>
      </c>
    </row>
    <row r="12" spans="1:3" ht="13.5" thickBot="1">
      <c r="A12" s="52" t="s">
        <v>84</v>
      </c>
      <c r="B12" s="70">
        <f>'Purchased Power Model '!N23</f>
        <v>-6.355146899306883</v>
      </c>
      <c r="C12" s="70">
        <f>'Purchased Power Model '!P23</f>
        <v>-6.100100404561763</v>
      </c>
    </row>
    <row r="15" spans="2:5" ht="12.75">
      <c r="B15" s="83" t="s">
        <v>135</v>
      </c>
      <c r="E15" s="83" t="s">
        <v>136</v>
      </c>
    </row>
    <row r="16" spans="1:5" ht="12.75">
      <c r="A16" s="37" t="s">
        <v>24</v>
      </c>
      <c r="B16" s="88">
        <f>'GS &lt; 50 kW'!M6</f>
        <v>0.7937383734444361</v>
      </c>
      <c r="E16" s="88">
        <f>'GS &gt; 50 kW'!M6</f>
        <v>0.30622621021203417</v>
      </c>
    </row>
    <row r="17" spans="1:5" ht="13.5" thickBot="1">
      <c r="A17" s="37" t="s">
        <v>25</v>
      </c>
      <c r="B17" s="88">
        <f>'GS &lt; 50 kW'!M7</f>
        <v>0.7865640559990251</v>
      </c>
      <c r="C17" s="104"/>
      <c r="E17" s="88">
        <f>'GS &gt; 50 kW'!M7</f>
        <v>0.28209494795853973</v>
      </c>
    </row>
    <row r="18" spans="1:7" ht="12.75">
      <c r="A18" s="53"/>
      <c r="B18" s="53" t="s">
        <v>37</v>
      </c>
      <c r="C18" s="53" t="s">
        <v>38</v>
      </c>
      <c r="E18" s="53"/>
      <c r="F18" s="53" t="s">
        <v>37</v>
      </c>
      <c r="G18" s="53" t="s">
        <v>38</v>
      </c>
    </row>
    <row r="19" spans="1:7" ht="12.75">
      <c r="A19" s="37" t="str">
        <f>'GS &lt; 50 kW'!L18</f>
        <v>Intercept</v>
      </c>
      <c r="B19" s="57">
        <f>'GS &lt; 50 kW'!M18</f>
        <v>3321699.6661726693</v>
      </c>
      <c r="C19" s="84">
        <f>'GS &lt; 50 kW'!O18</f>
        <v>38.79080036427349</v>
      </c>
      <c r="E19" s="37" t="str">
        <f>'GS &gt; 50 kW'!L18</f>
        <v>Intercept</v>
      </c>
      <c r="F19" s="57">
        <f>'GS &gt; 50 kW'!M18</f>
        <v>3880096.133265687</v>
      </c>
      <c r="G19" s="55">
        <f>'GS &gt; 50 kW'!O18</f>
        <v>3.105123439626138</v>
      </c>
    </row>
    <row r="20" spans="1:7" ht="12.75">
      <c r="A20" s="37" t="str">
        <f>'GS &lt; 50 kW'!L19</f>
        <v>Heating Degree Days</v>
      </c>
      <c r="B20" s="57">
        <f>'GS &lt; 50 kW'!M19</f>
        <v>1498.6457919281006</v>
      </c>
      <c r="C20" s="84">
        <f>'GS &lt; 50 kW'!O19</f>
        <v>13.735982616989483</v>
      </c>
      <c r="E20" s="37" t="str">
        <f>'GS &gt; 50 kW'!L19</f>
        <v>Heating Degree Days</v>
      </c>
      <c r="F20" s="57">
        <f>'GS &gt; 50 kW'!M19</f>
        <v>434.50527097761176</v>
      </c>
      <c r="G20" s="55">
        <f>'GS &gt; 50 kW'!O19</f>
        <v>2.8801865954624706</v>
      </c>
    </row>
    <row r="21" spans="1:7" ht="12.75">
      <c r="A21" s="37" t="str">
        <f>'GS &lt; 50 kW'!L20</f>
        <v>Cooling Degree Days</v>
      </c>
      <c r="B21" s="57">
        <f>'GS &lt; 50 kW'!M20</f>
        <v>9898.769916038587</v>
      </c>
      <c r="C21" s="84">
        <f>'GS &lt; 50 kW'!O20</f>
        <v>6.412800612526978</v>
      </c>
      <c r="E21" s="37" t="str">
        <f>'GS &gt; 50 kW'!L20</f>
        <v>Cooling Degree Days</v>
      </c>
      <c r="F21" s="57">
        <f>'GS &gt; 50 kW'!M20</f>
        <v>7933.1974021141</v>
      </c>
      <c r="G21" s="55">
        <f>'GS &gt; 50 kW'!O20</f>
        <v>4.077771966528982</v>
      </c>
    </row>
    <row r="22" spans="1:7" ht="12.75">
      <c r="A22" s="37" t="str">
        <f>'GS &lt; 50 kW'!L21</f>
        <v>Spring Fall Flag</v>
      </c>
      <c r="B22" s="57">
        <f>'GS &lt; 50 kW'!M21</f>
        <v>-253707.50308078033</v>
      </c>
      <c r="C22" s="84">
        <f>'GS &lt; 50 kW'!O21</f>
        <v>-4.803930635443556</v>
      </c>
      <c r="E22" s="37" t="str">
        <f>'GS &gt; 50 kW'!L21</f>
        <v>Number of Days in Month</v>
      </c>
      <c r="F22" s="57">
        <f>'GS &gt; 50 kW'!M21</f>
        <v>109060.07403793804</v>
      </c>
      <c r="G22" s="55">
        <f>'GS &gt; 50 kW'!O21</f>
        <v>2.6629996617797973</v>
      </c>
    </row>
    <row r="23" spans="1:7" ht="13.5" thickBot="1">
      <c r="A23" s="52" t="str">
        <f>'GS &lt; 50 kW'!L22</f>
        <v>CDM Activity</v>
      </c>
      <c r="B23" s="70">
        <f>'GS &lt; 50 kW'!M22</f>
        <v>-1.3509596242106958</v>
      </c>
      <c r="C23" s="70">
        <f>'GS &lt; 50 kW'!O22</f>
        <v>-5.323648267857871</v>
      </c>
      <c r="E23" s="52" t="str">
        <f>'GS &gt; 50 kW'!L22</f>
        <v>CDM Activity</v>
      </c>
      <c r="F23" s="70">
        <f>'GS &gt; 50 kW'!M22</f>
        <v>-1.8413106886152635</v>
      </c>
      <c r="G23" s="56">
        <f>'GS &gt; 50 kW'!O22</f>
        <v>-4.476955028367407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0"/>
  <sheetViews>
    <sheetView zoomScale="80" zoomScaleNormal="80" zoomScalePageLayoutView="0" workbookViewId="0" topLeftCell="A1">
      <selection activeCell="B49" sqref="B49"/>
    </sheetView>
  </sheetViews>
  <sheetFormatPr defaultColWidth="9.140625" defaultRowHeight="12.75"/>
  <cols>
    <col min="1" max="1" width="11.8515625" style="0" customWidth="1"/>
    <col min="2" max="2" width="18.00390625" style="27" customWidth="1"/>
    <col min="3" max="3" width="11.7109375" style="23" customWidth="1"/>
    <col min="4" max="4" width="13.421875" style="23" customWidth="1"/>
    <col min="5" max="5" width="10.140625" style="1" customWidth="1"/>
    <col min="6" max="6" width="12.421875" style="1" customWidth="1"/>
    <col min="7" max="7" width="12.421875" style="23" customWidth="1"/>
    <col min="8" max="8" width="14.421875" style="23" hidden="1" customWidth="1"/>
    <col min="9" max="9" width="14.421875" style="36" hidden="1" customWidth="1"/>
    <col min="10" max="10" width="15.421875" style="1" bestFit="1" customWidth="1"/>
    <col min="11" max="11" width="17.00390625" style="1" customWidth="1"/>
    <col min="12" max="12" width="12.421875" style="1" customWidth="1"/>
    <col min="13" max="13" width="25.8515625" style="0" bestFit="1" customWidth="1"/>
    <col min="14" max="16" width="18.00390625" style="0" customWidth="1"/>
    <col min="17" max="17" width="17.140625" style="0" customWidth="1"/>
    <col min="18" max="19" width="15.7109375" style="0" customWidth="1"/>
    <col min="20" max="20" width="15.00390625" style="0" customWidth="1"/>
    <col min="21" max="21" width="22.421875" style="0" bestFit="1" customWidth="1"/>
    <col min="22" max="22" width="19.28125" style="0" bestFit="1" customWidth="1"/>
    <col min="23" max="23" width="19.140625" style="0" bestFit="1" customWidth="1"/>
    <col min="24" max="24" width="23.00390625" style="0" bestFit="1" customWidth="1"/>
    <col min="25" max="25" width="14.7109375" style="6" bestFit="1" customWidth="1"/>
    <col min="26" max="26" width="12.140625" style="6" bestFit="1" customWidth="1"/>
    <col min="27" max="27" width="11.57421875" style="6" customWidth="1"/>
    <col min="28" max="28" width="9.28125" style="6" customWidth="1"/>
    <col min="29" max="29" width="9.140625" style="6" customWidth="1"/>
    <col min="30" max="30" width="11.7109375" style="6" bestFit="1" customWidth="1"/>
    <col min="31" max="31" width="10.7109375" style="6" bestFit="1" customWidth="1"/>
    <col min="32" max="33" width="9.140625" style="6" customWidth="1"/>
  </cols>
  <sheetData>
    <row r="1" spans="1:9" ht="15.75">
      <c r="A1" s="43" t="str">
        <f>Summary!A1</f>
        <v>Lakeland Power Load Forecast for 2013 Rate Application</v>
      </c>
      <c r="H1" s="160" t="s">
        <v>107</v>
      </c>
      <c r="I1" s="160"/>
    </row>
    <row r="2" spans="2:27" ht="42" customHeight="1">
      <c r="B2" s="71" t="s">
        <v>0</v>
      </c>
      <c r="C2" s="72" t="s">
        <v>3</v>
      </c>
      <c r="D2" s="72" t="s">
        <v>4</v>
      </c>
      <c r="E2" s="12" t="s">
        <v>5</v>
      </c>
      <c r="F2" s="12" t="s">
        <v>20</v>
      </c>
      <c r="G2" s="72" t="s">
        <v>84</v>
      </c>
      <c r="H2" s="72" t="s">
        <v>88</v>
      </c>
      <c r="I2" s="75" t="s">
        <v>6</v>
      </c>
      <c r="J2" s="12" t="s">
        <v>11</v>
      </c>
      <c r="K2" s="12" t="s">
        <v>12</v>
      </c>
      <c r="L2" s="12" t="s">
        <v>13</v>
      </c>
      <c r="M2" t="s">
        <v>21</v>
      </c>
      <c r="Y2" s="9"/>
      <c r="Z2" s="9"/>
      <c r="AA2" s="9"/>
    </row>
    <row r="3" spans="1:33" s="16" customFormat="1" ht="13.5" thickBot="1">
      <c r="A3" s="14">
        <v>37275</v>
      </c>
      <c r="B3" s="27">
        <v>21908331</v>
      </c>
      <c r="C3" s="23">
        <v>695.8</v>
      </c>
      <c r="D3" s="23">
        <v>0</v>
      </c>
      <c r="E3" s="10">
        <v>31</v>
      </c>
      <c r="F3" s="10">
        <v>0</v>
      </c>
      <c r="G3" s="19">
        <v>0</v>
      </c>
      <c r="H3" s="19">
        <v>8646</v>
      </c>
      <c r="I3" s="36">
        <v>121.50450639216388</v>
      </c>
      <c r="J3" s="10">
        <f aca="true" t="shared" si="0" ref="J3:J34">$N$18+C3*$N$19+D3*$N$20+E3*$N$21+F3*$N$22+G3*$N$23</f>
        <v>23322323.768171765</v>
      </c>
      <c r="K3" s="10"/>
      <c r="L3" s="15"/>
      <c r="M3"/>
      <c r="N3"/>
      <c r="O3"/>
      <c r="P3"/>
      <c r="Q3"/>
      <c r="R3"/>
      <c r="S3"/>
      <c r="T3"/>
      <c r="U3"/>
      <c r="V3"/>
      <c r="W3"/>
      <c r="X3"/>
      <c r="Y3" s="11"/>
      <c r="Z3" s="11"/>
      <c r="AA3" s="11"/>
      <c r="AB3" s="11"/>
      <c r="AC3" s="11"/>
      <c r="AD3" s="11"/>
      <c r="AE3" s="11"/>
      <c r="AF3" s="11"/>
      <c r="AG3" s="11"/>
    </row>
    <row r="4" spans="1:14" ht="12.75">
      <c r="A4" s="3">
        <v>37308</v>
      </c>
      <c r="B4" s="27">
        <v>20148761</v>
      </c>
      <c r="C4" s="23">
        <v>664.9</v>
      </c>
      <c r="D4" s="23">
        <v>0</v>
      </c>
      <c r="E4" s="10">
        <v>28</v>
      </c>
      <c r="F4" s="10">
        <v>0</v>
      </c>
      <c r="G4" s="19">
        <v>0</v>
      </c>
      <c r="H4" s="19">
        <v>8639</v>
      </c>
      <c r="I4" s="36">
        <v>121.86371656989111</v>
      </c>
      <c r="J4" s="10">
        <f t="shared" si="0"/>
        <v>21563448.072146636</v>
      </c>
      <c r="K4" s="10"/>
      <c r="L4" s="15"/>
      <c r="M4" s="54" t="s">
        <v>22</v>
      </c>
      <c r="N4" s="54"/>
    </row>
    <row r="5" spans="1:14" ht="12.75">
      <c r="A5" s="3">
        <v>37341</v>
      </c>
      <c r="B5" s="27">
        <v>20969681</v>
      </c>
      <c r="C5" s="23">
        <v>674.7</v>
      </c>
      <c r="D5" s="23">
        <v>0</v>
      </c>
      <c r="E5" s="10">
        <v>31</v>
      </c>
      <c r="F5" s="10">
        <v>1</v>
      </c>
      <c r="G5" s="19">
        <v>0</v>
      </c>
      <c r="H5" s="19">
        <v>8642</v>
      </c>
      <c r="I5" s="36">
        <v>122.22398869960362</v>
      </c>
      <c r="J5" s="10">
        <f t="shared" si="0"/>
        <v>21797718.738702793</v>
      </c>
      <c r="K5" s="10"/>
      <c r="L5" s="15"/>
      <c r="M5" s="37" t="s">
        <v>23</v>
      </c>
      <c r="N5" s="59">
        <v>0.9423685553110336</v>
      </c>
    </row>
    <row r="6" spans="1:14" ht="12.75">
      <c r="A6" s="3">
        <v>37374</v>
      </c>
      <c r="B6" s="27">
        <v>17766701</v>
      </c>
      <c r="C6" s="23">
        <v>399.4</v>
      </c>
      <c r="D6" s="23">
        <v>4.5</v>
      </c>
      <c r="E6" s="10">
        <v>30</v>
      </c>
      <c r="F6" s="10">
        <v>1</v>
      </c>
      <c r="G6" s="19">
        <v>0</v>
      </c>
      <c r="H6" s="19">
        <v>8651</v>
      </c>
      <c r="I6" s="36">
        <v>122.58532592080604</v>
      </c>
      <c r="J6" s="10">
        <f t="shared" si="0"/>
        <v>19056742.919715878</v>
      </c>
      <c r="K6" s="10"/>
      <c r="L6" s="15"/>
      <c r="M6" s="37" t="s">
        <v>24</v>
      </c>
      <c r="N6" s="59">
        <v>0.8880584940390045</v>
      </c>
    </row>
    <row r="7" spans="1:14" ht="12.75">
      <c r="A7" s="3">
        <v>37407</v>
      </c>
      <c r="B7" s="27">
        <v>20825782</v>
      </c>
      <c r="C7" s="23">
        <v>285.9</v>
      </c>
      <c r="D7" s="23">
        <v>1.8</v>
      </c>
      <c r="E7" s="10">
        <v>31</v>
      </c>
      <c r="F7" s="10">
        <v>1</v>
      </c>
      <c r="G7" s="19">
        <v>0</v>
      </c>
      <c r="H7" s="19">
        <v>8660</v>
      </c>
      <c r="I7" s="36">
        <v>122.9477313822845</v>
      </c>
      <c r="J7" s="10">
        <f t="shared" si="0"/>
        <v>18575101.65308162</v>
      </c>
      <c r="K7" s="10"/>
      <c r="L7" s="15"/>
      <c r="M7" s="37" t="s">
        <v>25</v>
      </c>
      <c r="N7" s="59">
        <v>0.8831487788652767</v>
      </c>
    </row>
    <row r="8" spans="1:14" ht="12.75">
      <c r="A8" s="3">
        <v>37408</v>
      </c>
      <c r="B8" s="27">
        <v>18547738</v>
      </c>
      <c r="C8" s="23">
        <v>65</v>
      </c>
      <c r="D8" s="23">
        <v>39.3</v>
      </c>
      <c r="E8" s="10">
        <v>30</v>
      </c>
      <c r="F8" s="10">
        <v>0</v>
      </c>
      <c r="G8" s="19">
        <v>0</v>
      </c>
      <c r="H8" s="19">
        <v>8667</v>
      </c>
      <c r="I8" s="36">
        <v>123.31120824213403</v>
      </c>
      <c r="J8" s="10">
        <f t="shared" si="0"/>
        <v>18058155.080666102</v>
      </c>
      <c r="K8" s="10"/>
      <c r="L8" s="15"/>
      <c r="M8" s="37" t="s">
        <v>26</v>
      </c>
      <c r="N8" s="55">
        <v>911738.54199721</v>
      </c>
    </row>
    <row r="9" spans="1:14" ht="13.5" thickBot="1">
      <c r="A9" s="3">
        <v>37440</v>
      </c>
      <c r="B9" s="27">
        <v>17384899</v>
      </c>
      <c r="C9" s="23">
        <v>19.1</v>
      </c>
      <c r="D9" s="23">
        <v>79.2</v>
      </c>
      <c r="E9" s="10">
        <v>31</v>
      </c>
      <c r="F9" s="10">
        <v>0</v>
      </c>
      <c r="G9" s="19">
        <v>0</v>
      </c>
      <c r="H9" s="19">
        <v>8675</v>
      </c>
      <c r="I9" s="36">
        <v>123.67575966778612</v>
      </c>
      <c r="J9" s="10">
        <f t="shared" si="0"/>
        <v>18684867.772498555</v>
      </c>
      <c r="K9" s="10"/>
      <c r="L9" s="15"/>
      <c r="M9" s="52" t="s">
        <v>27</v>
      </c>
      <c r="N9" s="52">
        <v>120</v>
      </c>
    </row>
    <row r="10" spans="1:12" ht="12.75">
      <c r="A10" s="3">
        <v>37473</v>
      </c>
      <c r="B10" s="27">
        <v>18765385</v>
      </c>
      <c r="C10" s="23">
        <v>25.4</v>
      </c>
      <c r="D10" s="23">
        <v>46.8</v>
      </c>
      <c r="E10" s="10">
        <v>31</v>
      </c>
      <c r="F10" s="10">
        <v>0</v>
      </c>
      <c r="G10" s="19">
        <v>0</v>
      </c>
      <c r="H10" s="19">
        <v>8681</v>
      </c>
      <c r="I10" s="36">
        <v>124.04138883603632</v>
      </c>
      <c r="J10" s="10">
        <f t="shared" si="0"/>
        <v>18323677.050996687</v>
      </c>
      <c r="K10" s="10"/>
      <c r="L10" s="15"/>
    </row>
    <row r="11" spans="1:13" ht="13.5" thickBot="1">
      <c r="A11" s="3">
        <v>37506</v>
      </c>
      <c r="B11" s="27">
        <v>16411203</v>
      </c>
      <c r="C11" s="23">
        <v>78</v>
      </c>
      <c r="D11" s="23">
        <v>31.5</v>
      </c>
      <c r="E11" s="10">
        <v>30</v>
      </c>
      <c r="F11" s="10">
        <v>1</v>
      </c>
      <c r="G11" s="19">
        <v>0</v>
      </c>
      <c r="H11" s="19">
        <v>8693</v>
      </c>
      <c r="I11" s="36">
        <v>124.40809893307186</v>
      </c>
      <c r="J11" s="10">
        <f t="shared" si="0"/>
        <v>16718594.229159933</v>
      </c>
      <c r="K11" s="10"/>
      <c r="L11" s="15"/>
      <c r="M11" t="s">
        <v>28</v>
      </c>
    </row>
    <row r="12" spans="1:18" ht="12.75">
      <c r="A12" s="3">
        <v>37539</v>
      </c>
      <c r="B12" s="27">
        <v>18258351</v>
      </c>
      <c r="C12" s="23">
        <v>391.4</v>
      </c>
      <c r="D12" s="23">
        <v>2.2</v>
      </c>
      <c r="E12" s="10">
        <v>31</v>
      </c>
      <c r="F12" s="10">
        <v>1</v>
      </c>
      <c r="G12" s="19">
        <v>0</v>
      </c>
      <c r="H12" s="19">
        <v>8691</v>
      </c>
      <c r="I12" s="36">
        <v>124.7758931544995</v>
      </c>
      <c r="J12" s="10">
        <f t="shared" si="0"/>
        <v>19460897.62410187</v>
      </c>
      <c r="K12" s="10"/>
      <c r="L12" s="15"/>
      <c r="M12" s="53"/>
      <c r="N12" s="53" t="s">
        <v>32</v>
      </c>
      <c r="O12" s="53" t="s">
        <v>33</v>
      </c>
      <c r="P12" s="53" t="s">
        <v>34</v>
      </c>
      <c r="Q12" s="53" t="s">
        <v>35</v>
      </c>
      <c r="R12" s="53" t="s">
        <v>36</v>
      </c>
    </row>
    <row r="13" spans="1:18" ht="12.75">
      <c r="A13" s="3">
        <v>37572</v>
      </c>
      <c r="B13" s="27">
        <v>22294354</v>
      </c>
      <c r="C13" s="23">
        <v>561.6</v>
      </c>
      <c r="D13" s="23">
        <v>0</v>
      </c>
      <c r="E13" s="10">
        <v>30</v>
      </c>
      <c r="F13" s="10">
        <v>1</v>
      </c>
      <c r="G13" s="19">
        <v>0</v>
      </c>
      <c r="H13" s="19">
        <v>8707</v>
      </c>
      <c r="I13" s="36">
        <v>125.14477470537335</v>
      </c>
      <c r="J13" s="10">
        <f t="shared" si="0"/>
        <v>20353278.206369217</v>
      </c>
      <c r="K13" s="10"/>
      <c r="L13" s="15"/>
      <c r="M13" s="37" t="s">
        <v>29</v>
      </c>
      <c r="N13" s="37">
        <v>5</v>
      </c>
      <c r="O13" s="37">
        <v>751788896190702.9</v>
      </c>
      <c r="P13" s="37">
        <v>150357779238140.56</v>
      </c>
      <c r="Q13" s="37">
        <v>180.8778030120869</v>
      </c>
      <c r="R13" s="37">
        <v>1.7412868460370876E-52</v>
      </c>
    </row>
    <row r="14" spans="1:33" s="33" customFormat="1" ht="12.75">
      <c r="A14" s="32">
        <v>37605</v>
      </c>
      <c r="B14" s="27">
        <v>25437200</v>
      </c>
      <c r="C14" s="23">
        <v>753.7</v>
      </c>
      <c r="D14" s="23">
        <v>0</v>
      </c>
      <c r="E14" s="19">
        <v>31</v>
      </c>
      <c r="F14" s="19">
        <v>0</v>
      </c>
      <c r="G14" s="19">
        <v>0</v>
      </c>
      <c r="H14" s="19">
        <v>8728</v>
      </c>
      <c r="I14" s="36">
        <v>125.51474680022261</v>
      </c>
      <c r="J14" s="10">
        <f t="shared" si="0"/>
        <v>23805658.45580629</v>
      </c>
      <c r="K14" s="19"/>
      <c r="L14" s="31"/>
      <c r="M14" s="37" t="s">
        <v>30</v>
      </c>
      <c r="N14" s="37">
        <v>114</v>
      </c>
      <c r="O14" s="37">
        <v>94764457261804.61</v>
      </c>
      <c r="P14" s="37">
        <v>831267168963.1984</v>
      </c>
      <c r="Q14" s="37"/>
      <c r="R14" s="37"/>
      <c r="S14"/>
      <c r="T14"/>
      <c r="U14"/>
      <c r="V14"/>
      <c r="W14"/>
      <c r="X14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27" ht="13.5" thickBot="1">
      <c r="A15" s="3">
        <v>37622</v>
      </c>
      <c r="B15" s="27">
        <v>25188355</v>
      </c>
      <c r="C15" s="23">
        <v>990.4</v>
      </c>
      <c r="D15" s="23">
        <v>0</v>
      </c>
      <c r="E15" s="10">
        <v>31</v>
      </c>
      <c r="F15" s="10">
        <v>0</v>
      </c>
      <c r="G15" s="19">
        <v>0</v>
      </c>
      <c r="H15" s="19">
        <v>8728</v>
      </c>
      <c r="I15" s="36">
        <v>125.66024937363977</v>
      </c>
      <c r="J15" s="10">
        <f t="shared" si="0"/>
        <v>25781570.72805312</v>
      </c>
      <c r="K15" s="10"/>
      <c r="L15" s="15"/>
      <c r="M15" s="52" t="s">
        <v>10</v>
      </c>
      <c r="N15" s="52">
        <v>119</v>
      </c>
      <c r="O15" s="52">
        <v>846553353452507.5</v>
      </c>
      <c r="P15" s="52"/>
      <c r="Q15" s="52"/>
      <c r="R15" s="52"/>
      <c r="Y15" s="11"/>
      <c r="Z15" s="11"/>
      <c r="AA15" s="11"/>
    </row>
    <row r="16" spans="1:12" ht="13.5" thickBot="1">
      <c r="A16" s="3">
        <v>37653</v>
      </c>
      <c r="B16" s="27">
        <v>25190654</v>
      </c>
      <c r="C16" s="23">
        <v>857.5</v>
      </c>
      <c r="D16" s="23">
        <v>0</v>
      </c>
      <c r="E16" s="10">
        <v>28</v>
      </c>
      <c r="F16" s="10">
        <v>0</v>
      </c>
      <c r="G16" s="19">
        <v>0</v>
      </c>
      <c r="H16" s="19">
        <v>8756</v>
      </c>
      <c r="I16" s="36">
        <v>125.80592062045517</v>
      </c>
      <c r="J16" s="10">
        <f t="shared" si="0"/>
        <v>23171224.597853184</v>
      </c>
      <c r="K16" s="10"/>
      <c r="L16" s="15"/>
    </row>
    <row r="17" spans="1:21" ht="13.5" thickBot="1">
      <c r="A17" s="3">
        <v>37681</v>
      </c>
      <c r="B17" s="27">
        <v>21335052</v>
      </c>
      <c r="C17" s="23">
        <v>705</v>
      </c>
      <c r="D17" s="23">
        <v>0</v>
      </c>
      <c r="E17" s="10">
        <v>31</v>
      </c>
      <c r="F17" s="10">
        <v>1</v>
      </c>
      <c r="G17" s="19">
        <v>0</v>
      </c>
      <c r="H17" s="19">
        <v>8757</v>
      </c>
      <c r="I17" s="36">
        <v>125.9517607362029</v>
      </c>
      <c r="J17" s="10">
        <f t="shared" si="0"/>
        <v>22050655.54414884</v>
      </c>
      <c r="K17" s="10"/>
      <c r="L17" s="15"/>
      <c r="M17" s="53"/>
      <c r="N17" s="53" t="s">
        <v>37</v>
      </c>
      <c r="O17" s="53" t="s">
        <v>26</v>
      </c>
      <c r="P17" s="53" t="s">
        <v>38</v>
      </c>
      <c r="Q17" s="53" t="s">
        <v>39</v>
      </c>
      <c r="R17" s="53" t="s">
        <v>40</v>
      </c>
      <c r="S17" s="53" t="s">
        <v>41</v>
      </c>
      <c r="T17" s="53" t="s">
        <v>127</v>
      </c>
      <c r="U17" s="53" t="s">
        <v>128</v>
      </c>
    </row>
    <row r="18" spans="1:26" ht="12.75">
      <c r="A18" s="3">
        <v>37712</v>
      </c>
      <c r="B18" s="27">
        <v>20656713</v>
      </c>
      <c r="C18" s="23">
        <v>460.9</v>
      </c>
      <c r="D18" s="23">
        <v>0</v>
      </c>
      <c r="E18" s="10">
        <v>30</v>
      </c>
      <c r="F18" s="10">
        <v>1</v>
      </c>
      <c r="G18" s="19">
        <v>0</v>
      </c>
      <c r="H18" s="19">
        <v>8763</v>
      </c>
      <c r="I18" s="36">
        <v>126.09776991664374</v>
      </c>
      <c r="J18" s="10">
        <f t="shared" si="0"/>
        <v>19512659.846355464</v>
      </c>
      <c r="K18" s="10"/>
      <c r="L18" s="15"/>
      <c r="M18" s="37" t="s">
        <v>31</v>
      </c>
      <c r="N18" s="55">
        <v>2004347.2772178396</v>
      </c>
      <c r="O18" s="37">
        <v>3173552.542496519</v>
      </c>
      <c r="P18" s="55">
        <v>0.6315784126394491</v>
      </c>
      <c r="Q18" s="37">
        <v>0.5289268201328023</v>
      </c>
      <c r="R18" s="37">
        <v>-4282435.66330662</v>
      </c>
      <c r="S18" s="37">
        <v>8291130.217742299</v>
      </c>
      <c r="T18" s="37">
        <v>-4282435.66330662</v>
      </c>
      <c r="U18" s="37">
        <v>8291130.217742299</v>
      </c>
      <c r="V18" s="53" t="s">
        <v>3</v>
      </c>
      <c r="W18" s="53" t="s">
        <v>4</v>
      </c>
      <c r="X18" s="53" t="s">
        <v>5</v>
      </c>
      <c r="Y18" s="53" t="s">
        <v>20</v>
      </c>
      <c r="Z18" s="53" t="s">
        <v>84</v>
      </c>
    </row>
    <row r="19" spans="1:26" ht="12.75">
      <c r="A19" s="3">
        <v>37742</v>
      </c>
      <c r="B19" s="27">
        <v>17045418</v>
      </c>
      <c r="C19" s="23">
        <v>212.7</v>
      </c>
      <c r="D19" s="23">
        <v>0</v>
      </c>
      <c r="E19" s="10">
        <v>31</v>
      </c>
      <c r="F19" s="10">
        <v>1</v>
      </c>
      <c r="G19" s="19">
        <v>0</v>
      </c>
      <c r="H19" s="19">
        <v>8762</v>
      </c>
      <c r="I19" s="36">
        <v>126.2439483577654</v>
      </c>
      <c r="J19" s="10">
        <f t="shared" si="0"/>
        <v>17941058.5368522</v>
      </c>
      <c r="K19" s="10"/>
      <c r="L19" s="15"/>
      <c r="M19" s="37" t="s">
        <v>3</v>
      </c>
      <c r="N19" s="55">
        <v>8347.749354654969</v>
      </c>
      <c r="O19" s="37">
        <v>448.2486405432786</v>
      </c>
      <c r="P19" s="55">
        <v>18.623033289152808</v>
      </c>
      <c r="Q19" s="37">
        <v>2.2670426385277115E-36</v>
      </c>
      <c r="R19" s="37">
        <v>7459.772278887409</v>
      </c>
      <c r="S19" s="37">
        <v>9235.726430422528</v>
      </c>
      <c r="T19" s="37">
        <v>7459.772278887409</v>
      </c>
      <c r="U19" s="37">
        <v>9235.726430422528</v>
      </c>
      <c r="V19" s="59">
        <v>1</v>
      </c>
      <c r="W19" s="59"/>
      <c r="X19" s="59"/>
      <c r="Y19" s="59"/>
      <c r="Z19" s="59"/>
    </row>
    <row r="20" spans="1:26" ht="12.75">
      <c r="A20" s="3">
        <v>37773</v>
      </c>
      <c r="B20" s="27">
        <v>18202719</v>
      </c>
      <c r="C20" s="23">
        <v>74.8</v>
      </c>
      <c r="D20" s="23">
        <v>15.8</v>
      </c>
      <c r="E20" s="10">
        <v>30</v>
      </c>
      <c r="F20" s="10">
        <v>0</v>
      </c>
      <c r="G20" s="19">
        <v>0</v>
      </c>
      <c r="H20" s="19">
        <v>8770</v>
      </c>
      <c r="I20" s="36">
        <v>126.3902962557828</v>
      </c>
      <c r="J20" s="10">
        <f t="shared" si="0"/>
        <v>17839843.695722878</v>
      </c>
      <c r="K20" s="10"/>
      <c r="L20" s="15"/>
      <c r="M20" s="37" t="s">
        <v>4</v>
      </c>
      <c r="N20" s="55">
        <v>12771.035260376366</v>
      </c>
      <c r="O20" s="37">
        <v>6478.694148036305</v>
      </c>
      <c r="P20" s="55">
        <v>1.9712360189510216</v>
      </c>
      <c r="Q20" s="37">
        <v>0.05111994329323543</v>
      </c>
      <c r="R20" s="37">
        <v>-63.20753262600065</v>
      </c>
      <c r="S20" s="37">
        <v>25605.278053378734</v>
      </c>
      <c r="T20" s="37">
        <v>-63.20753262600065</v>
      </c>
      <c r="U20" s="37">
        <v>25605.278053378734</v>
      </c>
      <c r="V20" s="59">
        <v>-0.6618894229046219</v>
      </c>
      <c r="W20" s="59">
        <v>1</v>
      </c>
      <c r="X20" s="59"/>
      <c r="Y20" s="59"/>
      <c r="Z20" s="59"/>
    </row>
    <row r="21" spans="1:26" ht="12.75">
      <c r="A21" s="3">
        <v>37803</v>
      </c>
      <c r="B21" s="27">
        <v>19482800</v>
      </c>
      <c r="C21" s="23">
        <v>21.9</v>
      </c>
      <c r="D21" s="23">
        <v>39</v>
      </c>
      <c r="E21" s="10">
        <v>31</v>
      </c>
      <c r="F21" s="10">
        <v>0</v>
      </c>
      <c r="G21" s="19">
        <v>0</v>
      </c>
      <c r="H21" s="19">
        <v>8779</v>
      </c>
      <c r="I21" s="36">
        <v>126.5368138071383</v>
      </c>
      <c r="J21" s="10">
        <f t="shared" si="0"/>
        <v>18194845.85322446</v>
      </c>
      <c r="K21" s="10"/>
      <c r="L21" s="15"/>
      <c r="M21" s="37" t="s">
        <v>5</v>
      </c>
      <c r="N21" s="55">
        <v>500310.0803220967</v>
      </c>
      <c r="O21" s="37">
        <v>105296.97026433665</v>
      </c>
      <c r="P21" s="55">
        <v>4.751419523905791</v>
      </c>
      <c r="Q21" s="37">
        <v>5.935013854764464E-06</v>
      </c>
      <c r="R21" s="37">
        <v>291717.5999763994</v>
      </c>
      <c r="S21" s="37">
        <v>708902.560667794</v>
      </c>
      <c r="T21" s="37">
        <v>291717.5999763994</v>
      </c>
      <c r="U21" s="37">
        <v>708902.560667794</v>
      </c>
      <c r="V21" s="59">
        <v>-0.17989120546396703</v>
      </c>
      <c r="W21" s="59">
        <v>0.20485137233338688</v>
      </c>
      <c r="X21" s="59">
        <v>1</v>
      </c>
      <c r="Y21" s="59"/>
      <c r="Z21" s="59"/>
    </row>
    <row r="22" spans="1:26" ht="12.75">
      <c r="A22" s="3">
        <v>37834</v>
      </c>
      <c r="B22" s="27">
        <v>16908390</v>
      </c>
      <c r="C22" s="23">
        <v>27.4</v>
      </c>
      <c r="D22" s="23">
        <v>60.9</v>
      </c>
      <c r="E22" s="10">
        <v>31</v>
      </c>
      <c r="F22" s="10">
        <v>0</v>
      </c>
      <c r="G22" s="19">
        <v>0</v>
      </c>
      <c r="H22" s="19">
        <v>8781</v>
      </c>
      <c r="I22" s="36">
        <v>126.683501208502</v>
      </c>
      <c r="J22" s="10">
        <f t="shared" si="0"/>
        <v>18520444.146877304</v>
      </c>
      <c r="K22" s="10"/>
      <c r="L22" s="15"/>
      <c r="M22" s="37" t="s">
        <v>20</v>
      </c>
      <c r="N22" s="55">
        <v>-1348467.5180857508</v>
      </c>
      <c r="O22" s="37">
        <v>220650.06689434842</v>
      </c>
      <c r="P22" s="55">
        <v>-6.1113397202432</v>
      </c>
      <c r="Q22" s="37">
        <v>1.4139889817114957E-08</v>
      </c>
      <c r="R22" s="37">
        <v>-1785573.5870105547</v>
      </c>
      <c r="S22" s="37">
        <v>-911361.4491609468</v>
      </c>
      <c r="T22" s="37">
        <v>-1785573.5870105547</v>
      </c>
      <c r="U22" s="37">
        <v>-911361.4491609468</v>
      </c>
      <c r="V22" s="59">
        <v>-0.07243093204106013</v>
      </c>
      <c r="W22" s="59">
        <v>-0.4269497786806348</v>
      </c>
      <c r="X22" s="59">
        <v>0.08091133940627354</v>
      </c>
      <c r="Y22" s="59">
        <v>1</v>
      </c>
      <c r="Z22" s="59"/>
    </row>
    <row r="23" spans="1:26" ht="13.5" thickBot="1">
      <c r="A23" s="3">
        <v>37865</v>
      </c>
      <c r="B23" s="27">
        <v>16943197</v>
      </c>
      <c r="C23" s="23">
        <v>113.7</v>
      </c>
      <c r="D23" s="23">
        <v>5.6</v>
      </c>
      <c r="E23" s="10">
        <v>30</v>
      </c>
      <c r="F23" s="10">
        <v>1</v>
      </c>
      <c r="G23" s="19">
        <v>0</v>
      </c>
      <c r="H23" s="19">
        <v>8779</v>
      </c>
      <c r="I23" s="36">
        <v>126.83035865677196</v>
      </c>
      <c r="J23" s="10">
        <f t="shared" si="0"/>
        <v>16685839.067877367</v>
      </c>
      <c r="K23" s="10"/>
      <c r="L23" s="15"/>
      <c r="M23" s="52" t="s">
        <v>84</v>
      </c>
      <c r="N23" s="56">
        <v>-6.355146899306883</v>
      </c>
      <c r="O23" s="52">
        <v>1.041810212591647</v>
      </c>
      <c r="P23" s="56">
        <v>-6.100100404561763</v>
      </c>
      <c r="Q23" s="52">
        <v>1.490972512280162E-08</v>
      </c>
      <c r="R23" s="52">
        <v>-8.418964839637237</v>
      </c>
      <c r="S23" s="52">
        <v>-4.2913289589765276</v>
      </c>
      <c r="T23" s="52">
        <v>-8.418964839637237</v>
      </c>
      <c r="U23" s="52">
        <v>-4.2913289589765276</v>
      </c>
      <c r="V23" s="82">
        <v>-0.07216737863194325</v>
      </c>
      <c r="W23" s="82">
        <v>-0.028211882800709204</v>
      </c>
      <c r="X23" s="82">
        <v>0.022580781590381648</v>
      </c>
      <c r="Y23" s="82">
        <v>0.015502575186588461</v>
      </c>
      <c r="Z23" s="82">
        <v>1</v>
      </c>
    </row>
    <row r="24" spans="1:12" ht="12.75">
      <c r="A24" s="3">
        <v>37895</v>
      </c>
      <c r="B24" s="27">
        <v>20322953</v>
      </c>
      <c r="C24" s="23">
        <v>349.8</v>
      </c>
      <c r="D24" s="23">
        <v>0</v>
      </c>
      <c r="E24" s="10">
        <v>31</v>
      </c>
      <c r="F24" s="10">
        <v>1</v>
      </c>
      <c r="G24" s="19">
        <v>0</v>
      </c>
      <c r="H24" s="19">
        <v>8786</v>
      </c>
      <c r="I24" s="36">
        <v>126.97738634907456</v>
      </c>
      <c r="J24" s="10">
        <f t="shared" si="0"/>
        <v>19085534.973375395</v>
      </c>
      <c r="K24" s="10"/>
      <c r="L24" s="15"/>
    </row>
    <row r="25" spans="1:12" ht="12.75">
      <c r="A25" s="3">
        <v>37926</v>
      </c>
      <c r="B25" s="27">
        <v>20485648</v>
      </c>
      <c r="C25" s="23">
        <v>483.2</v>
      </c>
      <c r="D25" s="23">
        <v>0</v>
      </c>
      <c r="E25" s="10">
        <v>30</v>
      </c>
      <c r="F25" s="10">
        <v>1</v>
      </c>
      <c r="G25" s="19">
        <v>0</v>
      </c>
      <c r="H25" s="19">
        <v>8801</v>
      </c>
      <c r="I25" s="36">
        <v>127.12458448276465</v>
      </c>
      <c r="J25" s="10">
        <f t="shared" si="0"/>
        <v>19698814.65696427</v>
      </c>
      <c r="K25" s="10"/>
      <c r="L25" s="15"/>
    </row>
    <row r="26" spans="1:12" ht="12.75">
      <c r="A26" s="3">
        <v>37956</v>
      </c>
      <c r="B26" s="27">
        <v>24763703</v>
      </c>
      <c r="C26" s="23">
        <v>676.7</v>
      </c>
      <c r="D26" s="23">
        <v>0</v>
      </c>
      <c r="E26" s="10">
        <v>31</v>
      </c>
      <c r="F26" s="10">
        <v>0</v>
      </c>
      <c r="G26" s="19">
        <v>0</v>
      </c>
      <c r="H26" s="19">
        <v>8825</v>
      </c>
      <c r="I26" s="36">
        <v>127.27195325542573</v>
      </c>
      <c r="J26" s="10">
        <f t="shared" si="0"/>
        <v>23162881.755497858</v>
      </c>
      <c r="K26" s="10"/>
      <c r="L26" s="15"/>
    </row>
    <row r="27" spans="1:27" ht="13.5" thickBot="1">
      <c r="A27" s="3">
        <v>37987</v>
      </c>
      <c r="B27" s="27">
        <v>26912980</v>
      </c>
      <c r="C27" s="23">
        <v>1041.1</v>
      </c>
      <c r="D27" s="23">
        <v>0</v>
      </c>
      <c r="E27" s="10">
        <v>31</v>
      </c>
      <c r="F27" s="10">
        <v>0</v>
      </c>
      <c r="G27" s="19">
        <v>0</v>
      </c>
      <c r="H27" s="19">
        <v>8826</v>
      </c>
      <c r="I27" s="36">
        <v>127.53411264087498</v>
      </c>
      <c r="J27" s="10">
        <f t="shared" si="0"/>
        <v>26204801.620334126</v>
      </c>
      <c r="K27" s="10"/>
      <c r="L27" s="15"/>
      <c r="Y27" s="11"/>
      <c r="Z27" s="11"/>
      <c r="AA27" s="11"/>
    </row>
    <row r="28" spans="1:14" ht="12.75">
      <c r="A28" s="3">
        <v>38018</v>
      </c>
      <c r="B28" s="27">
        <v>23010120</v>
      </c>
      <c r="C28" s="23">
        <v>746.8</v>
      </c>
      <c r="D28" s="23">
        <v>0</v>
      </c>
      <c r="E28" s="10">
        <v>29</v>
      </c>
      <c r="F28" s="10">
        <v>0</v>
      </c>
      <c r="G28" s="19">
        <v>0</v>
      </c>
      <c r="H28" s="19">
        <v>8825</v>
      </c>
      <c r="I28" s="36">
        <v>127.79681203173486</v>
      </c>
      <c r="J28" s="10">
        <f t="shared" si="0"/>
        <v>22747438.824614976</v>
      </c>
      <c r="K28" s="10"/>
      <c r="L28" s="15"/>
      <c r="M28" s="54" t="s">
        <v>22</v>
      </c>
      <c r="N28" s="54"/>
    </row>
    <row r="29" spans="1:14" ht="12.75">
      <c r="A29" s="3">
        <v>38047</v>
      </c>
      <c r="B29" s="27">
        <v>21186267</v>
      </c>
      <c r="C29" s="23">
        <v>592.8</v>
      </c>
      <c r="D29" s="23">
        <v>0</v>
      </c>
      <c r="E29" s="10">
        <v>31</v>
      </c>
      <c r="F29" s="10">
        <v>1</v>
      </c>
      <c r="G29" s="19">
        <v>0</v>
      </c>
      <c r="H29" s="19">
        <v>8821</v>
      </c>
      <c r="I29" s="36">
        <v>128.06005254032812</v>
      </c>
      <c r="J29" s="10">
        <f t="shared" si="0"/>
        <v>21114038.06655655</v>
      </c>
      <c r="K29" s="10"/>
      <c r="L29" s="15"/>
      <c r="M29" s="37" t="s">
        <v>23</v>
      </c>
      <c r="N29" s="85">
        <v>0.9413849127493394</v>
      </c>
    </row>
    <row r="30" spans="1:14" ht="12.75">
      <c r="A30" s="3">
        <v>38078</v>
      </c>
      <c r="B30" s="27">
        <v>20811086</v>
      </c>
      <c r="C30" s="23">
        <v>395.9</v>
      </c>
      <c r="D30" s="23">
        <v>0</v>
      </c>
      <c r="E30" s="10">
        <v>30</v>
      </c>
      <c r="F30" s="10">
        <v>1</v>
      </c>
      <c r="G30" s="19">
        <v>0</v>
      </c>
      <c r="H30" s="19">
        <v>8823</v>
      </c>
      <c r="I30" s="36">
        <v>128.32383528126866</v>
      </c>
      <c r="J30" s="10">
        <f t="shared" si="0"/>
        <v>18970056.13830289</v>
      </c>
      <c r="K30" s="10"/>
      <c r="L30" s="15"/>
      <c r="M30" s="37" t="s">
        <v>24</v>
      </c>
      <c r="N30" s="85">
        <v>0.8862055539520814</v>
      </c>
    </row>
    <row r="31" spans="1:14" ht="12.75">
      <c r="A31" s="3">
        <v>38108</v>
      </c>
      <c r="B31" s="27">
        <v>17703744</v>
      </c>
      <c r="C31" s="23">
        <v>236</v>
      </c>
      <c r="D31" s="23">
        <v>5.5</v>
      </c>
      <c r="E31" s="10">
        <v>31</v>
      </c>
      <c r="F31" s="10">
        <v>1</v>
      </c>
      <c r="G31" s="19">
        <v>0</v>
      </c>
      <c r="H31" s="19">
        <v>8831</v>
      </c>
      <c r="I31" s="36">
        <v>128.58816137146633</v>
      </c>
      <c r="J31" s="10">
        <f t="shared" si="0"/>
        <v>18205801.79074773</v>
      </c>
      <c r="K31" s="10"/>
      <c r="L31" s="15"/>
      <c r="M31" s="37" t="s">
        <v>25</v>
      </c>
      <c r="N31" s="85">
        <v>0.8801633709760858</v>
      </c>
    </row>
    <row r="32" spans="1:14" ht="12.75">
      <c r="A32" s="3">
        <v>38139</v>
      </c>
      <c r="B32" s="27">
        <v>18630601</v>
      </c>
      <c r="C32" s="23">
        <v>110.4</v>
      </c>
      <c r="D32" s="23">
        <v>15.2</v>
      </c>
      <c r="E32" s="10">
        <v>30</v>
      </c>
      <c r="F32" s="10">
        <v>0</v>
      </c>
      <c r="G32" s="19">
        <v>0</v>
      </c>
      <c r="H32" s="19">
        <v>8834</v>
      </c>
      <c r="I32" s="36">
        <v>128.85303193013166</v>
      </c>
      <c r="J32" s="10">
        <f t="shared" si="0"/>
        <v>18129360.95159237</v>
      </c>
      <c r="K32" s="10"/>
      <c r="L32" s="15"/>
      <c r="M32" s="37" t="s">
        <v>26</v>
      </c>
      <c r="N32" s="37">
        <v>923311.9967904304</v>
      </c>
    </row>
    <row r="33" spans="1:14" ht="13.5" thickBot="1">
      <c r="A33" s="3">
        <v>38169</v>
      </c>
      <c r="B33" s="27">
        <v>18377788</v>
      </c>
      <c r="C33" s="23">
        <v>21.5</v>
      </c>
      <c r="D33" s="23">
        <v>45.2</v>
      </c>
      <c r="E33" s="10">
        <v>31</v>
      </c>
      <c r="F33" s="10">
        <v>0</v>
      </c>
      <c r="G33" s="19">
        <v>0</v>
      </c>
      <c r="H33" s="19">
        <v>8847</v>
      </c>
      <c r="I33" s="36">
        <v>129.11844807878055</v>
      </c>
      <c r="J33" s="10">
        <f t="shared" si="0"/>
        <v>18270687.17209693</v>
      </c>
      <c r="K33" s="10"/>
      <c r="L33" s="15"/>
      <c r="M33" s="52" t="s">
        <v>27</v>
      </c>
      <c r="N33" s="52">
        <v>120</v>
      </c>
    </row>
    <row r="34" spans="1:12" ht="12.75">
      <c r="A34" s="3">
        <v>38200</v>
      </c>
      <c r="B34" s="27">
        <v>16251149</v>
      </c>
      <c r="C34" s="23">
        <v>69.8</v>
      </c>
      <c r="D34" s="23">
        <v>28.4</v>
      </c>
      <c r="E34" s="10">
        <v>31</v>
      </c>
      <c r="F34" s="10">
        <v>0</v>
      </c>
      <c r="G34" s="19">
        <v>0</v>
      </c>
      <c r="H34" s="19">
        <v>8855</v>
      </c>
      <c r="I34" s="36">
        <v>129.38441094123903</v>
      </c>
      <c r="J34" s="10">
        <f t="shared" si="0"/>
        <v>18459330.073552445</v>
      </c>
      <c r="K34" s="10"/>
      <c r="L34" s="15"/>
    </row>
    <row r="35" spans="1:13" ht="13.5" thickBot="1">
      <c r="A35" s="3">
        <v>38231</v>
      </c>
      <c r="B35" s="27">
        <v>17555997</v>
      </c>
      <c r="C35" s="23">
        <v>88.4</v>
      </c>
      <c r="D35" s="23">
        <v>17.9</v>
      </c>
      <c r="E35" s="10">
        <v>30</v>
      </c>
      <c r="F35" s="10">
        <v>1</v>
      </c>
      <c r="G35" s="19">
        <v>0</v>
      </c>
      <c r="H35" s="19">
        <v>8868</v>
      </c>
      <c r="I35" s="36">
        <v>129.65092164364802</v>
      </c>
      <c r="J35" s="10">
        <f aca="true" t="shared" si="1" ref="J35:J66">$N$18+C35*$N$19+D35*$N$20+E35*$N$21+F35*$N$22+G35*$N$23</f>
        <v>16631724.742907226</v>
      </c>
      <c r="K35" s="10"/>
      <c r="L35" s="15"/>
      <c r="M35" t="s">
        <v>28</v>
      </c>
    </row>
    <row r="36" spans="1:18" ht="12.75">
      <c r="A36" s="3">
        <v>38261</v>
      </c>
      <c r="B36" s="27">
        <v>17049627</v>
      </c>
      <c r="C36" s="23">
        <v>310.8</v>
      </c>
      <c r="D36" s="23">
        <v>0</v>
      </c>
      <c r="E36" s="10">
        <v>31</v>
      </c>
      <c r="F36" s="10">
        <v>1</v>
      </c>
      <c r="G36" s="19">
        <v>0</v>
      </c>
      <c r="H36" s="19">
        <v>8864</v>
      </c>
      <c r="I36" s="36">
        <v>129.91798131446814</v>
      </c>
      <c r="J36" s="10">
        <f t="shared" si="1"/>
        <v>18759972.74854385</v>
      </c>
      <c r="K36" s="10"/>
      <c r="L36" s="15"/>
      <c r="M36" s="53"/>
      <c r="N36" s="53" t="s">
        <v>32</v>
      </c>
      <c r="O36" s="53" t="s">
        <v>33</v>
      </c>
      <c r="P36" s="53" t="s">
        <v>34</v>
      </c>
      <c r="Q36" s="53" t="s">
        <v>35</v>
      </c>
      <c r="R36" s="53" t="s">
        <v>36</v>
      </c>
    </row>
    <row r="37" spans="1:18" ht="12.75">
      <c r="A37" s="3">
        <v>38292</v>
      </c>
      <c r="B37" s="27">
        <v>18914623</v>
      </c>
      <c r="C37" s="23">
        <v>485.2</v>
      </c>
      <c r="D37" s="23">
        <v>0</v>
      </c>
      <c r="E37" s="10">
        <v>30</v>
      </c>
      <c r="F37" s="10">
        <v>1</v>
      </c>
      <c r="G37" s="19">
        <v>0</v>
      </c>
      <c r="H37" s="19">
        <v>8867</v>
      </c>
      <c r="I37" s="36">
        <v>130.18559108448443</v>
      </c>
      <c r="J37" s="10">
        <f t="shared" si="1"/>
        <v>19715510.15567358</v>
      </c>
      <c r="K37" s="10"/>
      <c r="L37" s="15"/>
      <c r="M37" s="37" t="s">
        <v>29</v>
      </c>
      <c r="N37" s="37">
        <v>6</v>
      </c>
      <c r="O37" s="37">
        <v>750220283546371.6</v>
      </c>
      <c r="P37" s="37">
        <v>125036713924395.27</v>
      </c>
      <c r="Q37" s="37">
        <v>146.6697644663841</v>
      </c>
      <c r="R37" s="37">
        <v>6.21788224701426E-51</v>
      </c>
    </row>
    <row r="38" spans="1:18" ht="12.75">
      <c r="A38" s="3">
        <v>38322</v>
      </c>
      <c r="B38" s="27">
        <v>25696904</v>
      </c>
      <c r="C38" s="23">
        <v>801</v>
      </c>
      <c r="D38" s="23">
        <v>0</v>
      </c>
      <c r="E38" s="10">
        <v>31</v>
      </c>
      <c r="F38" s="10">
        <v>0</v>
      </c>
      <c r="G38" s="19">
        <v>0</v>
      </c>
      <c r="H38" s="19">
        <v>8884</v>
      </c>
      <c r="I38" s="36">
        <v>130.45375208681136</v>
      </c>
      <c r="J38" s="10">
        <f t="shared" si="1"/>
        <v>24200507.000281468</v>
      </c>
      <c r="K38" s="10"/>
      <c r="L38" s="15"/>
      <c r="M38" s="37" t="s">
        <v>30</v>
      </c>
      <c r="N38" s="37">
        <v>113</v>
      </c>
      <c r="O38" s="37">
        <v>96333069906135.89</v>
      </c>
      <c r="P38" s="37">
        <v>852505043417.1318</v>
      </c>
      <c r="Q38" s="37"/>
      <c r="R38" s="37"/>
    </row>
    <row r="39" spans="1:27" ht="13.5" thickBot="1">
      <c r="A39" s="3">
        <v>38353</v>
      </c>
      <c r="B39" s="27">
        <v>25525629</v>
      </c>
      <c r="C39" s="23">
        <v>486</v>
      </c>
      <c r="D39" s="23">
        <v>0</v>
      </c>
      <c r="E39" s="10">
        <v>31</v>
      </c>
      <c r="F39" s="10">
        <v>0</v>
      </c>
      <c r="G39" s="19">
        <v>0</v>
      </c>
      <c r="H39" s="19">
        <v>8888</v>
      </c>
      <c r="I39" s="36">
        <v>130.7437021568508</v>
      </c>
      <c r="J39" s="10">
        <f t="shared" si="1"/>
        <v>21570965.95356515</v>
      </c>
      <c r="K39" s="10"/>
      <c r="L39" s="15"/>
      <c r="M39" s="52" t="s">
        <v>10</v>
      </c>
      <c r="N39" s="52">
        <v>119</v>
      </c>
      <c r="O39" s="52">
        <v>846553353452507.5</v>
      </c>
      <c r="P39" s="52"/>
      <c r="Q39" s="52"/>
      <c r="R39" s="52"/>
      <c r="Y39" s="11"/>
      <c r="Z39" s="11"/>
      <c r="AA39" s="11"/>
    </row>
    <row r="40" spans="1:12" ht="13.5" thickBot="1">
      <c r="A40" s="3">
        <v>38384</v>
      </c>
      <c r="B40" s="27">
        <v>21267840</v>
      </c>
      <c r="C40" s="23">
        <v>737.4</v>
      </c>
      <c r="D40" s="23">
        <v>0</v>
      </c>
      <c r="E40" s="10">
        <v>28</v>
      </c>
      <c r="F40" s="10">
        <v>0</v>
      </c>
      <c r="G40" s="19">
        <v>0</v>
      </c>
      <c r="H40" s="19">
        <v>8890</v>
      </c>
      <c r="I40" s="36">
        <v>131.0342966778299</v>
      </c>
      <c r="J40" s="10">
        <f t="shared" si="1"/>
        <v>22168659.900359124</v>
      </c>
      <c r="K40" s="10"/>
      <c r="L40" s="15"/>
    </row>
    <row r="41" spans="1:33" ht="12.75">
      <c r="A41" s="3">
        <v>38412</v>
      </c>
      <c r="B41" s="27">
        <v>22180291</v>
      </c>
      <c r="C41" s="23">
        <v>746.4</v>
      </c>
      <c r="D41" s="23">
        <v>0</v>
      </c>
      <c r="E41" s="10">
        <v>31</v>
      </c>
      <c r="F41" s="10">
        <v>1</v>
      </c>
      <c r="G41" s="19">
        <v>0</v>
      </c>
      <c r="H41" s="19">
        <v>8894</v>
      </c>
      <c r="I41" s="36">
        <v>131.32553708212293</v>
      </c>
      <c r="J41" s="10">
        <f t="shared" si="1"/>
        <v>22396252.367431555</v>
      </c>
      <c r="K41" s="10"/>
      <c r="L41" s="15"/>
      <c r="M41" s="53"/>
      <c r="N41" s="53" t="s">
        <v>37</v>
      </c>
      <c r="O41" s="53" t="s">
        <v>26</v>
      </c>
      <c r="P41" s="53" t="s">
        <v>38</v>
      </c>
      <c r="Q41" s="53" t="s">
        <v>39</v>
      </c>
      <c r="R41" s="53" t="s">
        <v>40</v>
      </c>
      <c r="S41" s="53" t="s">
        <v>41</v>
      </c>
      <c r="W41" s="6"/>
      <c r="X41" s="6"/>
      <c r="AF41"/>
      <c r="AG41"/>
    </row>
    <row r="42" spans="1:33" ht="12.75">
      <c r="A42" s="3">
        <v>38443</v>
      </c>
      <c r="B42" s="27">
        <v>17775417</v>
      </c>
      <c r="C42" s="23">
        <v>381.2</v>
      </c>
      <c r="D42" s="23">
        <v>0</v>
      </c>
      <c r="E42" s="10">
        <v>30</v>
      </c>
      <c r="F42" s="10">
        <v>1</v>
      </c>
      <c r="G42" s="19">
        <v>0</v>
      </c>
      <c r="H42" s="19">
        <v>8894</v>
      </c>
      <c r="I42" s="36">
        <v>131.61742480528775</v>
      </c>
      <c r="J42" s="10">
        <f t="shared" si="1"/>
        <v>18847344.222789463</v>
      </c>
      <c r="K42" s="10"/>
      <c r="L42" s="15"/>
      <c r="M42" s="37" t="s">
        <v>31</v>
      </c>
      <c r="N42" s="57">
        <v>1899658.679687459</v>
      </c>
      <c r="O42" s="37">
        <v>8295543.476567224</v>
      </c>
      <c r="P42" s="55">
        <v>0.22899749546892328</v>
      </c>
      <c r="Q42" s="37">
        <v>0.8192848031936931</v>
      </c>
      <c r="R42" s="37">
        <v>-14535308.60198058</v>
      </c>
      <c r="S42" s="37">
        <v>18334625.9613555</v>
      </c>
      <c r="W42" s="6"/>
      <c r="X42" s="6"/>
      <c r="AF42"/>
      <c r="AG42"/>
    </row>
    <row r="43" spans="1:33" ht="12.75">
      <c r="A43" s="3">
        <v>38473</v>
      </c>
      <c r="B43" s="27">
        <v>17093478</v>
      </c>
      <c r="C43" s="23">
        <v>252.2</v>
      </c>
      <c r="D43" s="23">
        <v>0.4</v>
      </c>
      <c r="E43" s="10">
        <v>31</v>
      </c>
      <c r="F43" s="10">
        <v>1</v>
      </c>
      <c r="G43" s="19">
        <v>0</v>
      </c>
      <c r="H43" s="19">
        <v>8894</v>
      </c>
      <c r="I43" s="36">
        <v>131.90996128607298</v>
      </c>
      <c r="J43" s="10">
        <f t="shared" si="1"/>
        <v>18275903.05046522</v>
      </c>
      <c r="K43" s="10"/>
      <c r="L43" s="15"/>
      <c r="M43" s="37" t="s">
        <v>3</v>
      </c>
      <c r="N43" s="57">
        <v>8350.368326656726</v>
      </c>
      <c r="O43" s="37">
        <v>454.55953881788014</v>
      </c>
      <c r="P43" s="55">
        <v>18.370241109388118</v>
      </c>
      <c r="Q43" s="37">
        <v>1.0067963994202923E-35</v>
      </c>
      <c r="R43" s="37">
        <v>7449.803924921662</v>
      </c>
      <c r="S43" s="37">
        <v>9250.93272839179</v>
      </c>
      <c r="W43" s="6"/>
      <c r="X43" s="6"/>
      <c r="AF43"/>
      <c r="AG43"/>
    </row>
    <row r="44" spans="1:33" ht="12.75">
      <c r="A44" s="3">
        <v>38504</v>
      </c>
      <c r="B44" s="27">
        <v>17852363</v>
      </c>
      <c r="C44" s="23">
        <v>33.5</v>
      </c>
      <c r="D44" s="23">
        <v>76.8</v>
      </c>
      <c r="E44" s="10">
        <v>30</v>
      </c>
      <c r="F44" s="10">
        <v>0</v>
      </c>
      <c r="G44" s="19">
        <v>0</v>
      </c>
      <c r="H44" s="19">
        <v>8898</v>
      </c>
      <c r="I44" s="36">
        <v>132.203147966425</v>
      </c>
      <c r="J44" s="10">
        <f t="shared" si="1"/>
        <v>18274114.798258588</v>
      </c>
      <c r="K44" s="10"/>
      <c r="L44" s="15"/>
      <c r="M44" s="37" t="s">
        <v>4</v>
      </c>
      <c r="N44" s="57">
        <v>13033.366401911573</v>
      </c>
      <c r="O44" s="37">
        <v>6566.23608267749</v>
      </c>
      <c r="P44" s="55">
        <v>1.98490676207868</v>
      </c>
      <c r="Q44" s="37">
        <v>0.049577868410451365</v>
      </c>
      <c r="R44" s="37">
        <v>24.468855012173663</v>
      </c>
      <c r="S44" s="37">
        <v>26042.26394881097</v>
      </c>
      <c r="W44" s="6"/>
      <c r="X44" s="6"/>
      <c r="AF44"/>
      <c r="AG44"/>
    </row>
    <row r="45" spans="1:33" ht="12.75">
      <c r="A45" s="3">
        <v>38534</v>
      </c>
      <c r="B45" s="27">
        <v>18659467</v>
      </c>
      <c r="C45" s="23">
        <v>14.8</v>
      </c>
      <c r="D45" s="23">
        <v>87.8</v>
      </c>
      <c r="E45" s="10">
        <v>31</v>
      </c>
      <c r="F45" s="10">
        <v>0</v>
      </c>
      <c r="G45" s="19">
        <v>0</v>
      </c>
      <c r="H45" s="19">
        <v>8912</v>
      </c>
      <c r="I45" s="36">
        <v>132.49698629149512</v>
      </c>
      <c r="J45" s="10">
        <f t="shared" si="1"/>
        <v>18758803.353512775</v>
      </c>
      <c r="K45" s="10"/>
      <c r="L45" s="15"/>
      <c r="M45" s="37" t="s">
        <v>5</v>
      </c>
      <c r="N45" s="57">
        <v>501173.94624739443</v>
      </c>
      <c r="O45" s="37">
        <v>106663.26864055416</v>
      </c>
      <c r="P45" s="55">
        <v>4.698655428761579</v>
      </c>
      <c r="Q45" s="37">
        <v>7.433696058992276E-06</v>
      </c>
      <c r="R45" s="37">
        <v>289854.78009329364</v>
      </c>
      <c r="S45" s="37">
        <v>712493.1124014952</v>
      </c>
      <c r="W45" s="6"/>
      <c r="X45" s="6"/>
      <c r="AF45"/>
      <c r="AG45"/>
    </row>
    <row r="46" spans="1:33" ht="12.75">
      <c r="A46" s="3">
        <v>38565</v>
      </c>
      <c r="B46" s="27">
        <v>18371689</v>
      </c>
      <c r="C46" s="23">
        <v>13.2</v>
      </c>
      <c r="D46" s="23">
        <v>59.8</v>
      </c>
      <c r="E46" s="10">
        <v>31</v>
      </c>
      <c r="F46" s="10">
        <v>0</v>
      </c>
      <c r="G46" s="19">
        <v>0</v>
      </c>
      <c r="H46" s="19">
        <v>8907</v>
      </c>
      <c r="I46" s="36">
        <v>132.79147770964664</v>
      </c>
      <c r="J46" s="10">
        <f t="shared" si="1"/>
        <v>18387857.96725479</v>
      </c>
      <c r="K46" s="10"/>
      <c r="L46" s="15"/>
      <c r="M46" s="37" t="s">
        <v>20</v>
      </c>
      <c r="N46" s="57">
        <v>-1341051.9978966522</v>
      </c>
      <c r="O46" s="37">
        <v>223489.74374634214</v>
      </c>
      <c r="P46" s="55">
        <v>-6.000508011762403</v>
      </c>
      <c r="Q46" s="37">
        <v>2.424436785012336E-08</v>
      </c>
      <c r="R46" s="37">
        <v>-1783825.474599525</v>
      </c>
      <c r="S46" s="37">
        <v>-898278.5211937793</v>
      </c>
      <c r="W46" s="6"/>
      <c r="X46" s="6"/>
      <c r="AF46"/>
      <c r="AG46"/>
    </row>
    <row r="47" spans="1:33" ht="12.75">
      <c r="A47" s="3">
        <v>38596</v>
      </c>
      <c r="B47" s="27">
        <v>16706530</v>
      </c>
      <c r="C47" s="23">
        <v>78</v>
      </c>
      <c r="D47" s="23">
        <v>12.6</v>
      </c>
      <c r="E47" s="10">
        <v>30</v>
      </c>
      <c r="F47" s="10">
        <v>1</v>
      </c>
      <c r="G47" s="19">
        <v>0</v>
      </c>
      <c r="H47" s="19">
        <v>8927</v>
      </c>
      <c r="I47" s="36">
        <v>133.0866236724621</v>
      </c>
      <c r="J47" s="10">
        <f t="shared" si="1"/>
        <v>16477221.662738819</v>
      </c>
      <c r="K47" s="10"/>
      <c r="L47" s="15"/>
      <c r="M47" s="37" t="s">
        <v>84</v>
      </c>
      <c r="N47" s="84">
        <v>-5.647872834767098</v>
      </c>
      <c r="O47" s="37">
        <v>2.673487744246494</v>
      </c>
      <c r="P47" s="55">
        <v>-2.1125486162865936</v>
      </c>
      <c r="Q47" s="37">
        <v>0.03684147514730793</v>
      </c>
      <c r="R47" s="37">
        <v>-10.94453407567881</v>
      </c>
      <c r="S47" s="37">
        <v>-0.3512115938553846</v>
      </c>
      <c r="W47" s="6"/>
      <c r="X47" s="6"/>
      <c r="AF47"/>
      <c r="AG47"/>
    </row>
    <row r="48" spans="1:33" ht="13.5" thickBot="1">
      <c r="A48" s="3">
        <v>38626</v>
      </c>
      <c r="B48" s="27">
        <v>17757743</v>
      </c>
      <c r="C48" s="23">
        <v>279.7</v>
      </c>
      <c r="D48" s="23">
        <v>6.7</v>
      </c>
      <c r="E48" s="10">
        <v>31</v>
      </c>
      <c r="F48" s="10">
        <v>1</v>
      </c>
      <c r="G48" s="19">
        <v>0</v>
      </c>
      <c r="H48" s="19">
        <v>8921</v>
      </c>
      <c r="I48" s="36">
        <v>133.38242563475035</v>
      </c>
      <c r="J48" s="10">
        <f t="shared" si="1"/>
        <v>18585923.679858603</v>
      </c>
      <c r="K48" s="10"/>
      <c r="L48" s="15"/>
      <c r="M48" s="52" t="s">
        <v>88</v>
      </c>
      <c r="N48" s="56">
        <v>3.8231272259888756</v>
      </c>
      <c r="O48" s="52">
        <v>863.3694329989831</v>
      </c>
      <c r="P48" s="56">
        <v>0.004428147534374637</v>
      </c>
      <c r="Q48" s="52">
        <v>0.9964746690343611</v>
      </c>
      <c r="R48" s="52">
        <v>-1706.6673817336853</v>
      </c>
      <c r="S48" s="52">
        <v>1714.313636185663</v>
      </c>
      <c r="W48" s="6"/>
      <c r="X48" s="6"/>
      <c r="AF48"/>
      <c r="AG48"/>
    </row>
    <row r="49" spans="1:12" ht="12.75">
      <c r="A49" s="3">
        <v>38657</v>
      </c>
      <c r="B49" s="27">
        <v>19413517</v>
      </c>
      <c r="C49" s="23">
        <v>491.1</v>
      </c>
      <c r="D49" s="23">
        <v>0</v>
      </c>
      <c r="E49" s="10">
        <v>30</v>
      </c>
      <c r="F49" s="10">
        <v>1</v>
      </c>
      <c r="G49" s="19">
        <v>0</v>
      </c>
      <c r="H49" s="19">
        <v>8928</v>
      </c>
      <c r="I49" s="36">
        <v>133.6788850545537</v>
      </c>
      <c r="J49" s="10">
        <f t="shared" si="1"/>
        <v>19764761.876866043</v>
      </c>
      <c r="K49" s="10"/>
      <c r="L49" s="15"/>
    </row>
    <row r="50" spans="1:12" ht="12.75">
      <c r="A50" s="3">
        <v>38687</v>
      </c>
      <c r="B50" s="27">
        <v>23443598</v>
      </c>
      <c r="C50" s="23">
        <v>785.6</v>
      </c>
      <c r="D50" s="23">
        <v>0</v>
      </c>
      <c r="E50" s="10">
        <v>31</v>
      </c>
      <c r="F50" s="10">
        <v>0</v>
      </c>
      <c r="G50" s="19">
        <v>0</v>
      </c>
      <c r="H50" s="19">
        <v>8941</v>
      </c>
      <c r="I50" s="36">
        <v>133.97600339315525</v>
      </c>
      <c r="J50" s="10">
        <f t="shared" si="1"/>
        <v>24071951.66021978</v>
      </c>
      <c r="K50" s="10"/>
      <c r="L50" s="15"/>
    </row>
    <row r="51" spans="1:27" ht="12.75">
      <c r="A51" s="3">
        <v>38718</v>
      </c>
      <c r="B51" s="27">
        <v>23178438</v>
      </c>
      <c r="C51" s="23">
        <v>706.5</v>
      </c>
      <c r="D51" s="23">
        <v>0</v>
      </c>
      <c r="E51" s="10">
        <v>31</v>
      </c>
      <c r="F51" s="10">
        <v>0</v>
      </c>
      <c r="G51" s="19">
        <f>'CDM Activity'!F16</f>
        <v>9482.992158121597</v>
      </c>
      <c r="H51" s="19">
        <v>8944</v>
      </c>
      <c r="I51" s="36">
        <v>134.25197202423305</v>
      </c>
      <c r="J51" s="10">
        <f t="shared" si="1"/>
        <v>23351378.878056735</v>
      </c>
      <c r="K51" s="10"/>
      <c r="L51" s="15"/>
      <c r="M51" s="20" t="s">
        <v>129</v>
      </c>
      <c r="Y51" s="11"/>
      <c r="Z51" s="11"/>
      <c r="AA51" s="11"/>
    </row>
    <row r="52" spans="1:12" ht="13.5" thickBot="1">
      <c r="A52" s="3">
        <v>38749</v>
      </c>
      <c r="B52" s="27">
        <v>21503463</v>
      </c>
      <c r="C52" s="23">
        <v>751.2</v>
      </c>
      <c r="D52" s="23">
        <v>0</v>
      </c>
      <c r="E52" s="10">
        <v>28</v>
      </c>
      <c r="F52" s="10">
        <v>0</v>
      </c>
      <c r="G52" s="19">
        <f>'CDM Activity'!F17</f>
        <v>18965.984316243193</v>
      </c>
      <c r="H52" s="19">
        <v>8943</v>
      </c>
      <c r="I52" s="36">
        <v>134.5285091055065</v>
      </c>
      <c r="J52" s="10">
        <f t="shared" si="1"/>
        <v>22163327.22503368</v>
      </c>
      <c r="K52" s="10"/>
      <c r="L52" s="15"/>
    </row>
    <row r="53" spans="1:14" ht="12.75">
      <c r="A53" s="3">
        <v>38777</v>
      </c>
      <c r="B53" s="27">
        <v>21726896</v>
      </c>
      <c r="C53" s="23">
        <v>663.4</v>
      </c>
      <c r="D53" s="23">
        <v>0</v>
      </c>
      <c r="E53" s="10">
        <v>31</v>
      </c>
      <c r="F53" s="10">
        <v>1</v>
      </c>
      <c r="G53" s="19">
        <f>'CDM Activity'!F18</f>
        <v>28448.97647436479</v>
      </c>
      <c r="H53" s="19">
        <v>8945</v>
      </c>
      <c r="I53" s="36">
        <v>134.80561580788986</v>
      </c>
      <c r="J53" s="10">
        <f t="shared" si="1"/>
        <v>21522591.74636568</v>
      </c>
      <c r="K53" s="10"/>
      <c r="L53" s="15"/>
      <c r="M53" s="54" t="s">
        <v>22</v>
      </c>
      <c r="N53" s="54"/>
    </row>
    <row r="54" spans="1:14" ht="12.75">
      <c r="A54" s="3">
        <v>38808</v>
      </c>
      <c r="B54" s="27">
        <v>17617807</v>
      </c>
      <c r="C54" s="23">
        <v>362.7</v>
      </c>
      <c r="D54" s="23">
        <v>0</v>
      </c>
      <c r="E54" s="10">
        <v>30</v>
      </c>
      <c r="F54" s="10">
        <v>1</v>
      </c>
      <c r="G54" s="19">
        <f>'CDM Activity'!F19</f>
        <v>37931.96863248639</v>
      </c>
      <c r="H54" s="19">
        <v>8947</v>
      </c>
      <c r="I54" s="36">
        <v>135.08329330470943</v>
      </c>
      <c r="J54" s="10">
        <f t="shared" si="1"/>
        <v>18451847.626888994</v>
      </c>
      <c r="K54" s="10"/>
      <c r="L54" s="15"/>
      <c r="M54" s="37" t="s">
        <v>23</v>
      </c>
      <c r="N54" s="85">
        <v>0.9389948435241208</v>
      </c>
    </row>
    <row r="55" spans="1:14" ht="12.75">
      <c r="A55" s="3">
        <v>38838</v>
      </c>
      <c r="B55" s="27">
        <v>17278731</v>
      </c>
      <c r="C55" s="23">
        <v>181.7</v>
      </c>
      <c r="D55" s="23">
        <v>14</v>
      </c>
      <c r="E55" s="10">
        <v>31</v>
      </c>
      <c r="F55" s="10">
        <v>1</v>
      </c>
      <c r="G55" s="19">
        <f>'CDM Activity'!F20</f>
        <v>47414.960790607984</v>
      </c>
      <c r="H55" s="19">
        <v>8940</v>
      </c>
      <c r="I55" s="36">
        <v>135.3615427717083</v>
      </c>
      <c r="J55" s="10">
        <f t="shared" si="1"/>
        <v>17559743.759453975</v>
      </c>
      <c r="K55" s="10"/>
      <c r="L55" s="15"/>
      <c r="M55" s="37" t="s">
        <v>24</v>
      </c>
      <c r="N55" s="85">
        <v>0.881711316164888</v>
      </c>
    </row>
    <row r="56" spans="1:14" ht="12.75">
      <c r="A56" s="3">
        <v>38869</v>
      </c>
      <c r="B56" s="27">
        <v>17146680</v>
      </c>
      <c r="C56" s="23">
        <v>58.5</v>
      </c>
      <c r="D56" s="23">
        <v>31.3</v>
      </c>
      <c r="E56" s="10">
        <v>30</v>
      </c>
      <c r="F56" s="10">
        <v>0</v>
      </c>
      <c r="G56" s="19">
        <f>'CDM Activity'!F21</f>
        <v>56897.95294872958</v>
      </c>
      <c r="H56" s="19">
        <v>8944</v>
      </c>
      <c r="I56" s="36">
        <v>135.64036538705133</v>
      </c>
      <c r="J56" s="10">
        <f t="shared" si="1"/>
        <v>17540131.578518808</v>
      </c>
      <c r="K56" s="10"/>
      <c r="L56" s="15"/>
      <c r="M56" s="37" t="s">
        <v>25</v>
      </c>
      <c r="N56" s="85">
        <v>0.8765232159966813</v>
      </c>
    </row>
    <row r="57" spans="1:14" ht="12.75">
      <c r="A57" s="3">
        <v>38899</v>
      </c>
      <c r="B57" s="27">
        <v>18619398</v>
      </c>
      <c r="C57" s="23">
        <v>4.9</v>
      </c>
      <c r="D57" s="23">
        <v>83.4</v>
      </c>
      <c r="E57" s="10">
        <v>31</v>
      </c>
      <c r="F57" s="10">
        <v>0</v>
      </c>
      <c r="G57" s="19">
        <f>'CDM Activity'!F22</f>
        <v>66380.94510685117</v>
      </c>
      <c r="H57" s="19">
        <v>8950</v>
      </c>
      <c r="I57" s="36">
        <v>135.9197623313303</v>
      </c>
      <c r="J57" s="10">
        <f t="shared" si="1"/>
        <v>18198107.42228717</v>
      </c>
      <c r="K57" s="10"/>
      <c r="L57" s="15"/>
      <c r="M57" s="37" t="s">
        <v>26</v>
      </c>
      <c r="N57" s="37">
        <v>937230.3447331262</v>
      </c>
    </row>
    <row r="58" spans="1:14" ht="13.5" thickBot="1">
      <c r="A58" s="3">
        <v>38930</v>
      </c>
      <c r="B58" s="27">
        <v>17843517</v>
      </c>
      <c r="C58" s="23">
        <v>43.7</v>
      </c>
      <c r="D58" s="23">
        <v>39.9</v>
      </c>
      <c r="E58" s="10">
        <v>31</v>
      </c>
      <c r="F58" s="10">
        <v>0</v>
      </c>
      <c r="G58" s="19">
        <f>'CDM Activity'!F23</f>
        <v>75863.93726497277</v>
      </c>
      <c r="H58" s="19">
        <v>8962</v>
      </c>
      <c r="I58" s="36">
        <v>136.1997347875688</v>
      </c>
      <c r="J58" s="10">
        <f t="shared" si="1"/>
        <v>17906194.255211573</v>
      </c>
      <c r="K58" s="10"/>
      <c r="L58" s="15"/>
      <c r="M58" s="52" t="s">
        <v>27</v>
      </c>
      <c r="N58" s="52">
        <v>120</v>
      </c>
    </row>
    <row r="59" spans="1:12" ht="12.75">
      <c r="A59" s="3">
        <v>38961</v>
      </c>
      <c r="B59" s="27">
        <v>16105818</v>
      </c>
      <c r="C59" s="23">
        <v>163.5</v>
      </c>
      <c r="D59" s="23">
        <v>0.7</v>
      </c>
      <c r="E59" s="10">
        <v>30</v>
      </c>
      <c r="F59" s="10">
        <v>1</v>
      </c>
      <c r="G59" s="19">
        <f>'CDM Activity'!F24</f>
        <v>85346.92942309438</v>
      </c>
      <c r="H59" s="19">
        <v>8964</v>
      </c>
      <c r="I59" s="36">
        <v>136.48028394122719</v>
      </c>
      <c r="J59" s="10">
        <f t="shared" si="1"/>
        <v>16496586.639074797</v>
      </c>
      <c r="K59" s="10"/>
      <c r="L59" s="15"/>
    </row>
    <row r="60" spans="1:13" ht="13.5" thickBot="1">
      <c r="A60" s="3">
        <v>38991</v>
      </c>
      <c r="B60" s="27">
        <v>18481658</v>
      </c>
      <c r="C60" s="23">
        <v>366.1</v>
      </c>
      <c r="D60" s="23">
        <v>0</v>
      </c>
      <c r="E60" s="10">
        <v>31</v>
      </c>
      <c r="F60" s="10">
        <v>1</v>
      </c>
      <c r="G60" s="19">
        <f>'CDM Activity'!F25</f>
        <v>94829.92158121598</v>
      </c>
      <c r="H60" s="19">
        <v>8968</v>
      </c>
      <c r="I60" s="36">
        <v>136.76141098020776</v>
      </c>
      <c r="J60" s="10">
        <f t="shared" si="1"/>
        <v>18618945.20575789</v>
      </c>
      <c r="K60" s="10"/>
      <c r="L60" s="15"/>
      <c r="M60" t="s">
        <v>28</v>
      </c>
    </row>
    <row r="61" spans="1:18" ht="12.75">
      <c r="A61" s="3">
        <v>39022</v>
      </c>
      <c r="B61" s="27">
        <v>19101584</v>
      </c>
      <c r="C61" s="23">
        <v>441.1</v>
      </c>
      <c r="D61" s="23">
        <v>0</v>
      </c>
      <c r="E61" s="10">
        <v>30</v>
      </c>
      <c r="F61" s="10">
        <v>1</v>
      </c>
      <c r="G61" s="19">
        <f>'CDM Activity'!F26</f>
        <v>104312.91373933759</v>
      </c>
      <c r="H61" s="19">
        <v>8984</v>
      </c>
      <c r="I61" s="36">
        <v>137.04311709485967</v>
      </c>
      <c r="J61" s="10">
        <f t="shared" si="1"/>
        <v>18684450.51882508</v>
      </c>
      <c r="K61" s="10"/>
      <c r="L61" s="15"/>
      <c r="M61" s="53"/>
      <c r="N61" s="53" t="s">
        <v>32</v>
      </c>
      <c r="O61" s="53" t="s">
        <v>33</v>
      </c>
      <c r="P61" s="53" t="s">
        <v>34</v>
      </c>
      <c r="Q61" s="53" t="s">
        <v>35</v>
      </c>
      <c r="R61" s="53" t="s">
        <v>36</v>
      </c>
    </row>
    <row r="62" spans="1:18" ht="12.75">
      <c r="A62" s="3">
        <v>39052</v>
      </c>
      <c r="B62" s="27">
        <v>20833616</v>
      </c>
      <c r="C62" s="23">
        <v>610</v>
      </c>
      <c r="D62" s="23">
        <v>0</v>
      </c>
      <c r="E62" s="10">
        <v>31</v>
      </c>
      <c r="F62" s="10">
        <v>0</v>
      </c>
      <c r="G62" s="19">
        <f>'CDM Activity'!F27</f>
        <v>113795.90589745919</v>
      </c>
      <c r="H62" s="19">
        <v>8992</v>
      </c>
      <c r="I62" s="36">
        <v>137.3254034779841</v>
      </c>
      <c r="J62" s="10">
        <f t="shared" si="1"/>
        <v>21882897.175024312</v>
      </c>
      <c r="K62" s="10"/>
      <c r="L62" s="15"/>
      <c r="M62" s="37" t="s">
        <v>29</v>
      </c>
      <c r="N62" s="37">
        <v>5</v>
      </c>
      <c r="O62" s="37">
        <v>746415671476410</v>
      </c>
      <c r="P62" s="37">
        <v>149283134295282</v>
      </c>
      <c r="Q62" s="37">
        <v>169.94878425210948</v>
      </c>
      <c r="R62" s="37">
        <v>3.9953572574934737E-51</v>
      </c>
    </row>
    <row r="63" spans="1:27" ht="12.75">
      <c r="A63" s="3">
        <v>39083</v>
      </c>
      <c r="B63" s="27">
        <v>23347852</v>
      </c>
      <c r="C63" s="23">
        <v>826.1</v>
      </c>
      <c r="D63" s="23">
        <v>0</v>
      </c>
      <c r="E63" s="10">
        <v>31</v>
      </c>
      <c r="F63" s="10">
        <v>0</v>
      </c>
      <c r="G63" s="19">
        <f>'CDM Activity'!F28</f>
        <v>113676.46837958093</v>
      </c>
      <c r="H63" s="19">
        <v>8995</v>
      </c>
      <c r="I63" s="36">
        <v>137.5858759607308</v>
      </c>
      <c r="J63" s="10">
        <f t="shared" si="1"/>
        <v>23687604.853536658</v>
      </c>
      <c r="K63" s="10"/>
      <c r="L63" s="15"/>
      <c r="M63" s="37" t="s">
        <v>30</v>
      </c>
      <c r="N63" s="37">
        <v>114</v>
      </c>
      <c r="O63" s="37">
        <v>100137681976097.52</v>
      </c>
      <c r="P63" s="37">
        <v>878400719088.5747</v>
      </c>
      <c r="Q63" s="37"/>
      <c r="R63" s="37"/>
      <c r="Y63" s="11"/>
      <c r="Z63" s="11"/>
      <c r="AA63" s="11"/>
    </row>
    <row r="64" spans="1:18" ht="13.5" thickBot="1">
      <c r="A64" s="3">
        <v>39114</v>
      </c>
      <c r="B64" s="27">
        <v>22500086</v>
      </c>
      <c r="C64" s="23">
        <v>847.5</v>
      </c>
      <c r="D64" s="23">
        <v>0</v>
      </c>
      <c r="E64" s="10">
        <v>28</v>
      </c>
      <c r="F64" s="10">
        <v>0</v>
      </c>
      <c r="G64" s="19">
        <f>'CDM Activity'!F29</f>
        <v>113557.03086170266</v>
      </c>
      <c r="H64" s="19">
        <v>8999</v>
      </c>
      <c r="I64" s="36">
        <v>137.84684249565245</v>
      </c>
      <c r="J64" s="10">
        <f t="shared" si="1"/>
        <v>22366075.491731387</v>
      </c>
      <c r="K64" s="10"/>
      <c r="L64" s="15"/>
      <c r="M64" s="52" t="s">
        <v>10</v>
      </c>
      <c r="N64" s="52">
        <v>119</v>
      </c>
      <c r="O64" s="52">
        <v>846553353452507.5</v>
      </c>
      <c r="P64" s="52"/>
      <c r="Q64" s="52"/>
      <c r="R64" s="52"/>
    </row>
    <row r="65" spans="1:12" ht="13.5" thickBot="1">
      <c r="A65" s="3">
        <v>39142</v>
      </c>
      <c r="B65" s="27">
        <v>21602755</v>
      </c>
      <c r="C65" s="23">
        <v>653.1</v>
      </c>
      <c r="D65" s="23">
        <v>0</v>
      </c>
      <c r="E65" s="10">
        <v>31</v>
      </c>
      <c r="F65" s="10">
        <v>1</v>
      </c>
      <c r="G65" s="19">
        <f>'CDM Activity'!F30</f>
        <v>113437.5933438244</v>
      </c>
      <c r="H65" s="19">
        <v>9000</v>
      </c>
      <c r="I65" s="36">
        <v>138.10830401984444</v>
      </c>
      <c r="J65" s="10">
        <f t="shared" si="1"/>
        <v>20896494.783038404</v>
      </c>
      <c r="K65" s="10"/>
      <c r="L65" s="15"/>
    </row>
    <row r="66" spans="1:21" ht="12.75">
      <c r="A66" s="3">
        <v>39173</v>
      </c>
      <c r="B66" s="27">
        <v>18218527</v>
      </c>
      <c r="C66" s="23">
        <v>426.6</v>
      </c>
      <c r="D66" s="23">
        <v>0</v>
      </c>
      <c r="E66" s="10">
        <v>30</v>
      </c>
      <c r="F66" s="10">
        <v>1</v>
      </c>
      <c r="G66" s="19">
        <f>'CDM Activity'!F31</f>
        <v>113318.15582594613</v>
      </c>
      <c r="H66" s="19">
        <v>9002</v>
      </c>
      <c r="I66" s="36">
        <v>138.37026147217955</v>
      </c>
      <c r="J66" s="10">
        <f t="shared" si="1"/>
        <v>18506178.51685836</v>
      </c>
      <c r="K66" s="10"/>
      <c r="L66" s="15"/>
      <c r="M66" s="53"/>
      <c r="N66" s="53" t="s">
        <v>37</v>
      </c>
      <c r="O66" s="53" t="s">
        <v>26</v>
      </c>
      <c r="P66" s="53" t="s">
        <v>38</v>
      </c>
      <c r="Q66" s="53" t="s">
        <v>39</v>
      </c>
      <c r="R66" s="53" t="s">
        <v>40</v>
      </c>
      <c r="S66" s="53" t="s">
        <v>41</v>
      </c>
      <c r="T66" s="53" t="s">
        <v>127</v>
      </c>
      <c r="U66" s="53" t="s">
        <v>128</v>
      </c>
    </row>
    <row r="67" spans="1:21" ht="12.75">
      <c r="A67" s="3">
        <v>39203</v>
      </c>
      <c r="B67" s="27">
        <v>16749718</v>
      </c>
      <c r="C67" s="23">
        <v>203.5</v>
      </c>
      <c r="D67" s="23">
        <v>9.1</v>
      </c>
      <c r="E67" s="10">
        <v>31</v>
      </c>
      <c r="F67" s="10">
        <v>1</v>
      </c>
      <c r="G67" s="19">
        <f>'CDM Activity'!F32</f>
        <v>113198.71830806787</v>
      </c>
      <c r="H67" s="19">
        <v>8998</v>
      </c>
      <c r="I67" s="36">
        <v>138.63271579331135</v>
      </c>
      <c r="J67" s="10">
        <f aca="true" t="shared" si="2" ref="J67:J98">$N$18+C67*$N$19+D67*$N$20+E67*$N$21+F67*$N$22+G67*$N$23</f>
        <v>17261081.17999777</v>
      </c>
      <c r="K67" s="10"/>
      <c r="L67" s="15"/>
      <c r="M67" s="37" t="s">
        <v>31</v>
      </c>
      <c r="N67" s="57">
        <v>16966587.908913504</v>
      </c>
      <c r="O67" s="37">
        <v>4300496.2074957</v>
      </c>
      <c r="P67" s="55">
        <v>3.9452628464922257</v>
      </c>
      <c r="Q67" s="37">
        <v>0.0001381562156823835</v>
      </c>
      <c r="R67" s="37">
        <v>8447338.319995204</v>
      </c>
      <c r="S67" s="37">
        <v>25485837.497831807</v>
      </c>
      <c r="T67" s="37">
        <v>8447338.319995204</v>
      </c>
      <c r="U67" s="37">
        <v>25485837.497831807</v>
      </c>
    </row>
    <row r="68" spans="1:21" ht="12.75">
      <c r="A68" s="3">
        <v>39234</v>
      </c>
      <c r="B68" s="27">
        <v>17096826</v>
      </c>
      <c r="C68" s="23">
        <v>62.6</v>
      </c>
      <c r="D68" s="23">
        <v>43</v>
      </c>
      <c r="E68" s="10">
        <v>30</v>
      </c>
      <c r="F68" s="10">
        <v>0</v>
      </c>
      <c r="G68" s="19">
        <f>'CDM Activity'!F33</f>
        <v>113079.2807901896</v>
      </c>
      <c r="H68" s="19">
        <v>8998</v>
      </c>
      <c r="I68" s="36">
        <v>138.89566792567766</v>
      </c>
      <c r="J68" s="10">
        <f t="shared" si="2"/>
        <v>17366737.8719887</v>
      </c>
      <c r="K68" s="10"/>
      <c r="L68" s="15"/>
      <c r="M68" s="37" t="s">
        <v>3</v>
      </c>
      <c r="N68" s="57">
        <v>8439.12058874207</v>
      </c>
      <c r="O68" s="37">
        <v>459.43680242773553</v>
      </c>
      <c r="P68" s="55">
        <v>18.368403541354205</v>
      </c>
      <c r="Q68" s="37">
        <v>7.381619051135145E-36</v>
      </c>
      <c r="R68" s="37">
        <v>7528.979851169906</v>
      </c>
      <c r="S68" s="37">
        <v>9349.261326314232</v>
      </c>
      <c r="T68" s="37">
        <v>7528.979851169906</v>
      </c>
      <c r="U68" s="37">
        <v>9349.261326314232</v>
      </c>
    </row>
    <row r="69" spans="1:21" ht="12.75">
      <c r="A69" s="3">
        <v>39264</v>
      </c>
      <c r="B69" s="27">
        <v>17421792</v>
      </c>
      <c r="C69" s="23">
        <v>39.5</v>
      </c>
      <c r="D69" s="23">
        <v>43.6</v>
      </c>
      <c r="E69" s="10">
        <v>31</v>
      </c>
      <c r="F69" s="10">
        <v>0</v>
      </c>
      <c r="G69" s="19">
        <f>'CDM Activity'!F34</f>
        <v>112959.84327231134</v>
      </c>
      <c r="H69" s="19">
        <v>8999</v>
      </c>
      <c r="I69" s="36">
        <v>139.1591188135038</v>
      </c>
      <c r="J69" s="10">
        <f t="shared" si="2"/>
        <v>17682636.6063459</v>
      </c>
      <c r="K69" s="10"/>
      <c r="L69" s="15"/>
      <c r="M69" s="37" t="s">
        <v>4</v>
      </c>
      <c r="N69" s="57">
        <v>14315.514253893742</v>
      </c>
      <c r="O69" s="37">
        <v>6636.685141164261</v>
      </c>
      <c r="P69" s="55">
        <v>2.1570277856186495</v>
      </c>
      <c r="Q69" s="37">
        <v>0.033103147520594206</v>
      </c>
      <c r="R69" s="37">
        <v>1168.2925304804758</v>
      </c>
      <c r="S69" s="37">
        <v>27462.735977307006</v>
      </c>
      <c r="T69" s="37">
        <v>1168.2925304804758</v>
      </c>
      <c r="U69" s="37">
        <v>27462.735977307006</v>
      </c>
    </row>
    <row r="70" spans="1:21" ht="12.75">
      <c r="A70" s="3">
        <v>39295</v>
      </c>
      <c r="B70" s="27">
        <v>17808746</v>
      </c>
      <c r="C70" s="23">
        <v>26.7</v>
      </c>
      <c r="D70" s="23">
        <v>52.3</v>
      </c>
      <c r="E70" s="10">
        <v>31</v>
      </c>
      <c r="F70" s="10">
        <v>0</v>
      </c>
      <c r="G70" s="19">
        <f>'CDM Activity'!F35</f>
        <v>112840.40575443307</v>
      </c>
      <c r="H70" s="19">
        <v>9013</v>
      </c>
      <c r="I70" s="36">
        <v>139.4230694028061</v>
      </c>
      <c r="J70" s="10">
        <f t="shared" si="2"/>
        <v>17687652.464342993</v>
      </c>
      <c r="K70" s="10"/>
      <c r="L70" s="15"/>
      <c r="M70" s="37" t="s">
        <v>5</v>
      </c>
      <c r="N70" s="57">
        <v>494071.1938399892</v>
      </c>
      <c r="O70" s="37">
        <v>108217.3480671095</v>
      </c>
      <c r="P70" s="55">
        <v>4.565545198294803</v>
      </c>
      <c r="Q70" s="37">
        <v>1.2664156319222062E-05</v>
      </c>
      <c r="R70" s="37">
        <v>279693.4677469769</v>
      </c>
      <c r="S70" s="37">
        <v>708448.9199330015</v>
      </c>
      <c r="T70" s="37">
        <v>279693.4677469769</v>
      </c>
      <c r="U70" s="37">
        <v>708448.9199330015</v>
      </c>
    </row>
    <row r="71" spans="1:21" ht="12.75">
      <c r="A71" s="3">
        <v>39326</v>
      </c>
      <c r="B71" s="27">
        <v>16166254</v>
      </c>
      <c r="C71" s="23">
        <v>100.1</v>
      </c>
      <c r="D71" s="23">
        <v>14.4</v>
      </c>
      <c r="E71" s="10">
        <v>30</v>
      </c>
      <c r="F71" s="10">
        <v>1</v>
      </c>
      <c r="G71" s="19">
        <f>'CDM Activity'!F36</f>
        <v>112720.9682365548</v>
      </c>
      <c r="H71" s="19">
        <v>9029</v>
      </c>
      <c r="I71" s="36">
        <v>139.68752064139528</v>
      </c>
      <c r="J71" s="10">
        <f t="shared" si="2"/>
        <v>15968336.475169959</v>
      </c>
      <c r="K71" s="10"/>
      <c r="L71" s="15"/>
      <c r="M71" s="37" t="s">
        <v>20</v>
      </c>
      <c r="N71" s="57">
        <v>-1314922.2941324036</v>
      </c>
      <c r="O71" s="37">
        <v>226511.01589538177</v>
      </c>
      <c r="P71" s="55">
        <v>-5.805114108621209</v>
      </c>
      <c r="Q71" s="37">
        <v>5.8958321535239296E-08</v>
      </c>
      <c r="R71" s="37">
        <v>-1763638.8575114743</v>
      </c>
      <c r="S71" s="37">
        <v>-866205.7307533327</v>
      </c>
      <c r="T71" s="37">
        <v>-1763638.8575114743</v>
      </c>
      <c r="U71" s="37">
        <v>-866205.7307533327</v>
      </c>
    </row>
    <row r="72" spans="1:21" ht="13.5" thickBot="1">
      <c r="A72" s="3">
        <v>39356</v>
      </c>
      <c r="B72" s="27">
        <v>17355793</v>
      </c>
      <c r="C72" s="23">
        <v>226.7</v>
      </c>
      <c r="D72" s="23">
        <v>1.5</v>
      </c>
      <c r="E72" s="10">
        <v>31</v>
      </c>
      <c r="F72" s="10">
        <v>1</v>
      </c>
      <c r="G72" s="19">
        <f>'CDM Activity'!F37</f>
        <v>112601.53071867654</v>
      </c>
      <c r="H72" s="19">
        <v>9050</v>
      </c>
      <c r="I72" s="36">
        <v>139.95247347887977</v>
      </c>
      <c r="J72" s="10">
        <f t="shared" si="2"/>
        <v>17361484.311903927</v>
      </c>
      <c r="K72" s="10"/>
      <c r="L72" s="15"/>
      <c r="M72" s="52" t="s">
        <v>88</v>
      </c>
      <c r="N72" s="70">
        <v>-1698.3241034213665</v>
      </c>
      <c r="O72" s="52">
        <v>314.8421758055306</v>
      </c>
      <c r="P72" s="56">
        <v>-5.394207745757591</v>
      </c>
      <c r="Q72" s="52">
        <v>3.778876608337296E-07</v>
      </c>
      <c r="R72" s="52">
        <v>-2322.024008592854</v>
      </c>
      <c r="S72" s="52">
        <v>-1074.624198249879</v>
      </c>
      <c r="T72" s="52">
        <v>-2322.024008592854</v>
      </c>
      <c r="U72" s="52">
        <v>-1074.624198249879</v>
      </c>
    </row>
    <row r="73" spans="1:12" ht="12.75">
      <c r="A73" s="3">
        <v>39387</v>
      </c>
      <c r="B73" s="27">
        <v>19369940</v>
      </c>
      <c r="C73" s="23">
        <v>555.2</v>
      </c>
      <c r="D73" s="23">
        <v>0</v>
      </c>
      <c r="E73" s="10">
        <v>30</v>
      </c>
      <c r="F73" s="10">
        <v>1</v>
      </c>
      <c r="G73" s="19">
        <f>'CDM Activity'!F38</f>
        <v>112482.09320079828</v>
      </c>
      <c r="H73" s="19">
        <v>9058</v>
      </c>
      <c r="I73" s="36">
        <v>140.21792886666915</v>
      </c>
      <c r="J73" s="10">
        <f t="shared" si="2"/>
        <v>19585012.384666827</v>
      </c>
      <c r="K73" s="10"/>
      <c r="L73" s="15"/>
    </row>
    <row r="74" spans="1:12" ht="12.75">
      <c r="A74" s="3">
        <v>39417</v>
      </c>
      <c r="B74" s="27">
        <v>22463316</v>
      </c>
      <c r="C74" s="23">
        <v>766.2</v>
      </c>
      <c r="D74" s="23">
        <v>0</v>
      </c>
      <c r="E74" s="10">
        <v>31</v>
      </c>
      <c r="F74" s="10">
        <v>0</v>
      </c>
      <c r="G74" s="19">
        <f>'CDM Activity'!F39</f>
        <v>112362.65568292001</v>
      </c>
      <c r="H74" s="19">
        <v>9079</v>
      </c>
      <c r="I74" s="36">
        <v>140.48388775797773</v>
      </c>
      <c r="J74" s="10">
        <f t="shared" si="2"/>
        <v>23195924.139878277</v>
      </c>
      <c r="K74" s="10"/>
      <c r="L74" s="15"/>
    </row>
    <row r="75" spans="1:10" ht="12.75">
      <c r="A75" s="3">
        <v>39448</v>
      </c>
      <c r="B75" s="27">
        <v>23032111</v>
      </c>
      <c r="C75" s="23">
        <f>'Weather Analysis'!R8</f>
        <v>753.1</v>
      </c>
      <c r="D75" s="23">
        <f>'Weather Analysis'!R28</f>
        <v>0</v>
      </c>
      <c r="E75" s="10">
        <v>31</v>
      </c>
      <c r="F75" s="10">
        <v>0</v>
      </c>
      <c r="G75" s="19">
        <f>'CDM Activity'!F40</f>
        <v>114091.44779339395</v>
      </c>
      <c r="H75" s="19">
        <v>9087</v>
      </c>
      <c r="I75" s="34">
        <v>140.42521823206457</v>
      </c>
      <c r="J75" s="10">
        <f t="shared" si="2"/>
        <v>23075581.895511873</v>
      </c>
    </row>
    <row r="76" spans="1:10" ht="12.75">
      <c r="A76" s="3">
        <v>39479</v>
      </c>
      <c r="B76" s="27">
        <v>22156585</v>
      </c>
      <c r="C76" s="23">
        <f>'Weather Analysis'!R9</f>
        <v>815.6</v>
      </c>
      <c r="D76" s="23">
        <f>'Weather Analysis'!R29</f>
        <v>0</v>
      </c>
      <c r="E76" s="10">
        <v>29</v>
      </c>
      <c r="F76" s="10">
        <v>0</v>
      </c>
      <c r="G76" s="19">
        <f>'CDM Activity'!F41</f>
        <v>115820.23990386789</v>
      </c>
      <c r="H76" s="19">
        <v>9084</v>
      </c>
      <c r="I76" s="34">
        <v>140.36657320798807</v>
      </c>
      <c r="J76" s="10">
        <f t="shared" si="2"/>
        <v>22585709.34171319</v>
      </c>
    </row>
    <row r="77" spans="1:10" ht="12.75">
      <c r="A77" s="3">
        <v>39508</v>
      </c>
      <c r="B77" s="27">
        <v>22013050</v>
      </c>
      <c r="C77" s="23">
        <f>'Weather Analysis'!R10</f>
        <v>760.5</v>
      </c>
      <c r="D77" s="23">
        <f>'Weather Analysis'!R30</f>
        <v>0</v>
      </c>
      <c r="E77" s="10">
        <v>31</v>
      </c>
      <c r="F77" s="10">
        <v>1</v>
      </c>
      <c r="G77" s="19">
        <f>'CDM Activity'!F42</f>
        <v>117549.03201434182</v>
      </c>
      <c r="H77" s="19">
        <v>9096</v>
      </c>
      <c r="I77" s="34">
        <v>140.30795267551565</v>
      </c>
      <c r="J77" s="10">
        <f t="shared" si="2"/>
        <v>21766914.26700972</v>
      </c>
    </row>
    <row r="78" spans="1:10" ht="12.75">
      <c r="A78" s="3">
        <v>39539</v>
      </c>
      <c r="B78" s="27">
        <v>17842658</v>
      </c>
      <c r="C78" s="23">
        <f>'Weather Analysis'!R11</f>
        <v>348.6</v>
      </c>
      <c r="D78" s="23">
        <f>'Weather Analysis'!R31</f>
        <v>0</v>
      </c>
      <c r="E78" s="10">
        <v>30</v>
      </c>
      <c r="F78" s="10">
        <v>1</v>
      </c>
      <c r="G78" s="19">
        <f>'CDM Activity'!F43</f>
        <v>119277.82412481576</v>
      </c>
      <c r="H78" s="19">
        <v>9108</v>
      </c>
      <c r="I78" s="34">
        <v>140.24935662441902</v>
      </c>
      <c r="J78" s="10">
        <f t="shared" si="2"/>
        <v>17817179.499684814</v>
      </c>
    </row>
    <row r="79" spans="1:10" ht="12.75">
      <c r="A79" s="3">
        <v>39569</v>
      </c>
      <c r="B79" s="27">
        <v>17029191</v>
      </c>
      <c r="C79" s="23">
        <f>'Weather Analysis'!R12</f>
        <v>277.3</v>
      </c>
      <c r="D79" s="23">
        <f>'Weather Analysis'!R32</f>
        <v>0</v>
      </c>
      <c r="E79" s="10">
        <v>31</v>
      </c>
      <c r="F79" s="10">
        <v>1</v>
      </c>
      <c r="G79" s="19">
        <f>'CDM Activity'!F44</f>
        <v>121006.6162352897</v>
      </c>
      <c r="H79" s="19">
        <v>9121</v>
      </c>
      <c r="I79" s="34">
        <v>140.19078504447415</v>
      </c>
      <c r="J79" s="10">
        <f t="shared" si="2"/>
        <v>17711308.323199593</v>
      </c>
    </row>
    <row r="80" spans="1:10" ht="12.75">
      <c r="A80" s="3">
        <v>39600</v>
      </c>
      <c r="B80" s="27">
        <v>16878293</v>
      </c>
      <c r="C80" s="23">
        <f>'Weather Analysis'!R13</f>
        <v>48.4</v>
      </c>
      <c r="D80" s="23">
        <f>'Weather Analysis'!R33</f>
        <v>36.4</v>
      </c>
      <c r="E80" s="10">
        <v>30</v>
      </c>
      <c r="F80" s="10">
        <v>0</v>
      </c>
      <c r="G80" s="19">
        <f>'CDM Activity'!F45</f>
        <v>122735.40834576363</v>
      </c>
      <c r="H80" s="19">
        <v>9152</v>
      </c>
      <c r="I80" s="34">
        <v>140.1322379254613</v>
      </c>
      <c r="J80" s="10">
        <f t="shared" si="2"/>
        <v>17102544.88934</v>
      </c>
    </row>
    <row r="81" spans="1:10" ht="12.75">
      <c r="A81" s="3">
        <v>39630</v>
      </c>
      <c r="B81" s="27">
        <v>18183975</v>
      </c>
      <c r="C81" s="23">
        <f>'Weather Analysis'!R14</f>
        <v>13.9</v>
      </c>
      <c r="D81" s="23">
        <f>'Weather Analysis'!R34</f>
        <v>54.1</v>
      </c>
      <c r="E81" s="10">
        <v>31</v>
      </c>
      <c r="F81" s="10">
        <v>0</v>
      </c>
      <c r="G81" s="19">
        <f>'CDM Activity'!F46</f>
        <v>124464.20045623757</v>
      </c>
      <c r="H81" s="19">
        <v>9169</v>
      </c>
      <c r="I81" s="34">
        <v>140.073715257165</v>
      </c>
      <c r="J81" s="10">
        <f t="shared" si="2"/>
        <v>17529918.213214733</v>
      </c>
    </row>
    <row r="82" spans="1:10" ht="12.75">
      <c r="A82" s="3">
        <v>39661</v>
      </c>
      <c r="B82" s="27">
        <v>17732167</v>
      </c>
      <c r="C82" s="23">
        <f>'Weather Analysis'!R15</f>
        <v>39.4</v>
      </c>
      <c r="D82" s="23">
        <f>'Weather Analysis'!R35</f>
        <v>26</v>
      </c>
      <c r="E82" s="10">
        <v>31</v>
      </c>
      <c r="F82" s="10">
        <v>0</v>
      </c>
      <c r="G82" s="19">
        <f>'CDM Activity'!F47</f>
        <v>126192.9925667115</v>
      </c>
      <c r="H82" s="19">
        <v>9199</v>
      </c>
      <c r="I82" s="34">
        <v>140.01521702937399</v>
      </c>
      <c r="J82" s="10">
        <f t="shared" si="2"/>
        <v>17372933.003121436</v>
      </c>
    </row>
    <row r="83" spans="1:10" ht="12.75">
      <c r="A83" s="3">
        <v>39692</v>
      </c>
      <c r="B83" s="27">
        <v>16860353</v>
      </c>
      <c r="C83" s="23">
        <f>'Weather Analysis'!R16</f>
        <v>132.7</v>
      </c>
      <c r="D83" s="23">
        <f>'Weather Analysis'!R36</f>
        <v>5.1</v>
      </c>
      <c r="E83" s="10">
        <v>30</v>
      </c>
      <c r="F83" s="10">
        <v>1</v>
      </c>
      <c r="G83" s="19">
        <f>'CDM Activity'!F48</f>
        <v>127921.78467718544</v>
      </c>
      <c r="H83" s="19">
        <v>9220</v>
      </c>
      <c r="I83" s="34">
        <v>139.95674323188132</v>
      </c>
      <c r="J83" s="10">
        <f t="shared" si="2"/>
        <v>16025099.054740606</v>
      </c>
    </row>
    <row r="84" spans="1:10" ht="12.75">
      <c r="A84" s="3">
        <v>39722</v>
      </c>
      <c r="B84" s="27">
        <v>18640281</v>
      </c>
      <c r="C84" s="23">
        <f>'Weather Analysis'!R17</f>
        <v>372.5</v>
      </c>
      <c r="D84" s="23">
        <f>'Weather Analysis'!R37</f>
        <v>0</v>
      </c>
      <c r="E84" s="10">
        <v>31</v>
      </c>
      <c r="F84" s="10">
        <v>1</v>
      </c>
      <c r="G84" s="19">
        <f>'CDM Activity'!F49</f>
        <v>129650.57678765937</v>
      </c>
      <c r="H84" s="19">
        <v>9231</v>
      </c>
      <c r="I84" s="34">
        <v>139.8982938544843</v>
      </c>
      <c r="J84" s="10">
        <f t="shared" si="2"/>
        <v>18451080.422660623</v>
      </c>
    </row>
    <row r="85" spans="1:10" ht="12.75">
      <c r="A85" s="3">
        <v>39753</v>
      </c>
      <c r="B85" s="27">
        <v>19886751</v>
      </c>
      <c r="C85" s="23">
        <f>'Weather Analysis'!R18</f>
        <v>555.9</v>
      </c>
      <c r="D85" s="23">
        <f>'Weather Analysis'!R38</f>
        <v>0</v>
      </c>
      <c r="E85" s="10">
        <v>30</v>
      </c>
      <c r="F85" s="10">
        <v>1</v>
      </c>
      <c r="G85" s="19">
        <f>'CDM Activity'!F50</f>
        <v>131379.3688981333</v>
      </c>
      <c r="H85" s="19">
        <v>9248</v>
      </c>
      <c r="I85" s="34">
        <v>139.83986888698453</v>
      </c>
      <c r="J85" s="10">
        <f t="shared" si="2"/>
        <v>19470760.846161816</v>
      </c>
    </row>
    <row r="86" spans="1:12" ht="12.75">
      <c r="A86" s="3">
        <v>39783</v>
      </c>
      <c r="B86" s="27">
        <v>22939032</v>
      </c>
      <c r="C86" s="23">
        <f>'Weather Analysis'!R19</f>
        <v>782.6</v>
      </c>
      <c r="D86" s="23">
        <f>'Weather Analysis'!R39</f>
        <v>0</v>
      </c>
      <c r="E86" s="10">
        <v>31</v>
      </c>
      <c r="F86" s="10">
        <v>0</v>
      </c>
      <c r="G86" s="19">
        <f>'CDM Activity'!F51</f>
        <v>133108.16100860725</v>
      </c>
      <c r="H86" s="19">
        <v>9257</v>
      </c>
      <c r="I86" s="34">
        <v>139.78146831918784</v>
      </c>
      <c r="J86" s="10">
        <f t="shared" si="2"/>
        <v>23200986.495449524</v>
      </c>
      <c r="K86" s="49"/>
      <c r="L86" s="23"/>
    </row>
    <row r="87" spans="1:11" ht="12.75">
      <c r="A87" s="3">
        <v>39814</v>
      </c>
      <c r="B87" s="27">
        <v>25179016</v>
      </c>
      <c r="C87" s="23">
        <f>'Weather Analysis'!S8</f>
        <v>995.4</v>
      </c>
      <c r="D87" s="23">
        <f>'Weather Analysis'!S28</f>
        <v>0</v>
      </c>
      <c r="E87" s="10">
        <v>31</v>
      </c>
      <c r="F87" s="10">
        <v>0</v>
      </c>
      <c r="G87" s="19">
        <f>'CDM Activity'!F52</f>
        <v>140636.9675999444</v>
      </c>
      <c r="H87" s="19">
        <v>9260</v>
      </c>
      <c r="I87" s="34">
        <v>139.3791116068711</v>
      </c>
      <c r="J87" s="10">
        <f t="shared" si="2"/>
        <v>24929540.886255685</v>
      </c>
      <c r="K87" s="47"/>
    </row>
    <row r="88" spans="1:11" ht="12.75">
      <c r="A88" s="3">
        <v>39845</v>
      </c>
      <c r="B88" s="27">
        <v>20744809</v>
      </c>
      <c r="C88" s="23">
        <f>'Weather Analysis'!S9</f>
        <v>723.7</v>
      </c>
      <c r="D88" s="23">
        <f>'Weather Analysis'!S29</f>
        <v>0</v>
      </c>
      <c r="E88" s="10">
        <v>28</v>
      </c>
      <c r="F88" s="10">
        <v>0</v>
      </c>
      <c r="G88" s="19">
        <f>'CDM Activity'!F53</f>
        <v>148165.77419128153</v>
      </c>
      <c r="H88" s="19">
        <v>9265</v>
      </c>
      <c r="I88" s="34">
        <v>138.97791306613385</v>
      </c>
      <c r="J88" s="10">
        <f t="shared" si="2"/>
        <v>21112680.473765224</v>
      </c>
      <c r="K88" s="47"/>
    </row>
    <row r="89" spans="1:11" ht="12.75">
      <c r="A89" s="3">
        <v>39873</v>
      </c>
      <c r="B89" s="27">
        <v>20987646</v>
      </c>
      <c r="C89" s="23">
        <f>'Weather Analysis'!S10</f>
        <v>652.3</v>
      </c>
      <c r="D89" s="23">
        <f>'Weather Analysis'!S30</f>
        <v>0</v>
      </c>
      <c r="E89" s="10">
        <v>31</v>
      </c>
      <c r="F89" s="10">
        <v>1</v>
      </c>
      <c r="G89" s="19">
        <f>'CDM Activity'!F54</f>
        <v>155694.58078261866</v>
      </c>
      <c r="H89" s="19">
        <v>9272</v>
      </c>
      <c r="I89" s="34">
        <v>138.57786936321438</v>
      </c>
      <c r="J89" s="10">
        <f t="shared" si="2"/>
        <v>20621267.22085898</v>
      </c>
      <c r="K89" s="47"/>
    </row>
    <row r="90" spans="1:12" ht="12.75">
      <c r="A90" s="3">
        <v>39904</v>
      </c>
      <c r="B90" s="27">
        <v>17548619</v>
      </c>
      <c r="C90" s="23">
        <f>'Weather Analysis'!S11</f>
        <v>379.9</v>
      </c>
      <c r="D90" s="23">
        <f>'Weather Analysis'!S31</f>
        <v>0</v>
      </c>
      <c r="E90" s="10">
        <v>30</v>
      </c>
      <c r="F90" s="10">
        <v>1</v>
      </c>
      <c r="G90" s="19">
        <f>'CDM Activity'!F55</f>
        <v>163223.3873739558</v>
      </c>
      <c r="H90" s="19">
        <v>9272</v>
      </c>
      <c r="I90" s="34">
        <v>138.17897717394706</v>
      </c>
      <c r="J90" s="10">
        <f t="shared" si="2"/>
        <v>17799183.54446445</v>
      </c>
      <c r="K90" s="47"/>
      <c r="L90" s="47"/>
    </row>
    <row r="91" spans="1:11" ht="12.75">
      <c r="A91" s="3">
        <v>39934</v>
      </c>
      <c r="B91" s="27">
        <v>16339291</v>
      </c>
      <c r="C91" s="23">
        <f>'Weather Analysis'!S12</f>
        <v>231</v>
      </c>
      <c r="D91" s="23">
        <f>'Weather Analysis'!S32</f>
        <v>0</v>
      </c>
      <c r="E91" s="10">
        <v>31</v>
      </c>
      <c r="F91" s="10">
        <v>1</v>
      </c>
      <c r="G91" s="19">
        <f>'CDM Activity'!F56</f>
        <v>170752.19396529294</v>
      </c>
      <c r="H91" s="19">
        <v>9277</v>
      </c>
      <c r="I91" s="34">
        <v>137.78123318373483</v>
      </c>
      <c r="J91" s="10">
        <f t="shared" si="2"/>
        <v>17008667.074014004</v>
      </c>
      <c r="K91" s="47"/>
    </row>
    <row r="92" spans="1:11" ht="12.75">
      <c r="A92" s="3">
        <v>39965</v>
      </c>
      <c r="B92" s="27">
        <v>16363954</v>
      </c>
      <c r="C92" s="23">
        <f>'Weather Analysis'!S13</f>
        <v>105.4</v>
      </c>
      <c r="D92" s="23">
        <f>'Weather Analysis'!S33</f>
        <v>19.1</v>
      </c>
      <c r="E92" s="10">
        <v>30</v>
      </c>
      <c r="F92" s="10">
        <v>0</v>
      </c>
      <c r="G92" s="19">
        <f>'CDM Activity'!F57</f>
        <v>178281.00055663008</v>
      </c>
      <c r="H92" s="19">
        <v>9286</v>
      </c>
      <c r="I92" s="34">
        <v>137.38463408752156</v>
      </c>
      <c r="J92" s="10">
        <f t="shared" si="2"/>
        <v>17004427.294441767</v>
      </c>
      <c r="K92" s="47"/>
    </row>
    <row r="93" spans="1:11" ht="12.75">
      <c r="A93" s="3">
        <v>39995</v>
      </c>
      <c r="B93" s="27">
        <v>17069905</v>
      </c>
      <c r="C93" s="23">
        <f>'Weather Analysis'!S14</f>
        <v>38.6</v>
      </c>
      <c r="D93" s="23">
        <f>'Weather Analysis'!S34</f>
        <v>10.3</v>
      </c>
      <c r="E93" s="10">
        <v>31</v>
      </c>
      <c r="F93" s="10">
        <v>0</v>
      </c>
      <c r="G93" s="19">
        <f>'CDM Activity'!F58</f>
        <v>185809.80714796722</v>
      </c>
      <c r="H93" s="19">
        <v>9312</v>
      </c>
      <c r="I93" s="34">
        <v>136.98917658976464</v>
      </c>
      <c r="J93" s="10">
        <f t="shared" si="2"/>
        <v>16786875.935717184</v>
      </c>
      <c r="K93" s="47"/>
    </row>
    <row r="94" spans="1:11" ht="12.75">
      <c r="A94" s="3">
        <v>40026</v>
      </c>
      <c r="B94" s="27">
        <v>17698258</v>
      </c>
      <c r="C94" s="23">
        <f>'Weather Analysis'!S15</f>
        <v>56.9</v>
      </c>
      <c r="D94" s="23">
        <f>'Weather Analysis'!S35</f>
        <v>39.8</v>
      </c>
      <c r="E94" s="10">
        <v>31</v>
      </c>
      <c r="F94" s="10">
        <v>0</v>
      </c>
      <c r="G94" s="19">
        <f>'CDM Activity'!F59</f>
        <v>193338.61373930436</v>
      </c>
      <c r="H94" s="19">
        <v>9333</v>
      </c>
      <c r="I94" s="34">
        <v>136.59485740440758</v>
      </c>
      <c r="J94" s="10">
        <f t="shared" si="2"/>
        <v>17268538.617224053</v>
      </c>
      <c r="K94" s="47"/>
    </row>
    <row r="95" spans="1:11" ht="12.75">
      <c r="A95" s="3">
        <v>40057</v>
      </c>
      <c r="B95" s="27">
        <v>16401389</v>
      </c>
      <c r="C95" s="23">
        <f>'Weather Analysis'!S16</f>
        <v>115.6</v>
      </c>
      <c r="D95" s="23">
        <f>'Weather Analysis'!S36</f>
        <v>2.7</v>
      </c>
      <c r="E95" s="10">
        <v>30</v>
      </c>
      <c r="F95" s="10">
        <v>1</v>
      </c>
      <c r="G95" s="19">
        <f>'CDM Activity'!F60</f>
        <v>200867.4203306415</v>
      </c>
      <c r="H95" s="19">
        <v>9340</v>
      </c>
      <c r="I95" s="34">
        <v>136.20167325485272</v>
      </c>
      <c r="J95" s="10">
        <f t="shared" si="2"/>
        <v>15388121.825910069</v>
      </c>
      <c r="K95" s="47"/>
    </row>
    <row r="96" spans="1:11" ht="12.75">
      <c r="A96" s="3">
        <v>40087</v>
      </c>
      <c r="B96" s="27">
        <v>18036761</v>
      </c>
      <c r="C96" s="23">
        <f>'Weather Analysis'!S17</f>
        <v>341.6</v>
      </c>
      <c r="D96" s="23">
        <f>'Weather Analysis'!S37</f>
        <v>0</v>
      </c>
      <c r="E96" s="10">
        <v>31</v>
      </c>
      <c r="F96" s="10">
        <v>1</v>
      </c>
      <c r="G96" s="19">
        <f>'CDM Activity'!F61</f>
        <v>208396.22692197864</v>
      </c>
      <c r="H96" s="19">
        <v>9341</v>
      </c>
      <c r="I96" s="34">
        <v>135.80962087393394</v>
      </c>
      <c r="J96" s="10">
        <f t="shared" si="2"/>
        <v>17692694.79331676</v>
      </c>
      <c r="K96" s="47"/>
    </row>
    <row r="97" spans="1:11" ht="12.75">
      <c r="A97" s="3">
        <v>40118</v>
      </c>
      <c r="B97" s="27">
        <v>18073124</v>
      </c>
      <c r="C97" s="23">
        <f>'Weather Analysis'!S18</f>
        <v>414.1</v>
      </c>
      <c r="D97" s="23">
        <f>'Weather Analysis'!S38</f>
        <v>0</v>
      </c>
      <c r="E97" s="10">
        <v>30</v>
      </c>
      <c r="F97" s="10">
        <v>1</v>
      </c>
      <c r="G97" s="19">
        <f>'CDM Activity'!F62</f>
        <v>215925.03351331578</v>
      </c>
      <c r="H97" s="19">
        <v>9344</v>
      </c>
      <c r="I97" s="34">
        <v>135.41869700388958</v>
      </c>
      <c r="J97" s="10">
        <f t="shared" si="2"/>
        <v>17749749.86934273</v>
      </c>
      <c r="K97" s="47"/>
    </row>
    <row r="98" spans="1:11" ht="12.75">
      <c r="A98" s="3">
        <v>40148</v>
      </c>
      <c r="B98" s="27">
        <v>21527001</v>
      </c>
      <c r="C98" s="23">
        <f>'Weather Analysis'!S19</f>
        <v>750.2</v>
      </c>
      <c r="D98" s="23">
        <f>'Weather Analysis'!S39</f>
        <v>0</v>
      </c>
      <c r="E98" s="10">
        <v>31</v>
      </c>
      <c r="F98" s="10">
        <v>0</v>
      </c>
      <c r="G98" s="19">
        <f>'CDM Activity'!F63</f>
        <v>223453.84010465292</v>
      </c>
      <c r="H98" s="19">
        <v>9343</v>
      </c>
      <c r="I98" s="34">
        <v>135.02889839633545</v>
      </c>
      <c r="J98" s="10">
        <f t="shared" si="2"/>
        <v>22356359.353985693</v>
      </c>
      <c r="K98" s="47"/>
    </row>
    <row r="99" spans="1:11" ht="12.75">
      <c r="A99" s="3">
        <v>40179</v>
      </c>
      <c r="B99" s="27">
        <v>23172597</v>
      </c>
      <c r="C99" s="23">
        <f>'Weather Analysis'!T8</f>
        <v>839.2</v>
      </c>
      <c r="D99" s="23">
        <f>'Weather Analysis'!T28</f>
        <v>0</v>
      </c>
      <c r="E99" s="10">
        <v>31</v>
      </c>
      <c r="F99" s="10">
        <v>0</v>
      </c>
      <c r="G99" s="19">
        <f>'CDM Activity'!F64</f>
        <v>215982.78044620546</v>
      </c>
      <c r="H99" s="19">
        <v>9362</v>
      </c>
      <c r="I99" s="34">
        <v>135.32901731143812</v>
      </c>
      <c r="J99" s="10">
        <f aca="true" t="shared" si="3" ref="J99:J130">$N$18+C99*$N$19+D99*$N$20+E99*$N$21+F99*$N$22+G99*$N$23</f>
        <v>23146788.728172906</v>
      </c>
      <c r="K99" s="47"/>
    </row>
    <row r="100" spans="1:11" ht="12.75">
      <c r="A100" s="3">
        <v>40210</v>
      </c>
      <c r="B100" s="27">
        <v>20395977</v>
      </c>
      <c r="C100" s="23">
        <f>'Weather Analysis'!T9</f>
        <v>647.5</v>
      </c>
      <c r="D100" s="23">
        <f>'Weather Analysis'!T29</f>
        <v>0</v>
      </c>
      <c r="E100" s="10">
        <v>28</v>
      </c>
      <c r="F100" s="10">
        <v>0</v>
      </c>
      <c r="G100" s="19">
        <f>'CDM Activity'!F65</f>
        <v>208511.720787758</v>
      </c>
      <c r="H100" s="19">
        <v>9360</v>
      </c>
      <c r="I100" s="34">
        <v>135.62980327903304</v>
      </c>
      <c r="J100" s="10">
        <f t="shared" si="3"/>
        <v>20093074.617542177</v>
      </c>
      <c r="K100" s="47"/>
    </row>
    <row r="101" spans="1:11" ht="12.75">
      <c r="A101" s="3">
        <v>40238</v>
      </c>
      <c r="B101" s="27">
        <v>18966083</v>
      </c>
      <c r="C101" s="23">
        <f>'Weather Analysis'!T10</f>
        <v>427</v>
      </c>
      <c r="D101" s="23">
        <f>'Weather Analysis'!T30</f>
        <v>0</v>
      </c>
      <c r="E101" s="10">
        <v>31</v>
      </c>
      <c r="F101" s="10">
        <v>1</v>
      </c>
      <c r="G101" s="19">
        <f>'CDM Activity'!F66</f>
        <v>201040.66112931055</v>
      </c>
      <c r="H101" s="19">
        <v>9369</v>
      </c>
      <c r="I101" s="34">
        <v>135.9312577817293</v>
      </c>
      <c r="J101" s="10">
        <f t="shared" si="3"/>
        <v>18452338.289344214</v>
      </c>
      <c r="K101" s="47"/>
    </row>
    <row r="102" spans="1:11" ht="12.75">
      <c r="A102" s="3">
        <v>40269</v>
      </c>
      <c r="B102" s="27">
        <v>15876110</v>
      </c>
      <c r="C102" s="23">
        <f>'Weather Analysis'!T11</f>
        <v>287.3</v>
      </c>
      <c r="D102" s="23">
        <f>'Weather Analysis'!T31</f>
        <v>0</v>
      </c>
      <c r="E102" s="10">
        <v>30</v>
      </c>
      <c r="F102" s="10">
        <v>1</v>
      </c>
      <c r="G102" s="19">
        <f>'CDM Activity'!F67</f>
        <v>193569.6014708631</v>
      </c>
      <c r="H102" s="19">
        <v>9370</v>
      </c>
      <c r="I102" s="34">
        <v>136.23338230543126</v>
      </c>
      <c r="J102" s="10">
        <f t="shared" si="3"/>
        <v>16833327.305799738</v>
      </c>
      <c r="K102" s="47"/>
    </row>
    <row r="103" spans="1:11" ht="12.75">
      <c r="A103" s="3">
        <v>40299</v>
      </c>
      <c r="B103" s="27">
        <v>16780450</v>
      </c>
      <c r="C103" s="23">
        <f>'Weather Analysis'!T12</f>
        <v>151.6</v>
      </c>
      <c r="D103" s="23">
        <f>'Weather Analysis'!T32</f>
        <v>22.9</v>
      </c>
      <c r="E103" s="10">
        <v>31</v>
      </c>
      <c r="F103" s="10">
        <v>1</v>
      </c>
      <c r="G103" s="19">
        <f>'CDM Activity'!F68</f>
        <v>186098.54181241564</v>
      </c>
      <c r="H103" s="19">
        <v>9376</v>
      </c>
      <c r="I103" s="34">
        <v>136.5361783393459</v>
      </c>
      <c r="J103" s="10">
        <f t="shared" si="3"/>
        <v>16540784.187780693</v>
      </c>
      <c r="K103" s="47"/>
    </row>
    <row r="104" spans="1:11" ht="12.75">
      <c r="A104" s="3">
        <v>40330</v>
      </c>
      <c r="B104" s="27">
        <v>15920655</v>
      </c>
      <c r="C104" s="23">
        <f>'Weather Analysis'!T13</f>
        <v>66.2</v>
      </c>
      <c r="D104" s="23">
        <f>'Weather Analysis'!T33</f>
        <v>12</v>
      </c>
      <c r="E104" s="10">
        <v>30</v>
      </c>
      <c r="F104" s="10">
        <v>0</v>
      </c>
      <c r="G104" s="19">
        <f>'CDM Activity'!F69</f>
        <v>178627.4821539682</v>
      </c>
      <c r="H104" s="19">
        <v>9381</v>
      </c>
      <c r="I104" s="34">
        <v>136.83964737599013</v>
      </c>
      <c r="J104" s="10">
        <f t="shared" si="3"/>
        <v>16584319.227941629</v>
      </c>
      <c r="K104" s="47"/>
    </row>
    <row r="105" spans="1:11" ht="12.75">
      <c r="A105" s="3">
        <v>40360</v>
      </c>
      <c r="B105" s="27">
        <v>18247719</v>
      </c>
      <c r="C105" s="23">
        <f>'Weather Analysis'!T14</f>
        <v>13.1</v>
      </c>
      <c r="D105" s="23">
        <f>'Weather Analysis'!T34</f>
        <v>95.7</v>
      </c>
      <c r="E105" s="10">
        <v>31</v>
      </c>
      <c r="F105" s="10">
        <v>0</v>
      </c>
      <c r="G105" s="19">
        <f>'CDM Activity'!F70</f>
        <v>171156.42249552073</v>
      </c>
      <c r="H105" s="19">
        <v>9405</v>
      </c>
      <c r="I105" s="34">
        <v>137.1437909111982</v>
      </c>
      <c r="J105" s="10">
        <f t="shared" si="3"/>
        <v>17757779.15044797</v>
      </c>
      <c r="K105" s="47"/>
    </row>
    <row r="106" spans="1:11" ht="12.75">
      <c r="A106" s="3">
        <v>40391</v>
      </c>
      <c r="B106" s="27">
        <v>18196813</v>
      </c>
      <c r="C106" s="23">
        <f>'Weather Analysis'!T15</f>
        <v>25.9</v>
      </c>
      <c r="D106" s="23">
        <f>'Weather Analysis'!T35</f>
        <v>61.1</v>
      </c>
      <c r="E106" s="10">
        <v>31</v>
      </c>
      <c r="F106" s="10">
        <v>0</v>
      </c>
      <c r="G106" s="19">
        <f>'CDM Activity'!F71</f>
        <v>163685.36283707328</v>
      </c>
      <c r="H106" s="19">
        <v>9432</v>
      </c>
      <c r="I106" s="34">
        <v>137.44861044412903</v>
      </c>
      <c r="J106" s="10">
        <f t="shared" si="3"/>
        <v>17470232.20380145</v>
      </c>
      <c r="K106" s="47"/>
    </row>
    <row r="107" spans="1:11" ht="12.75">
      <c r="A107" s="3">
        <v>40422</v>
      </c>
      <c r="B107" s="27">
        <v>16287609</v>
      </c>
      <c r="C107" s="23">
        <f>'Weather Analysis'!T16</f>
        <v>143.1</v>
      </c>
      <c r="D107" s="23">
        <f>'Weather Analysis'!T36</f>
        <v>17.5</v>
      </c>
      <c r="E107" s="10">
        <v>30</v>
      </c>
      <c r="F107" s="10">
        <v>1</v>
      </c>
      <c r="G107" s="19">
        <f>'CDM Activity'!F72</f>
        <v>156214.30317862582</v>
      </c>
      <c r="H107" s="19">
        <v>9436</v>
      </c>
      <c r="I107" s="34">
        <v>137.7541074772736</v>
      </c>
      <c r="J107" s="10">
        <f t="shared" si="3"/>
        <v>16090473.374029672</v>
      </c>
      <c r="K107" s="47"/>
    </row>
    <row r="108" spans="1:11" ht="12.75">
      <c r="A108" s="3">
        <v>40452</v>
      </c>
      <c r="B108" s="27">
        <v>17018502</v>
      </c>
      <c r="C108" s="23">
        <f>'Weather Analysis'!T17</f>
        <v>318.6</v>
      </c>
      <c r="D108" s="23">
        <f>'Weather Analysis'!T37</f>
        <v>0</v>
      </c>
      <c r="E108" s="10">
        <v>31</v>
      </c>
      <c r="F108" s="10">
        <v>1</v>
      </c>
      <c r="G108" s="19">
        <f>'CDM Activity'!F73</f>
        <v>148743.24352017837</v>
      </c>
      <c r="H108" s="19">
        <v>9433</v>
      </c>
      <c r="I108" s="34">
        <v>138.0602835164624</v>
      </c>
      <c r="J108" s="10">
        <f t="shared" si="3"/>
        <v>17879800.030660048</v>
      </c>
      <c r="K108" s="47"/>
    </row>
    <row r="109" spans="1:11" ht="12.75">
      <c r="A109" s="3">
        <v>40483</v>
      </c>
      <c r="B109" s="27">
        <v>18275778</v>
      </c>
      <c r="C109" s="23">
        <f>'Weather Analysis'!T18</f>
        <v>398.8</v>
      </c>
      <c r="D109" s="23">
        <f>'Weather Analysis'!T38</f>
        <v>0</v>
      </c>
      <c r="E109" s="10">
        <v>30</v>
      </c>
      <c r="F109" s="10">
        <v>1</v>
      </c>
      <c r="G109" s="19">
        <f>'CDM Activity'!F74</f>
        <v>141272.1838617309</v>
      </c>
      <c r="H109" s="19">
        <v>9439</v>
      </c>
      <c r="I109" s="34">
        <v>138.36714007087275</v>
      </c>
      <c r="J109" s="10">
        <f t="shared" si="3"/>
        <v>18096459.1302042</v>
      </c>
      <c r="K109" s="47"/>
    </row>
    <row r="110" spans="1:11" ht="12.75">
      <c r="A110" s="3">
        <v>40513</v>
      </c>
      <c r="B110" s="27">
        <v>22070790</v>
      </c>
      <c r="C110" s="23">
        <f>'Weather Analysis'!T19</f>
        <v>776.1</v>
      </c>
      <c r="D110" s="23">
        <f>'Weather Analysis'!T39</f>
        <v>0</v>
      </c>
      <c r="E110" s="10">
        <v>31</v>
      </c>
      <c r="F110" s="10">
        <v>0</v>
      </c>
      <c r="G110" s="19">
        <f>'CDM Activity'!F75</f>
        <v>133801.12420328346</v>
      </c>
      <c r="H110" s="19">
        <v>9443</v>
      </c>
      <c r="I110" s="34">
        <v>138.6746786530365</v>
      </c>
      <c r="J110" s="10">
        <f t="shared" si="3"/>
        <v>23142322.241746288</v>
      </c>
      <c r="K110" s="47"/>
    </row>
    <row r="111" spans="1:10" ht="12.75">
      <c r="A111" s="3">
        <v>40544</v>
      </c>
      <c r="B111" s="27">
        <v>23225566</v>
      </c>
      <c r="C111" s="23">
        <f>'Weather Analysis'!U8</f>
        <v>891.9</v>
      </c>
      <c r="D111" s="23">
        <f>'Weather Analysis'!U28</f>
        <v>0</v>
      </c>
      <c r="E111" s="47">
        <v>31</v>
      </c>
      <c r="F111" s="10">
        <v>0</v>
      </c>
      <c r="G111" s="19">
        <f>'CDM Activity'!F76</f>
        <v>143447.48113738885</v>
      </c>
      <c r="H111" s="19">
        <v>9438</v>
      </c>
      <c r="I111" s="34">
        <v>139.03916243618784</v>
      </c>
      <c r="J111" s="10">
        <f t="shared" si="3"/>
        <v>24047687.601655945</v>
      </c>
    </row>
    <row r="112" spans="1:10" ht="12.75">
      <c r="A112" s="3">
        <v>40575</v>
      </c>
      <c r="B112" s="27">
        <v>20579135</v>
      </c>
      <c r="C112" s="23">
        <f>'Weather Analysis'!U9</f>
        <v>650.9</v>
      </c>
      <c r="D112" s="23">
        <f>'Weather Analysis'!U29</f>
        <v>0</v>
      </c>
      <c r="E112" s="47">
        <v>28</v>
      </c>
      <c r="F112" s="10">
        <v>0</v>
      </c>
      <c r="G112" s="19">
        <f>'CDM Activity'!F77</f>
        <v>153093.83807149425</v>
      </c>
      <c r="H112" s="19">
        <v>9519</v>
      </c>
      <c r="I112" s="34">
        <v>139.4046042055373</v>
      </c>
      <c r="J112" s="10">
        <f t="shared" si="3"/>
        <v>20473645.75085842</v>
      </c>
    </row>
    <row r="113" spans="1:10" ht="12.75">
      <c r="A113" s="3">
        <v>40603</v>
      </c>
      <c r="B113" s="27">
        <v>20876532</v>
      </c>
      <c r="C113" s="23">
        <f>'Weather Analysis'!U10</f>
        <v>574.8</v>
      </c>
      <c r="D113" s="23">
        <f>'Weather Analysis'!U30</f>
        <v>0</v>
      </c>
      <c r="E113" s="47">
        <v>31</v>
      </c>
      <c r="F113" s="10">
        <v>1</v>
      </c>
      <c r="G113" s="19">
        <f>'CDM Activity'!F78</f>
        <v>162740.19500559964</v>
      </c>
      <c r="H113" s="19">
        <v>9533</v>
      </c>
      <c r="I113" s="34">
        <v>139.77100647899545</v>
      </c>
      <c r="J113" s="10">
        <f t="shared" si="3"/>
        <v>19929540.732490327</v>
      </c>
    </row>
    <row r="114" spans="1:10" ht="12.75">
      <c r="A114" s="3">
        <v>40634</v>
      </c>
      <c r="B114" s="27">
        <v>17445769</v>
      </c>
      <c r="C114" s="23">
        <f>'Weather Analysis'!U11</f>
        <v>400.5</v>
      </c>
      <c r="D114" s="23">
        <f>'Weather Analysis'!U31</f>
        <v>0</v>
      </c>
      <c r="E114" s="47">
        <v>30</v>
      </c>
      <c r="F114" s="10">
        <v>1</v>
      </c>
      <c r="G114" s="19">
        <f>'CDM Activity'!F79</f>
        <v>172386.55193970504</v>
      </c>
      <c r="H114" s="19">
        <v>9536</v>
      </c>
      <c r="I114" s="34">
        <v>140.1383717810907</v>
      </c>
      <c r="J114" s="10">
        <f t="shared" si="3"/>
        <v>17912913.924292482</v>
      </c>
    </row>
    <row r="115" spans="1:10" ht="12.75">
      <c r="A115" s="3">
        <v>40664</v>
      </c>
      <c r="B115" s="27">
        <v>16194222</v>
      </c>
      <c r="C115" s="23">
        <f>'Weather Analysis'!U12</f>
        <v>154.9</v>
      </c>
      <c r="D115" s="23">
        <f>'Weather Analysis'!U32</f>
        <v>10.1</v>
      </c>
      <c r="E115" s="47">
        <v>31</v>
      </c>
      <c r="F115" s="10">
        <v>1</v>
      </c>
      <c r="G115" s="19">
        <f>'CDM Activity'!F80</f>
        <v>182032.90887381043</v>
      </c>
      <c r="H115" s="19">
        <v>9538</v>
      </c>
      <c r="I115" s="34">
        <v>140.50670264298682</v>
      </c>
      <c r="J115" s="10">
        <f t="shared" si="3"/>
        <v>16430700.203881733</v>
      </c>
    </row>
    <row r="116" spans="1:10" ht="12.75">
      <c r="A116" s="3">
        <v>40695</v>
      </c>
      <c r="B116" s="27">
        <v>15886340</v>
      </c>
      <c r="C116" s="23">
        <f>'Weather Analysis'!U13</f>
        <v>57.7</v>
      </c>
      <c r="D116" s="23">
        <f>'Weather Analysis'!U33</f>
        <v>13.4</v>
      </c>
      <c r="E116" s="47">
        <v>30</v>
      </c>
      <c r="F116" s="10">
        <v>0</v>
      </c>
      <c r="G116" s="19">
        <f>'CDM Activity'!F81</f>
        <v>191679.26580791583</v>
      </c>
      <c r="H116" s="19">
        <v>9549</v>
      </c>
      <c r="I116" s="34">
        <v>140.87600160250034</v>
      </c>
      <c r="J116" s="10">
        <f t="shared" si="3"/>
        <v>16448296.805372782</v>
      </c>
    </row>
    <row r="117" spans="1:10" ht="12.75">
      <c r="A117" s="3">
        <v>40725</v>
      </c>
      <c r="B117" s="27">
        <v>17258128</v>
      </c>
      <c r="C117" s="23">
        <f>'Weather Analysis'!U14</f>
        <v>2</v>
      </c>
      <c r="D117" s="23">
        <f>'Weather Analysis'!U34</f>
        <v>83</v>
      </c>
      <c r="E117" s="47">
        <v>31</v>
      </c>
      <c r="F117" s="10">
        <v>0</v>
      </c>
      <c r="G117" s="19">
        <f>'CDM Activity'!F82</f>
        <v>201325.62274202122</v>
      </c>
      <c r="H117" s="19">
        <v>9545</v>
      </c>
      <c r="I117" s="34">
        <v>141.246271204118</v>
      </c>
      <c r="J117" s="10">
        <f t="shared" si="3"/>
        <v>17311197.285403404</v>
      </c>
    </row>
    <row r="118" spans="1:10" ht="12.75">
      <c r="A118" s="3">
        <v>40756</v>
      </c>
      <c r="B118" s="27">
        <v>18380514</v>
      </c>
      <c r="C118" s="23">
        <f>'Weather Analysis'!U15</f>
        <v>15.9</v>
      </c>
      <c r="D118" s="23">
        <f>'Weather Analysis'!U35</f>
        <v>38</v>
      </c>
      <c r="E118" s="47">
        <v>31</v>
      </c>
      <c r="F118" s="10">
        <v>0</v>
      </c>
      <c r="G118" s="19">
        <f>'CDM Activity'!F83</f>
        <v>210971.97967612662</v>
      </c>
      <c r="H118" s="19">
        <v>9567</v>
      </c>
      <c r="I118" s="34">
        <v>141.61751399901428</v>
      </c>
      <c r="J118" s="10">
        <f t="shared" si="3"/>
        <v>16791230.399356782</v>
      </c>
    </row>
    <row r="119" spans="1:10" ht="12.75">
      <c r="A119" s="3">
        <v>40787</v>
      </c>
      <c r="B119" s="27">
        <v>16097698</v>
      </c>
      <c r="C119" s="23">
        <f>'Weather Analysis'!U16</f>
        <v>109.1</v>
      </c>
      <c r="D119" s="23">
        <f>'Weather Analysis'!U36</f>
        <v>17.5</v>
      </c>
      <c r="E119" s="47">
        <v>30</v>
      </c>
      <c r="F119" s="10">
        <v>1</v>
      </c>
      <c r="G119" s="19">
        <f>'CDM Activity'!F84</f>
        <v>220618.336610232</v>
      </c>
      <c r="H119" s="19">
        <v>9574</v>
      </c>
      <c r="I119" s="34">
        <v>141.98973254506907</v>
      </c>
      <c r="J119" s="10">
        <f t="shared" si="3"/>
        <v>15397352.802605676</v>
      </c>
    </row>
    <row r="120" spans="1:10" ht="12.75">
      <c r="A120" s="3">
        <v>40817</v>
      </c>
      <c r="B120" s="27">
        <v>16772439</v>
      </c>
      <c r="C120" s="23">
        <f>'Weather Analysis'!U17</f>
        <v>290</v>
      </c>
      <c r="D120" s="23">
        <f>'Weather Analysis'!U37</f>
        <v>0</v>
      </c>
      <c r="E120" s="47">
        <v>31</v>
      </c>
      <c r="F120" s="10">
        <v>1</v>
      </c>
      <c r="G120" s="19">
        <f>'CDM Activity'!F85</f>
        <v>230264.6935443374</v>
      </c>
      <c r="H120" s="19">
        <v>9589</v>
      </c>
      <c r="I120" s="34">
        <v>142.3629294068852</v>
      </c>
      <c r="J120" s="10">
        <f t="shared" si="3"/>
        <v>17122973.60876888</v>
      </c>
    </row>
    <row r="121" spans="1:10" ht="12.75">
      <c r="A121" s="3">
        <v>40848</v>
      </c>
      <c r="B121" s="27">
        <v>18043769</v>
      </c>
      <c r="C121" s="23">
        <f>'Weather Analysis'!U18</f>
        <v>432.4</v>
      </c>
      <c r="D121" s="23">
        <f>'Weather Analysis'!U38</f>
        <v>0</v>
      </c>
      <c r="E121" s="47">
        <v>30</v>
      </c>
      <c r="F121" s="10">
        <v>1</v>
      </c>
      <c r="G121" s="19">
        <f>'CDM Activity'!F86</f>
        <v>239911.0504784428</v>
      </c>
      <c r="H121" s="19">
        <v>9598</v>
      </c>
      <c r="I121" s="34">
        <v>142.73710715580614</v>
      </c>
      <c r="J121" s="10">
        <f t="shared" si="3"/>
        <v>17750079.021190263</v>
      </c>
    </row>
    <row r="122" spans="1:10" ht="12.75">
      <c r="A122" s="3">
        <v>40878</v>
      </c>
      <c r="B122" s="27">
        <v>20999780</v>
      </c>
      <c r="C122" s="23">
        <f>'Weather Analysis'!U19</f>
        <v>636</v>
      </c>
      <c r="D122" s="23">
        <f>'Weather Analysis'!U39</f>
        <v>0</v>
      </c>
      <c r="E122" s="47">
        <v>31</v>
      </c>
      <c r="F122" s="10">
        <v>0</v>
      </c>
      <c r="G122" s="19">
        <f>'CDM Activity'!F87</f>
        <v>249557.4074125482</v>
      </c>
      <c r="H122" s="19">
        <v>9603</v>
      </c>
      <c r="I122" s="34">
        <v>143.11226836993367</v>
      </c>
      <c r="J122" s="10">
        <f t="shared" si="3"/>
        <v>21237154.37284648</v>
      </c>
    </row>
    <row r="123" spans="1:33" s="33" customFormat="1" ht="12.75">
      <c r="A123" s="32">
        <v>40909</v>
      </c>
      <c r="B123" s="27"/>
      <c r="C123" s="74">
        <f aca="true" t="shared" si="4" ref="C123:D134">(C3+C15+C27+C39+C51+C63+C75+C87+C99+C111)/10</f>
        <v>822.55</v>
      </c>
      <c r="D123" s="74">
        <f t="shared" si="4"/>
        <v>0</v>
      </c>
      <c r="E123" s="19">
        <v>31</v>
      </c>
      <c r="F123" s="19">
        <v>0</v>
      </c>
      <c r="G123" s="19">
        <f>'CDM Activity'!F88</f>
        <v>240638.0250628863</v>
      </c>
      <c r="H123" s="19"/>
      <c r="I123" s="34">
        <v>143.48841563414587</v>
      </c>
      <c r="J123" s="19">
        <f t="shared" si="3"/>
        <v>22851111.00004055</v>
      </c>
      <c r="K123" s="23"/>
      <c r="L123" s="23"/>
      <c r="Y123" s="27"/>
      <c r="Z123" s="27"/>
      <c r="AA123" s="27"/>
      <c r="AB123" s="27"/>
      <c r="AC123" s="27"/>
      <c r="AD123" s="27"/>
      <c r="AE123" s="27"/>
      <c r="AF123" s="27"/>
      <c r="AG123" s="27"/>
    </row>
    <row r="124" spans="1:33" s="33" customFormat="1" ht="12.75">
      <c r="A124" s="32">
        <v>40940</v>
      </c>
      <c r="B124" s="27"/>
      <c r="C124" s="74">
        <f t="shared" si="4"/>
        <v>744.3</v>
      </c>
      <c r="D124" s="74">
        <f t="shared" si="4"/>
        <v>0</v>
      </c>
      <c r="E124" s="19">
        <v>29</v>
      </c>
      <c r="F124" s="19">
        <v>0</v>
      </c>
      <c r="G124" s="19">
        <f>'CDM Activity'!F89</f>
        <v>231718.6427132244</v>
      </c>
      <c r="H124" s="19"/>
      <c r="I124" s="34">
        <v>143.86555154011452</v>
      </c>
      <c r="J124" s="19">
        <f t="shared" si="3"/>
        <v>21253963.43747779</v>
      </c>
      <c r="K124" s="23"/>
      <c r="L124" s="23"/>
      <c r="Y124" s="27"/>
      <c r="Z124" s="27"/>
      <c r="AA124" s="27"/>
      <c r="AB124" s="27"/>
      <c r="AC124" s="27"/>
      <c r="AD124" s="27"/>
      <c r="AE124" s="27"/>
      <c r="AF124" s="27"/>
      <c r="AG124" s="27"/>
    </row>
    <row r="125" spans="1:33" s="33" customFormat="1" ht="12.75">
      <c r="A125" s="32">
        <v>40969</v>
      </c>
      <c r="B125" s="27"/>
      <c r="C125" s="74">
        <f t="shared" si="4"/>
        <v>645</v>
      </c>
      <c r="D125" s="74">
        <f t="shared" si="4"/>
        <v>0</v>
      </c>
      <c r="E125" s="19">
        <v>31</v>
      </c>
      <c r="F125" s="19">
        <v>1</v>
      </c>
      <c r="G125" s="19">
        <f>'CDM Activity'!F90</f>
        <v>222799.2603635625</v>
      </c>
      <c r="H125" s="19"/>
      <c r="I125" s="34">
        <v>144.24367868632334</v>
      </c>
      <c r="J125" s="19">
        <f t="shared" si="3"/>
        <v>20133868.55420218</v>
      </c>
      <c r="K125" s="23"/>
      <c r="L125" s="23"/>
      <c r="Y125" s="27"/>
      <c r="Z125" s="27"/>
      <c r="AA125" s="27"/>
      <c r="AB125" s="27"/>
      <c r="AC125" s="27"/>
      <c r="AD125" s="27"/>
      <c r="AE125" s="27"/>
      <c r="AF125" s="27"/>
      <c r="AG125" s="27"/>
    </row>
    <row r="126" spans="1:33" s="33" customFormat="1" ht="12.75">
      <c r="A126" s="32">
        <v>41000</v>
      </c>
      <c r="B126" s="27"/>
      <c r="C126" s="74">
        <f t="shared" si="4"/>
        <v>384.3</v>
      </c>
      <c r="D126" s="74">
        <f t="shared" si="4"/>
        <v>0.45</v>
      </c>
      <c r="E126" s="19">
        <v>30</v>
      </c>
      <c r="F126" s="19">
        <v>1</v>
      </c>
      <c r="G126" s="19">
        <f>'CDM Activity'!F91</f>
        <v>213879.8780139006</v>
      </c>
      <c r="H126" s="19"/>
      <c r="I126" s="34">
        <v>144.62279967808564</v>
      </c>
      <c r="J126" s="19">
        <f t="shared" si="3"/>
        <v>17519731.168071885</v>
      </c>
      <c r="K126" s="23"/>
      <c r="L126" s="23"/>
      <c r="Y126" s="27"/>
      <c r="Z126" s="27"/>
      <c r="AA126" s="27"/>
      <c r="AB126" s="27"/>
      <c r="AC126" s="27"/>
      <c r="AD126" s="27"/>
      <c r="AE126" s="27"/>
      <c r="AF126" s="27"/>
      <c r="AG126" s="27"/>
    </row>
    <row r="127" spans="1:33" s="33" customFormat="1" ht="12.75">
      <c r="A127" s="32">
        <v>41030</v>
      </c>
      <c r="B127" s="27"/>
      <c r="C127" s="74">
        <f t="shared" si="4"/>
        <v>218.67999999999998</v>
      </c>
      <c r="D127" s="74">
        <f t="shared" si="4"/>
        <v>6.38</v>
      </c>
      <c r="E127" s="19">
        <v>31</v>
      </c>
      <c r="F127" s="19">
        <v>1</v>
      </c>
      <c r="G127" s="19">
        <f>'CDM Activity'!F92</f>
        <v>204960.4956642387</v>
      </c>
      <c r="H127" s="19"/>
      <c r="I127" s="34">
        <v>145.00291712756245</v>
      </c>
      <c r="J127" s="19">
        <f t="shared" si="3"/>
        <v>16769903.224453246</v>
      </c>
      <c r="K127" s="23"/>
      <c r="L127" s="23"/>
      <c r="Y127" s="27"/>
      <c r="Z127" s="27"/>
      <c r="AA127" s="27"/>
      <c r="AB127" s="27"/>
      <c r="AC127" s="27"/>
      <c r="AD127" s="27"/>
      <c r="AE127" s="27"/>
      <c r="AF127" s="27"/>
      <c r="AG127" s="27"/>
    </row>
    <row r="128" spans="1:33" s="33" customFormat="1" ht="12.75">
      <c r="A128" s="32">
        <v>41061</v>
      </c>
      <c r="B128" s="27"/>
      <c r="C128" s="74">
        <f t="shared" si="4"/>
        <v>68.25000000000001</v>
      </c>
      <c r="D128" s="74">
        <f t="shared" si="4"/>
        <v>30.23</v>
      </c>
      <c r="E128" s="19">
        <v>30</v>
      </c>
      <c r="F128" s="19">
        <v>0</v>
      </c>
      <c r="G128" s="19">
        <f>'CDM Activity'!F93</f>
        <v>196041.1133145768</v>
      </c>
      <c r="H128" s="19"/>
      <c r="I128" s="34">
        <v>145.3840336537804</v>
      </c>
      <c r="J128" s="19">
        <f t="shared" si="3"/>
        <v>16723581.902839318</v>
      </c>
      <c r="K128" s="23"/>
      <c r="L128" s="23"/>
      <c r="Y128" s="27"/>
      <c r="Z128" s="27"/>
      <c r="AA128" s="27"/>
      <c r="AB128" s="27"/>
      <c r="AC128" s="27"/>
      <c r="AD128" s="27"/>
      <c r="AE128" s="27"/>
      <c r="AF128" s="27"/>
      <c r="AG128" s="27"/>
    </row>
    <row r="129" spans="1:33" s="33" customFormat="1" ht="12.75">
      <c r="A129" s="32">
        <v>41091</v>
      </c>
      <c r="B129" s="27"/>
      <c r="C129" s="74">
        <f t="shared" si="4"/>
        <v>18.93</v>
      </c>
      <c r="D129" s="74">
        <f t="shared" si="4"/>
        <v>62.13000000000001</v>
      </c>
      <c r="E129" s="19">
        <v>31</v>
      </c>
      <c r="F129" s="19">
        <v>0</v>
      </c>
      <c r="G129" s="19">
        <f>'CDM Activity'!F94</f>
        <v>187121.7309649149</v>
      </c>
      <c r="H129" s="19"/>
      <c r="I129" s="34">
        <v>145.76615188264978</v>
      </c>
      <c r="J129" s="19">
        <f t="shared" si="3"/>
        <v>17276260.994879026</v>
      </c>
      <c r="K129" s="23"/>
      <c r="L129" s="23"/>
      <c r="Y129" s="27"/>
      <c r="Z129" s="27"/>
      <c r="AA129" s="27"/>
      <c r="AB129" s="27"/>
      <c r="AC129" s="27"/>
      <c r="AD129" s="27"/>
      <c r="AE129" s="27"/>
      <c r="AF129" s="27"/>
      <c r="AG129" s="27"/>
    </row>
    <row r="130" spans="1:33" s="33" customFormat="1" ht="12.75">
      <c r="A130" s="32">
        <v>41122</v>
      </c>
      <c r="B130" s="27"/>
      <c r="C130" s="74">
        <f t="shared" si="4"/>
        <v>34.42999999999999</v>
      </c>
      <c r="D130" s="74">
        <f t="shared" si="4"/>
        <v>45.3</v>
      </c>
      <c r="E130" s="19">
        <v>31</v>
      </c>
      <c r="F130" s="19">
        <v>0</v>
      </c>
      <c r="G130" s="19">
        <f>'CDM Activity'!F95</f>
        <v>178202.348615253</v>
      </c>
      <c r="H130" s="19"/>
      <c r="I130" s="34">
        <v>146.14927444698273</v>
      </c>
      <c r="J130" s="19">
        <f t="shared" si="3"/>
        <v>17247398.571527228</v>
      </c>
      <c r="K130" s="23"/>
      <c r="L130" s="23"/>
      <c r="Y130" s="27"/>
      <c r="Z130" s="27"/>
      <c r="AA130" s="27"/>
      <c r="AB130" s="27"/>
      <c r="AC130" s="27"/>
      <c r="AD130" s="27"/>
      <c r="AE130" s="27"/>
      <c r="AF130" s="27"/>
      <c r="AG130" s="27"/>
    </row>
    <row r="131" spans="1:33" s="33" customFormat="1" ht="12.75">
      <c r="A131" s="32">
        <v>41153</v>
      </c>
      <c r="B131" s="27"/>
      <c r="C131" s="74">
        <f t="shared" si="4"/>
        <v>112.22</v>
      </c>
      <c r="D131" s="74">
        <f t="shared" si="4"/>
        <v>12.55</v>
      </c>
      <c r="E131" s="19">
        <v>30</v>
      </c>
      <c r="F131" s="19">
        <v>1</v>
      </c>
      <c r="G131" s="19">
        <f>'CDM Activity'!F96</f>
        <v>169282.9662655911</v>
      </c>
      <c r="H131" s="19"/>
      <c r="I131" s="34">
        <v>146.53340398651127</v>
      </c>
      <c r="J131" s="19">
        <f aca="true" t="shared" si="5" ref="J131:J146">$N$18+C131*$N$19+D131*$N$20+E131*$N$21+F131*$N$22+G131*$N$23</f>
        <v>15686424.975723851</v>
      </c>
      <c r="K131" s="23"/>
      <c r="L131" s="23"/>
      <c r="Y131" s="27"/>
      <c r="Z131" s="27"/>
      <c r="AA131" s="27"/>
      <c r="AB131" s="27"/>
      <c r="AC131" s="27"/>
      <c r="AD131" s="27"/>
      <c r="AE131" s="27"/>
      <c r="AF131" s="27"/>
      <c r="AG131" s="27"/>
    </row>
    <row r="132" spans="1:33" s="33" customFormat="1" ht="12.75">
      <c r="A132" s="32">
        <v>41183</v>
      </c>
      <c r="B132" s="27"/>
      <c r="C132" s="74">
        <f t="shared" si="4"/>
        <v>324.71999999999997</v>
      </c>
      <c r="D132" s="74">
        <f t="shared" si="4"/>
        <v>1.04</v>
      </c>
      <c r="E132" s="19">
        <v>31</v>
      </c>
      <c r="F132" s="19">
        <v>1</v>
      </c>
      <c r="G132" s="19">
        <f>'CDM Activity'!F97</f>
        <v>160363.5839159292</v>
      </c>
      <c r="H132" s="19"/>
      <c r="I132" s="34">
        <v>146.91854314790552</v>
      </c>
      <c r="J132" s="19">
        <f t="shared" si="5"/>
        <v>17870321.16314638</v>
      </c>
      <c r="K132" s="23"/>
      <c r="L132" s="23"/>
      <c r="Y132" s="27"/>
      <c r="Z132" s="27"/>
      <c r="AA132" s="27"/>
      <c r="AB132" s="27"/>
      <c r="AC132" s="27"/>
      <c r="AD132" s="27"/>
      <c r="AE132" s="27"/>
      <c r="AF132" s="27"/>
      <c r="AG132" s="27"/>
    </row>
    <row r="133" spans="1:33" s="33" customFormat="1" ht="12.75">
      <c r="A133" s="32">
        <v>41214</v>
      </c>
      <c r="B133" s="27"/>
      <c r="C133" s="74">
        <f t="shared" si="4"/>
        <v>481.85999999999996</v>
      </c>
      <c r="D133" s="74">
        <f t="shared" si="4"/>
        <v>0</v>
      </c>
      <c r="E133" s="19">
        <v>30</v>
      </c>
      <c r="F133" s="19">
        <v>1</v>
      </c>
      <c r="G133" s="19">
        <f>'CDM Activity'!F98</f>
        <v>151444.2015662673</v>
      </c>
      <c r="H133" s="19"/>
      <c r="I133" s="34">
        <v>147.30469458479195</v>
      </c>
      <c r="J133" s="19">
        <f t="shared" si="5"/>
        <v>18725178.52482716</v>
      </c>
      <c r="K133" s="23"/>
      <c r="L133" s="23"/>
      <c r="Y133" s="27"/>
      <c r="Z133" s="27"/>
      <c r="AA133" s="27"/>
      <c r="AB133" s="27"/>
      <c r="AC133" s="27"/>
      <c r="AD133" s="27"/>
      <c r="AE133" s="27"/>
      <c r="AF133" s="27"/>
      <c r="AG133" s="27"/>
    </row>
    <row r="134" spans="1:33" s="33" customFormat="1" ht="12.75">
      <c r="A134" s="32">
        <v>41244</v>
      </c>
      <c r="B134" s="27"/>
      <c r="C134" s="74">
        <f t="shared" si="4"/>
        <v>733.8100000000001</v>
      </c>
      <c r="D134" s="74">
        <f t="shared" si="4"/>
        <v>0</v>
      </c>
      <c r="E134" s="19">
        <v>31</v>
      </c>
      <c r="F134" s="19">
        <v>0</v>
      </c>
      <c r="G134" s="19">
        <f>'CDM Activity'!F99</f>
        <v>142524.8192166054</v>
      </c>
      <c r="H134" s="19"/>
      <c r="I134" s="34">
        <v>147.69186095777155</v>
      </c>
      <c r="J134" s="19">
        <f t="shared" si="5"/>
        <v>22733855.55822352</v>
      </c>
      <c r="K134" s="23"/>
      <c r="L134" s="23"/>
      <c r="Y134" s="27"/>
      <c r="Z134" s="27"/>
      <c r="AA134" s="27"/>
      <c r="AB134" s="27"/>
      <c r="AC134" s="27"/>
      <c r="AD134" s="27"/>
      <c r="AE134" s="27"/>
      <c r="AF134" s="27"/>
      <c r="AG134" s="27"/>
    </row>
    <row r="135" spans="1:33" s="33" customFormat="1" ht="12.75">
      <c r="A135" s="32">
        <v>41275</v>
      </c>
      <c r="B135" s="27"/>
      <c r="C135" s="74">
        <f>C123</f>
        <v>822.55</v>
      </c>
      <c r="D135" s="23">
        <f>D123</f>
        <v>0</v>
      </c>
      <c r="E135" s="19">
        <v>31</v>
      </c>
      <c r="F135" s="19">
        <v>0</v>
      </c>
      <c r="G135" s="19">
        <f>'CDM Activity'!F100</f>
        <v>149714.2658700011</v>
      </c>
      <c r="H135" s="19"/>
      <c r="I135" s="34">
        <v>147.88420587795724</v>
      </c>
      <c r="J135" s="19">
        <f t="shared" si="5"/>
        <v>23428944.84634854</v>
      </c>
      <c r="K135" s="36"/>
      <c r="L135" s="23"/>
      <c r="Y135" s="27"/>
      <c r="Z135" s="27"/>
      <c r="AA135" s="27"/>
      <c r="AB135" s="27"/>
      <c r="AC135" s="27"/>
      <c r="AD135" s="27"/>
      <c r="AE135" s="27"/>
      <c r="AF135" s="27"/>
      <c r="AG135" s="27"/>
    </row>
    <row r="136" spans="1:33" s="33" customFormat="1" ht="12.75">
      <c r="A136" s="32">
        <v>41306</v>
      </c>
      <c r="B136" s="27"/>
      <c r="C136" s="74">
        <f aca="true" t="shared" si="6" ref="C136:D146">C124</f>
        <v>744.3</v>
      </c>
      <c r="D136" s="23">
        <f t="shared" si="6"/>
        <v>0</v>
      </c>
      <c r="E136" s="19">
        <v>28</v>
      </c>
      <c r="F136" s="19">
        <v>0</v>
      </c>
      <c r="G136" s="19">
        <f>'CDM Activity'!F101</f>
        <v>156903.71252339683</v>
      </c>
      <c r="H136" s="19"/>
      <c r="I136" s="34">
        <v>148.07655079814293</v>
      </c>
      <c r="J136" s="19">
        <f t="shared" si="5"/>
        <v>21229113.228773437</v>
      </c>
      <c r="K136" s="36"/>
      <c r="L136" s="23"/>
      <c r="Y136" s="27"/>
      <c r="Z136" s="27"/>
      <c r="AA136" s="27"/>
      <c r="AB136" s="27"/>
      <c r="AC136" s="27"/>
      <c r="AD136" s="27"/>
      <c r="AE136" s="27"/>
      <c r="AF136" s="27"/>
      <c r="AG136" s="27"/>
    </row>
    <row r="137" spans="1:33" s="33" customFormat="1" ht="12.75">
      <c r="A137" s="32">
        <v>41334</v>
      </c>
      <c r="B137" s="27"/>
      <c r="C137" s="74">
        <f t="shared" si="6"/>
        <v>645</v>
      </c>
      <c r="D137" s="23">
        <f t="shared" si="6"/>
        <v>0</v>
      </c>
      <c r="E137" s="19">
        <v>31</v>
      </c>
      <c r="F137" s="19">
        <v>1</v>
      </c>
      <c r="G137" s="19">
        <f>'CDM Activity'!F102</f>
        <v>164093.15917679254</v>
      </c>
      <c r="H137" s="19"/>
      <c r="I137" s="34">
        <v>148.26889571832862</v>
      </c>
      <c r="J137" s="19">
        <f t="shared" si="5"/>
        <v>20506954.45112968</v>
      </c>
      <c r="K137" s="36"/>
      <c r="L137" s="23"/>
      <c r="Y137" s="27"/>
      <c r="Z137" s="27"/>
      <c r="AA137" s="27"/>
      <c r="AB137" s="27"/>
      <c r="AC137" s="27"/>
      <c r="AD137" s="27"/>
      <c r="AE137" s="27"/>
      <c r="AF137" s="27"/>
      <c r="AG137" s="27"/>
    </row>
    <row r="138" spans="1:33" s="33" customFormat="1" ht="12.75">
      <c r="A138" s="32">
        <v>41365</v>
      </c>
      <c r="B138" s="27"/>
      <c r="C138" s="74">
        <f t="shared" si="6"/>
        <v>384.3</v>
      </c>
      <c r="D138" s="23">
        <f t="shared" si="6"/>
        <v>0.45</v>
      </c>
      <c r="E138" s="19">
        <v>30</v>
      </c>
      <c r="F138" s="19">
        <v>1</v>
      </c>
      <c r="G138" s="19">
        <f>'CDM Activity'!F103</f>
        <v>171282.60583018826</v>
      </c>
      <c r="H138" s="19"/>
      <c r="I138" s="34">
        <v>148.4612406385143</v>
      </c>
      <c r="J138" s="19">
        <f t="shared" si="5"/>
        <v>17790443.090309136</v>
      </c>
      <c r="K138" s="36"/>
      <c r="L138" s="23"/>
      <c r="Y138" s="27"/>
      <c r="Z138" s="27"/>
      <c r="AA138" s="27"/>
      <c r="AB138" s="27"/>
      <c r="AC138" s="27"/>
      <c r="AD138" s="27"/>
      <c r="AE138" s="27"/>
      <c r="AF138" s="27"/>
      <c r="AG138" s="27"/>
    </row>
    <row r="139" spans="1:33" s="33" customFormat="1" ht="12.75">
      <c r="A139" s="32">
        <v>41395</v>
      </c>
      <c r="B139" s="27"/>
      <c r="C139" s="74">
        <f t="shared" si="6"/>
        <v>218.67999999999998</v>
      </c>
      <c r="D139" s="23">
        <f t="shared" si="6"/>
        <v>6.38</v>
      </c>
      <c r="E139" s="19">
        <v>31</v>
      </c>
      <c r="F139" s="19">
        <v>1</v>
      </c>
      <c r="G139" s="19">
        <f>'CDM Activity'!F104</f>
        <v>178472.05248358398</v>
      </c>
      <c r="H139" s="19"/>
      <c r="I139" s="34">
        <v>148.6535855587</v>
      </c>
      <c r="J139" s="19">
        <f t="shared" si="5"/>
        <v>16938241.17200025</v>
      </c>
      <c r="K139" s="36"/>
      <c r="L139" s="23"/>
      <c r="Y139" s="27"/>
      <c r="Z139" s="27"/>
      <c r="AA139" s="27"/>
      <c r="AB139" s="27"/>
      <c r="AC139" s="27"/>
      <c r="AD139" s="27"/>
      <c r="AE139" s="27"/>
      <c r="AF139" s="27"/>
      <c r="AG139" s="27"/>
    </row>
    <row r="140" spans="1:33" s="33" customFormat="1" ht="12.75">
      <c r="A140" s="32">
        <v>41426</v>
      </c>
      <c r="B140" s="27"/>
      <c r="C140" s="74">
        <f t="shared" si="6"/>
        <v>68.25000000000001</v>
      </c>
      <c r="D140" s="23">
        <f t="shared" si="6"/>
        <v>30.23</v>
      </c>
      <c r="E140" s="19">
        <v>30</v>
      </c>
      <c r="F140" s="19">
        <v>0</v>
      </c>
      <c r="G140" s="19">
        <f>'CDM Activity'!F105</f>
        <v>185661.4991369797</v>
      </c>
      <c r="H140" s="19"/>
      <c r="I140" s="34">
        <v>148.8459304788857</v>
      </c>
      <c r="J140" s="19">
        <f t="shared" si="5"/>
        <v>16789545.875696074</v>
      </c>
      <c r="K140" s="36"/>
      <c r="L140" s="23"/>
      <c r="Y140" s="27"/>
      <c r="Z140" s="27"/>
      <c r="AA140" s="27"/>
      <c r="AB140" s="27"/>
      <c r="AC140" s="27"/>
      <c r="AD140" s="27"/>
      <c r="AE140" s="27"/>
      <c r="AF140" s="27"/>
      <c r="AG140" s="27"/>
    </row>
    <row r="141" spans="1:33" s="33" customFormat="1" ht="12.75">
      <c r="A141" s="32">
        <v>41456</v>
      </c>
      <c r="B141" s="27"/>
      <c r="C141" s="74">
        <f t="shared" si="6"/>
        <v>18.93</v>
      </c>
      <c r="D141" s="23">
        <f t="shared" si="6"/>
        <v>62.13000000000001</v>
      </c>
      <c r="E141" s="19">
        <v>31</v>
      </c>
      <c r="F141" s="19">
        <v>0</v>
      </c>
      <c r="G141" s="19">
        <f>'CDM Activity'!F106</f>
        <v>192850.9457903754</v>
      </c>
      <c r="H141" s="19"/>
      <c r="I141" s="34">
        <v>149.03827539907138</v>
      </c>
      <c r="J141" s="19">
        <f t="shared" si="5"/>
        <v>17239850.99304554</v>
      </c>
      <c r="K141" s="36"/>
      <c r="L141" s="23"/>
      <c r="Y141" s="27"/>
      <c r="Z141" s="27"/>
      <c r="AA141" s="27"/>
      <c r="AB141" s="27"/>
      <c r="AC141" s="27"/>
      <c r="AD141" s="27"/>
      <c r="AE141" s="27"/>
      <c r="AF141" s="27"/>
      <c r="AG141" s="27"/>
    </row>
    <row r="142" spans="1:33" s="33" customFormat="1" ht="12.75">
      <c r="A142" s="32">
        <v>41487</v>
      </c>
      <c r="B142" s="27"/>
      <c r="C142" s="74">
        <f t="shared" si="6"/>
        <v>34.42999999999999</v>
      </c>
      <c r="D142" s="23">
        <f t="shared" si="6"/>
        <v>45.3</v>
      </c>
      <c r="E142" s="19">
        <v>31</v>
      </c>
      <c r="F142" s="19">
        <v>0</v>
      </c>
      <c r="G142" s="19">
        <f>'CDM Activity'!F107</f>
        <v>200040.39244377112</v>
      </c>
      <c r="H142" s="19"/>
      <c r="I142" s="34">
        <v>149.23062031925707</v>
      </c>
      <c r="J142" s="19">
        <f t="shared" si="5"/>
        <v>17108614.595003493</v>
      </c>
      <c r="K142" s="36"/>
      <c r="L142" s="23"/>
      <c r="Y142" s="27"/>
      <c r="Z142" s="27"/>
      <c r="AA142" s="27"/>
      <c r="AB142" s="27"/>
      <c r="AC142" s="27"/>
      <c r="AD142" s="27"/>
      <c r="AE142" s="27"/>
      <c r="AF142" s="27"/>
      <c r="AG142" s="27"/>
    </row>
    <row r="143" spans="1:33" s="33" customFormat="1" ht="12.75">
      <c r="A143" s="32">
        <v>41518</v>
      </c>
      <c r="B143" s="27"/>
      <c r="C143" s="74">
        <f t="shared" si="6"/>
        <v>112.22</v>
      </c>
      <c r="D143" s="23">
        <f t="shared" si="6"/>
        <v>12.55</v>
      </c>
      <c r="E143" s="19">
        <v>30</v>
      </c>
      <c r="F143" s="19">
        <v>1</v>
      </c>
      <c r="G143" s="19">
        <f>'CDM Activity'!F108</f>
        <v>207229.83909716684</v>
      </c>
      <c r="H143" s="19"/>
      <c r="I143" s="34">
        <v>149.42296523944276</v>
      </c>
      <c r="J143" s="19">
        <f t="shared" si="5"/>
        <v>15445267.02450987</v>
      </c>
      <c r="K143" s="36"/>
      <c r="L143" s="23"/>
      <c r="Y143" s="27"/>
      <c r="Z143" s="27"/>
      <c r="AA143" s="27"/>
      <c r="AB143" s="27"/>
      <c r="AC143" s="27"/>
      <c r="AD143" s="27"/>
      <c r="AE143" s="27"/>
      <c r="AF143" s="27"/>
      <c r="AG143" s="27"/>
    </row>
    <row r="144" spans="1:33" s="33" customFormat="1" ht="12.75">
      <c r="A144" s="32">
        <v>41548</v>
      </c>
      <c r="B144" s="27"/>
      <c r="C144" s="74">
        <f t="shared" si="6"/>
        <v>324.71999999999997</v>
      </c>
      <c r="D144" s="23">
        <f t="shared" si="6"/>
        <v>1.04</v>
      </c>
      <c r="E144" s="19">
        <v>31</v>
      </c>
      <c r="F144" s="19">
        <v>1</v>
      </c>
      <c r="G144" s="19">
        <f>'CDM Activity'!F109</f>
        <v>214419.28575056256</v>
      </c>
      <c r="H144" s="19"/>
      <c r="I144" s="34">
        <v>149.61531015962845</v>
      </c>
      <c r="J144" s="19">
        <f t="shared" si="5"/>
        <v>17526789.237242155</v>
      </c>
      <c r="K144" s="36"/>
      <c r="L144" s="23"/>
      <c r="Y144" s="27"/>
      <c r="Z144" s="27"/>
      <c r="AA144" s="27"/>
      <c r="AB144" s="27"/>
      <c r="AC144" s="27"/>
      <c r="AD144" s="27"/>
      <c r="AE144" s="27"/>
      <c r="AF144" s="27"/>
      <c r="AG144" s="27"/>
    </row>
    <row r="145" spans="1:33" s="33" customFormat="1" ht="12.75">
      <c r="A145" s="32">
        <v>41579</v>
      </c>
      <c r="B145" s="27"/>
      <c r="C145" s="74">
        <f t="shared" si="6"/>
        <v>481.85999999999996</v>
      </c>
      <c r="D145" s="23">
        <f t="shared" si="6"/>
        <v>0</v>
      </c>
      <c r="E145" s="19">
        <v>30</v>
      </c>
      <c r="F145" s="19">
        <v>1</v>
      </c>
      <c r="G145" s="19">
        <f>'CDM Activity'!F110</f>
        <v>221608.73240395827</v>
      </c>
      <c r="H145" s="19"/>
      <c r="I145" s="34">
        <v>149.80765507981414</v>
      </c>
      <c r="J145" s="19">
        <f t="shared" si="5"/>
        <v>18279272.624232687</v>
      </c>
      <c r="K145" s="36"/>
      <c r="L145" s="23"/>
      <c r="Y145" s="27"/>
      <c r="Z145" s="27"/>
      <c r="AA145" s="27"/>
      <c r="AB145" s="27"/>
      <c r="AC145" s="27"/>
      <c r="AD145" s="27"/>
      <c r="AE145" s="27"/>
      <c r="AF145" s="27"/>
      <c r="AG145" s="27"/>
    </row>
    <row r="146" spans="1:33" s="33" customFormat="1" ht="12.75">
      <c r="A146" s="32">
        <v>41609</v>
      </c>
      <c r="B146" s="27"/>
      <c r="C146" s="74">
        <f t="shared" si="6"/>
        <v>733.8100000000001</v>
      </c>
      <c r="D146" s="23">
        <f t="shared" si="6"/>
        <v>0</v>
      </c>
      <c r="E146" s="19">
        <v>31</v>
      </c>
      <c r="F146" s="19">
        <v>0</v>
      </c>
      <c r="G146" s="19">
        <f>'CDM Activity'!F111</f>
        <v>228798.179057354</v>
      </c>
      <c r="H146" s="19"/>
      <c r="I146" s="34">
        <v>150</v>
      </c>
      <c r="J146" s="19">
        <f t="shared" si="5"/>
        <v>22185575.6829388</v>
      </c>
      <c r="K146" s="36"/>
      <c r="L146" s="23"/>
      <c r="Y146" s="27"/>
      <c r="Z146" s="27"/>
      <c r="AA146" s="27"/>
      <c r="AB146" s="27"/>
      <c r="AC146" s="27"/>
      <c r="AD146" s="27"/>
      <c r="AE146" s="27"/>
      <c r="AF146" s="27"/>
      <c r="AG146" s="27"/>
    </row>
    <row r="147" spans="1:7" ht="12.75">
      <c r="A147" s="3"/>
      <c r="G147" s="19"/>
    </row>
    <row r="148" spans="1:10" ht="12.75">
      <c r="A148" s="3"/>
      <c r="D148" s="159" t="s">
        <v>73</v>
      </c>
      <c r="E148" s="159"/>
      <c r="J148" s="47">
        <f>SUM(J3:J146)</f>
        <v>2774325053.896642</v>
      </c>
    </row>
    <row r="149" ht="12.75">
      <c r="A149" s="3"/>
    </row>
    <row r="150" spans="1:12" ht="12.75">
      <c r="A150">
        <v>2002</v>
      </c>
      <c r="B150" s="27">
        <f>SUM(B3:B14)</f>
        <v>238718386</v>
      </c>
      <c r="J150" s="6">
        <f>SUM(J3:J14)</f>
        <v>239720463.57141733</v>
      </c>
      <c r="K150" s="38">
        <f aca="true" t="shared" si="7" ref="K150:K159">J150-B150</f>
        <v>1002077.5714173317</v>
      </c>
      <c r="L150" s="5">
        <f aca="true" t="shared" si="8" ref="L150:L159">K150/B150</f>
        <v>0.004197739387435921</v>
      </c>
    </row>
    <row r="151" spans="1:12" ht="12.75">
      <c r="A151" s="18">
        <v>2003</v>
      </c>
      <c r="B151" s="27">
        <f>SUM(B15:B26)</f>
        <v>246525602</v>
      </c>
      <c r="J151" s="6">
        <f>SUM(J15:J26)</f>
        <v>241645373.4028023</v>
      </c>
      <c r="K151" s="38">
        <f t="shared" si="7"/>
        <v>-4880228.5971977115</v>
      </c>
      <c r="L151" s="5">
        <f t="shared" si="8"/>
        <v>-0.019796031558611555</v>
      </c>
    </row>
    <row r="152" spans="1:12" ht="12.75">
      <c r="A152">
        <v>2004</v>
      </c>
      <c r="B152" s="27">
        <f>SUM(B27:B38)</f>
        <v>242100886</v>
      </c>
      <c r="J152" s="6">
        <f>SUM(J27:J38)</f>
        <v>241409229.2852041</v>
      </c>
      <c r="K152" s="38">
        <f t="shared" si="7"/>
        <v>-691656.7147958875</v>
      </c>
      <c r="L152" s="5">
        <f t="shared" si="8"/>
        <v>-0.0028568946038301053</v>
      </c>
    </row>
    <row r="153" spans="1:12" ht="12.75">
      <c r="A153" s="18">
        <v>2005</v>
      </c>
      <c r="B153" s="27">
        <f>SUM(B39:B50)</f>
        <v>236047562</v>
      </c>
      <c r="J153" s="6">
        <f>SUM(J39:J50)</f>
        <v>237579760.49331993</v>
      </c>
      <c r="K153" s="38">
        <f t="shared" si="7"/>
        <v>1532198.4933199286</v>
      </c>
      <c r="L153" s="5">
        <f t="shared" si="8"/>
        <v>0.006491058328829207</v>
      </c>
    </row>
    <row r="154" spans="1:12" ht="12.75">
      <c r="A154">
        <v>2006</v>
      </c>
      <c r="B154" s="27">
        <f>SUM(B51:B62)</f>
        <v>229437606</v>
      </c>
      <c r="J154" s="6">
        <f>SUM(J51:J62)</f>
        <v>232376202.03049868</v>
      </c>
      <c r="K154" s="38">
        <f t="shared" si="7"/>
        <v>2938596.0304986835</v>
      </c>
      <c r="L154" s="5">
        <f t="shared" si="8"/>
        <v>0.012807822055546916</v>
      </c>
    </row>
    <row r="155" spans="1:12" ht="12.75">
      <c r="A155" s="18">
        <v>2007</v>
      </c>
      <c r="B155" s="27">
        <f>SUM(B63:B74)</f>
        <v>230101605</v>
      </c>
      <c r="J155" s="6">
        <f>SUM(J63:J74)</f>
        <v>231565219.07945916</v>
      </c>
      <c r="K155" s="38">
        <f t="shared" si="7"/>
        <v>1463614.0794591606</v>
      </c>
      <c r="L155" s="5">
        <f t="shared" si="8"/>
        <v>0.006360729554490333</v>
      </c>
    </row>
    <row r="156" spans="1:12" ht="12.75">
      <c r="A156">
        <v>2008</v>
      </c>
      <c r="B156" s="27">
        <f>SUM(B75:B86)</f>
        <v>233194447</v>
      </c>
      <c r="J156" s="6">
        <f>SUM(J75:J86)</f>
        <v>232110016.25180793</v>
      </c>
      <c r="K156" s="38">
        <f t="shared" si="7"/>
        <v>-1084430.748192072</v>
      </c>
      <c r="L156" s="5">
        <f t="shared" si="8"/>
        <v>-0.004650328351052339</v>
      </c>
    </row>
    <row r="157" spans="1:12" ht="12.75">
      <c r="A157" s="18">
        <v>2009</v>
      </c>
      <c r="B157" s="27">
        <f>SUM(B87:B98)</f>
        <v>225969773</v>
      </c>
      <c r="J157" s="6">
        <f>SUM(J87:J98)</f>
        <v>225718106.88929662</v>
      </c>
      <c r="K157" s="38">
        <f t="shared" si="7"/>
        <v>-251666.11070337892</v>
      </c>
      <c r="L157" s="5">
        <f t="shared" si="8"/>
        <v>-0.0011137158185461331</v>
      </c>
    </row>
    <row r="158" spans="1:12" ht="12.75">
      <c r="A158">
        <v>2010</v>
      </c>
      <c r="B158" s="27">
        <f>SUM(B99:B110)</f>
        <v>221209083</v>
      </c>
      <c r="J158" s="6">
        <f>SUM(J99:J110)</f>
        <v>222087698.48747095</v>
      </c>
      <c r="K158" s="38">
        <f t="shared" si="7"/>
        <v>878615.4874709547</v>
      </c>
      <c r="L158" s="5">
        <f t="shared" si="8"/>
        <v>0.003971877987808279</v>
      </c>
    </row>
    <row r="159" spans="1:12" ht="12.75">
      <c r="A159">
        <v>2011</v>
      </c>
      <c r="B159" s="27">
        <f>SUM(B111:B122)</f>
        <v>221759892</v>
      </c>
      <c r="J159" s="6">
        <f>SUM(J111:J122)</f>
        <v>220852772.50872317</v>
      </c>
      <c r="K159" s="38">
        <f t="shared" si="7"/>
        <v>-907119.4912768304</v>
      </c>
      <c r="L159" s="5">
        <f t="shared" si="8"/>
        <v>-0.004090548038672523</v>
      </c>
    </row>
    <row r="160" spans="1:10" ht="12.75">
      <c r="A160">
        <v>2012</v>
      </c>
      <c r="J160" s="6">
        <f>SUM(J123:J134)</f>
        <v>224791599.07541212</v>
      </c>
    </row>
    <row r="161" spans="1:13" ht="12.75">
      <c r="A161">
        <v>2013</v>
      </c>
      <c r="J161" s="6">
        <f>SUM(J135:J146)</f>
        <v>224468612.8212297</v>
      </c>
      <c r="M161" s="105"/>
    </row>
    <row r="162" ht="12.75">
      <c r="J162" s="6"/>
    </row>
    <row r="163" spans="1:11" ht="12.75">
      <c r="A163" t="s">
        <v>85</v>
      </c>
      <c r="B163" s="27">
        <f>SUM(B150:B159)</f>
        <v>2325064842</v>
      </c>
      <c r="J163" s="6">
        <f>SUM(J150:J159)</f>
        <v>2325064842</v>
      </c>
      <c r="K163" s="6">
        <f>J163-B163</f>
        <v>0</v>
      </c>
    </row>
    <row r="165" spans="10:11" ht="12.75">
      <c r="J165" s="6">
        <f>SUM(J150:J161)</f>
        <v>2774325053.8966417</v>
      </c>
      <c r="K165" s="47">
        <f>J148-J165</f>
        <v>0</v>
      </c>
    </row>
    <row r="166" spans="9:12" ht="12.75">
      <c r="I166"/>
      <c r="J166" s="23"/>
      <c r="K166" s="23" t="s">
        <v>66</v>
      </c>
      <c r="L166" s="23"/>
    </row>
    <row r="168" ht="12.75">
      <c r="B168" s="27" t="s">
        <v>106</v>
      </c>
    </row>
    <row r="169" spans="1:11" ht="12.75">
      <c r="A169" s="3">
        <v>41275</v>
      </c>
      <c r="C169" s="74">
        <f>'Weather Analysis'!W8</f>
        <v>812.748646616541</v>
      </c>
      <c r="D169" s="74">
        <f>'Weather Analysis'!W28</f>
        <v>0</v>
      </c>
      <c r="E169" s="19">
        <f aca="true" t="shared" si="9" ref="E169:G178">E135</f>
        <v>31</v>
      </c>
      <c r="F169" s="19">
        <f t="shared" si="9"/>
        <v>0</v>
      </c>
      <c r="G169" s="19">
        <f t="shared" si="9"/>
        <v>149714.2658700011</v>
      </c>
      <c r="H169" s="19"/>
      <c r="I169" s="34"/>
      <c r="J169" s="19">
        <f aca="true" t="shared" si="10" ref="J169:J180">$N$18+C169*$N$19+D169*$N$20+E169*$N$21+F169*$N$22+G169*$N$23</f>
        <v>23347125.60496702</v>
      </c>
      <c r="K169" s="35"/>
    </row>
    <row r="170" spans="1:11" ht="12.75">
      <c r="A170" s="3">
        <v>41306</v>
      </c>
      <c r="C170" s="74">
        <f>'Weather Analysis'!W9</f>
        <v>700.8614285714284</v>
      </c>
      <c r="D170" s="74">
        <f>'Weather Analysis'!W29</f>
        <v>0</v>
      </c>
      <c r="E170" s="19">
        <f t="shared" si="9"/>
        <v>28</v>
      </c>
      <c r="F170" s="19">
        <f t="shared" si="9"/>
        <v>0</v>
      </c>
      <c r="G170" s="19">
        <f t="shared" si="9"/>
        <v>156903.71252339683</v>
      </c>
      <c r="H170" s="19"/>
      <c r="I170" s="34"/>
      <c r="J170" s="19">
        <f t="shared" si="10"/>
        <v>20866498.922163446</v>
      </c>
      <c r="K170" s="35"/>
    </row>
    <row r="171" spans="1:11" ht="12.75">
      <c r="A171" s="3">
        <v>41334</v>
      </c>
      <c r="C171" s="74">
        <f>'Weather Analysis'!W10</f>
        <v>603.3154887218043</v>
      </c>
      <c r="D171" s="74">
        <f>'Weather Analysis'!W30</f>
        <v>0</v>
      </c>
      <c r="E171" s="19">
        <f t="shared" si="9"/>
        <v>31</v>
      </c>
      <c r="F171" s="19">
        <f t="shared" si="9"/>
        <v>1</v>
      </c>
      <c r="G171" s="19">
        <f t="shared" si="9"/>
        <v>164093.15917679254</v>
      </c>
      <c r="H171" s="19"/>
      <c r="I171" s="34"/>
      <c r="J171" s="19">
        <f t="shared" si="10"/>
        <v>20158982.599008013</v>
      </c>
      <c r="K171" s="35"/>
    </row>
    <row r="172" spans="1:11" ht="12.75">
      <c r="A172" s="3">
        <v>41365</v>
      </c>
      <c r="C172" s="74">
        <f>'Weather Analysis'!W11</f>
        <v>354.9124812030077</v>
      </c>
      <c r="D172" s="74">
        <f>'Weather Analysis'!W31</f>
        <v>0.2680451127819552</v>
      </c>
      <c r="E172" s="19">
        <f t="shared" si="9"/>
        <v>30</v>
      </c>
      <c r="F172" s="19">
        <f t="shared" si="9"/>
        <v>1</v>
      </c>
      <c r="G172" s="19">
        <f t="shared" si="9"/>
        <v>171282.60583018826</v>
      </c>
      <c r="H172" s="19"/>
      <c r="I172" s="34"/>
      <c r="J172" s="19">
        <f t="shared" si="10"/>
        <v>17542799.696956173</v>
      </c>
      <c r="K172" s="35"/>
    </row>
    <row r="173" spans="1:11" ht="12.75">
      <c r="A173" s="3">
        <v>41395</v>
      </c>
      <c r="C173" s="74">
        <f>'Weather Analysis'!W12</f>
        <v>197.70436090225576</v>
      </c>
      <c r="D173" s="74">
        <f>'Weather Analysis'!W32</f>
        <v>10.051353383458604</v>
      </c>
      <c r="E173" s="19">
        <f t="shared" si="9"/>
        <v>31</v>
      </c>
      <c r="F173" s="19">
        <f t="shared" si="9"/>
        <v>1</v>
      </c>
      <c r="G173" s="19">
        <f t="shared" si="9"/>
        <v>178472.05248358398</v>
      </c>
      <c r="H173" s="19"/>
      <c r="I173" s="34"/>
      <c r="J173" s="19">
        <f t="shared" si="10"/>
        <v>16810028.777772035</v>
      </c>
      <c r="K173" s="35"/>
    </row>
    <row r="174" spans="1:11" ht="12.75">
      <c r="A174" s="3">
        <v>41426</v>
      </c>
      <c r="C174" s="74">
        <f>'Weather Analysis'!W13</f>
        <v>63.324586466165556</v>
      </c>
      <c r="D174" s="74">
        <f>'Weather Analysis'!W33</f>
        <v>31.131127819548908</v>
      </c>
      <c r="E174" s="19">
        <f t="shared" si="9"/>
        <v>30</v>
      </c>
      <c r="F174" s="19">
        <f t="shared" si="9"/>
        <v>0</v>
      </c>
      <c r="G174" s="19">
        <f t="shared" si="9"/>
        <v>185661.4991369797</v>
      </c>
      <c r="H174" s="19"/>
      <c r="I174" s="34"/>
      <c r="J174" s="19">
        <f t="shared" si="10"/>
        <v>16759938.093205167</v>
      </c>
      <c r="K174" s="35"/>
    </row>
    <row r="175" spans="1:11" ht="12.75">
      <c r="A175" s="3">
        <v>41456</v>
      </c>
      <c r="C175" s="74">
        <f>'Weather Analysis'!W14</f>
        <v>12.341353383458681</v>
      </c>
      <c r="D175" s="74">
        <f>'Weather Analysis'!W34</f>
        <v>74.16511278195412</v>
      </c>
      <c r="E175" s="19">
        <f t="shared" si="9"/>
        <v>31</v>
      </c>
      <c r="F175" s="19">
        <f t="shared" si="9"/>
        <v>0</v>
      </c>
      <c r="G175" s="19">
        <f t="shared" si="9"/>
        <v>192850.9457903754</v>
      </c>
      <c r="H175" s="19"/>
      <c r="I175" s="34"/>
      <c r="J175" s="19">
        <f t="shared" si="10"/>
        <v>17338551.472205196</v>
      </c>
      <c r="K175" s="35"/>
    </row>
    <row r="176" spans="1:11" ht="12.75">
      <c r="A176" s="3">
        <v>41487</v>
      </c>
      <c r="C176" s="74">
        <f>'Weather Analysis'!W15</f>
        <v>23.628421052631438</v>
      </c>
      <c r="D176" s="74">
        <f>'Weather Analysis'!W35</f>
        <v>50.50278195488727</v>
      </c>
      <c r="E176" s="19">
        <f t="shared" si="9"/>
        <v>31</v>
      </c>
      <c r="F176" s="19">
        <f t="shared" si="9"/>
        <v>0</v>
      </c>
      <c r="G176" s="19">
        <f t="shared" si="9"/>
        <v>200040.39244377112</v>
      </c>
      <c r="H176" s="19"/>
      <c r="I176" s="34"/>
      <c r="J176" s="19">
        <f t="shared" si="10"/>
        <v>17084890.633114256</v>
      </c>
      <c r="K176" s="35"/>
    </row>
    <row r="177" spans="1:11" ht="12.75">
      <c r="A177" s="3">
        <v>41518</v>
      </c>
      <c r="C177" s="74">
        <f>'Weather Analysis'!W16</f>
        <v>96.7391729323308</v>
      </c>
      <c r="D177" s="74">
        <f>'Weather Analysis'!W36</f>
        <v>14.563233082706802</v>
      </c>
      <c r="E177" s="19">
        <f t="shared" si="9"/>
        <v>30</v>
      </c>
      <c r="F177" s="19">
        <f t="shared" si="9"/>
        <v>1</v>
      </c>
      <c r="G177" s="19">
        <f t="shared" si="9"/>
        <v>207229.83909716684</v>
      </c>
      <c r="H177" s="19"/>
      <c r="I177" s="34"/>
      <c r="J177" s="19">
        <f t="shared" si="10"/>
        <v>15341748.031032812</v>
      </c>
      <c r="K177" s="35"/>
    </row>
    <row r="178" spans="1:11" ht="12.75">
      <c r="A178" s="3">
        <v>41548</v>
      </c>
      <c r="C178" s="74">
        <f>'Weather Analysis'!W17</f>
        <v>305.7634586466165</v>
      </c>
      <c r="D178" s="74">
        <f>'Weather Analysis'!W37</f>
        <v>0.9127819548872154</v>
      </c>
      <c r="E178" s="19">
        <f t="shared" si="9"/>
        <v>31</v>
      </c>
      <c r="F178" s="19">
        <f t="shared" si="9"/>
        <v>1</v>
      </c>
      <c r="G178" s="19">
        <f t="shared" si="9"/>
        <v>214419.28575056256</v>
      </c>
      <c r="H178" s="19"/>
      <c r="I178" s="34"/>
      <c r="J178" s="19">
        <f t="shared" si="10"/>
        <v>17366920.07525307</v>
      </c>
      <c r="K178" s="35"/>
    </row>
    <row r="179" spans="1:11" ht="12.75">
      <c r="A179" s="3">
        <v>41579</v>
      </c>
      <c r="C179" s="74">
        <f>'Weather Analysis'!W18</f>
        <v>438.0642857142866</v>
      </c>
      <c r="D179" s="74">
        <f>'Weather Analysis'!W38</f>
        <v>0</v>
      </c>
      <c r="E179" s="19">
        <f aca="true" t="shared" si="11" ref="E179:G180">E145</f>
        <v>30</v>
      </c>
      <c r="F179" s="19">
        <f t="shared" si="11"/>
        <v>1</v>
      </c>
      <c r="G179" s="19">
        <f t="shared" si="11"/>
        <v>221608.73240395827</v>
      </c>
      <c r="H179" s="19"/>
      <c r="I179" s="34"/>
      <c r="J179" s="19">
        <f t="shared" si="10"/>
        <v>17913676.97856747</v>
      </c>
      <c r="K179" s="35"/>
    </row>
    <row r="180" spans="1:11" ht="12.75">
      <c r="A180" s="3">
        <v>41609</v>
      </c>
      <c r="C180" s="74">
        <f>'Weather Analysis'!W19</f>
        <v>729.9306015037596</v>
      </c>
      <c r="D180" s="74">
        <f>'Weather Analysis'!W39</f>
        <v>0</v>
      </c>
      <c r="E180" s="19">
        <f t="shared" si="11"/>
        <v>31</v>
      </c>
      <c r="F180" s="19">
        <f t="shared" si="11"/>
        <v>0</v>
      </c>
      <c r="G180" s="19">
        <f t="shared" si="11"/>
        <v>228798.179057354</v>
      </c>
      <c r="H180" s="19"/>
      <c r="I180" s="34"/>
      <c r="J180" s="19">
        <f t="shared" si="10"/>
        <v>22153191.43664536</v>
      </c>
      <c r="K180" s="35">
        <f>SUM(J169:J180)</f>
        <v>222684352.32089</v>
      </c>
    </row>
  </sheetData>
  <sheetProtection/>
  <mergeCells count="2">
    <mergeCell ref="D148:E148"/>
    <mergeCell ref="H1:I1"/>
  </mergeCells>
  <printOptions/>
  <pageMargins left="0.38" right="0.22" top="0.49" bottom="0.74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2"/>
  <sheetViews>
    <sheetView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11.8515625" style="0" customWidth="1"/>
    <col min="2" max="2" width="18.00390625" style="27" customWidth="1"/>
    <col min="3" max="3" width="11.7109375" style="23" customWidth="1"/>
    <col min="4" max="4" width="13.421875" style="23" customWidth="1"/>
    <col min="5" max="5" width="12.421875" style="23" customWidth="1"/>
    <col min="6" max="6" width="10.140625" style="23" customWidth="1"/>
    <col min="7" max="8" width="12.421875" style="23" customWidth="1"/>
    <col min="9" max="9" width="15.421875" style="1" bestFit="1" customWidth="1"/>
    <col min="10" max="10" width="17.00390625" style="1" customWidth="1"/>
    <col min="11" max="11" width="19.00390625" style="1" customWidth="1"/>
    <col min="12" max="12" width="25.8515625" style="0" bestFit="1" customWidth="1"/>
    <col min="13" max="15" width="18.00390625" style="0" customWidth="1"/>
    <col min="16" max="16" width="17.140625" style="0" customWidth="1"/>
    <col min="17" max="18" width="15.7109375" style="0" customWidth="1"/>
    <col min="19" max="19" width="15.00390625" style="0" customWidth="1"/>
    <col min="20" max="21" width="14.140625" style="0" bestFit="1" customWidth="1"/>
    <col min="22" max="22" width="11.7109375" style="0" bestFit="1" customWidth="1"/>
    <col min="23" max="23" width="11.8515625" style="0" bestFit="1" customWidth="1"/>
    <col min="24" max="24" width="12.57421875" style="6" customWidth="1"/>
    <col min="25" max="25" width="11.28125" style="6" customWidth="1"/>
    <col min="26" max="26" width="11.57421875" style="6" customWidth="1"/>
    <col min="27" max="27" width="9.28125" style="6" customWidth="1"/>
    <col min="28" max="28" width="9.140625" style="6" customWidth="1"/>
    <col min="29" max="29" width="11.7109375" style="6" bestFit="1" customWidth="1"/>
    <col min="30" max="30" width="10.7109375" style="6" bestFit="1" customWidth="1"/>
    <col min="31" max="32" width="9.140625" style="6" customWidth="1"/>
  </cols>
  <sheetData>
    <row r="1" spans="7:8" ht="12.75">
      <c r="G1" s="46"/>
      <c r="H1" s="46" t="s">
        <v>107</v>
      </c>
    </row>
    <row r="2" spans="2:26" ht="42" customHeight="1">
      <c r="B2" s="71" t="s">
        <v>83</v>
      </c>
      <c r="C2" s="72" t="s">
        <v>3</v>
      </c>
      <c r="D2" s="72" t="s">
        <v>4</v>
      </c>
      <c r="E2" s="72" t="s">
        <v>20</v>
      </c>
      <c r="F2" s="72" t="s">
        <v>5</v>
      </c>
      <c r="G2" s="72" t="s">
        <v>84</v>
      </c>
      <c r="H2" s="72" t="s">
        <v>68</v>
      </c>
      <c r="I2" s="12" t="s">
        <v>132</v>
      </c>
      <c r="J2" s="12" t="s">
        <v>12</v>
      </c>
      <c r="K2" t="s">
        <v>21</v>
      </c>
      <c r="X2" s="9"/>
      <c r="Y2" s="9"/>
      <c r="Z2" s="9"/>
    </row>
    <row r="3" spans="1:11" ht="13.5" thickBot="1">
      <c r="A3" s="3">
        <v>37257</v>
      </c>
      <c r="B3" s="27">
        <v>9370922</v>
      </c>
      <c r="C3" s="23">
        <v>695.8</v>
      </c>
      <c r="D3" s="23">
        <v>0</v>
      </c>
      <c r="E3" s="19">
        <v>0</v>
      </c>
      <c r="F3" s="19">
        <v>31</v>
      </c>
      <c r="G3" s="23">
        <v>0</v>
      </c>
      <c r="H3" s="23">
        <v>7080</v>
      </c>
      <c r="I3" s="10">
        <f>$L$18+C3*$L$19+D3*$L$20+E3*$L$21+F3*$L$22+F3*$L$23</f>
        <v>8817409.169312838</v>
      </c>
      <c r="K3"/>
    </row>
    <row r="4" spans="1:12" ht="12.75">
      <c r="A4" s="3">
        <v>37288</v>
      </c>
      <c r="B4" s="27">
        <v>8234061</v>
      </c>
      <c r="C4" s="23">
        <v>664.9</v>
      </c>
      <c r="D4" s="23">
        <v>0</v>
      </c>
      <c r="E4" s="19">
        <v>0</v>
      </c>
      <c r="F4" s="19">
        <v>28</v>
      </c>
      <c r="G4" s="23">
        <v>0</v>
      </c>
      <c r="H4" s="23">
        <v>7087</v>
      </c>
      <c r="I4" s="10">
        <f aca="true" t="shared" si="0" ref="I4:I67">$L$18+C4*$L$19+D4*$L$20+E4*$L$21+F4*$L$22+F4*$L$23</f>
        <v>8265178.761924018</v>
      </c>
      <c r="K4" s="54" t="s">
        <v>22</v>
      </c>
      <c r="L4" s="54"/>
    </row>
    <row r="5" spans="1:12" ht="12.75">
      <c r="A5" s="3">
        <v>37316</v>
      </c>
      <c r="B5" s="27">
        <v>7780124</v>
      </c>
      <c r="C5" s="23">
        <v>674.7</v>
      </c>
      <c r="D5" s="23">
        <v>0</v>
      </c>
      <c r="E5" s="19">
        <v>1</v>
      </c>
      <c r="F5" s="19">
        <v>31</v>
      </c>
      <c r="G5" s="23">
        <v>0</v>
      </c>
      <c r="H5" s="19">
        <v>7088</v>
      </c>
      <c r="I5" s="10">
        <f t="shared" si="0"/>
        <v>8183865.804287002</v>
      </c>
      <c r="J5" s="10"/>
      <c r="K5" s="37" t="s">
        <v>23</v>
      </c>
      <c r="L5" s="59">
        <v>0.9719411465613577</v>
      </c>
    </row>
    <row r="6" spans="1:12" ht="12.75">
      <c r="A6" s="3">
        <v>37347</v>
      </c>
      <c r="B6" s="27">
        <v>5129613</v>
      </c>
      <c r="C6" s="23">
        <v>399.4</v>
      </c>
      <c r="D6" s="23">
        <v>4.5</v>
      </c>
      <c r="E6" s="19">
        <v>1</v>
      </c>
      <c r="F6" s="19">
        <v>30</v>
      </c>
      <c r="G6" s="23">
        <v>0</v>
      </c>
      <c r="H6" s="19">
        <v>7092</v>
      </c>
      <c r="I6" s="10">
        <f t="shared" si="0"/>
        <v>6397367.717957569</v>
      </c>
      <c r="J6" s="10"/>
      <c r="K6" s="37" t="s">
        <v>24</v>
      </c>
      <c r="L6" s="59">
        <v>0.9446695923790066</v>
      </c>
    </row>
    <row r="7" spans="1:12" ht="12.75">
      <c r="A7" s="3">
        <v>37377</v>
      </c>
      <c r="B7" s="27">
        <v>5827246</v>
      </c>
      <c r="C7" s="23">
        <v>285.9</v>
      </c>
      <c r="D7" s="23">
        <v>1.8</v>
      </c>
      <c r="E7" s="19">
        <v>1</v>
      </c>
      <c r="F7" s="19">
        <v>31</v>
      </c>
      <c r="G7" s="23">
        <v>0</v>
      </c>
      <c r="H7" s="19">
        <v>7097</v>
      </c>
      <c r="I7" s="10">
        <f t="shared" si="0"/>
        <v>5792535.507583104</v>
      </c>
      <c r="J7" s="10"/>
      <c r="K7" s="37" t="s">
        <v>25</v>
      </c>
      <c r="L7" s="59">
        <v>0.9427450564617547</v>
      </c>
    </row>
    <row r="8" spans="1:12" ht="12.75">
      <c r="A8" s="3">
        <v>37408</v>
      </c>
      <c r="B8" s="27">
        <v>4866257</v>
      </c>
      <c r="C8" s="23">
        <v>65</v>
      </c>
      <c r="D8" s="23">
        <v>39.3</v>
      </c>
      <c r="E8" s="19">
        <v>0</v>
      </c>
      <c r="F8" s="19">
        <v>30</v>
      </c>
      <c r="G8" s="23">
        <v>0</v>
      </c>
      <c r="H8" s="19">
        <v>7105</v>
      </c>
      <c r="I8" s="10">
        <f t="shared" si="0"/>
        <v>5122661.97232466</v>
      </c>
      <c r="J8" s="10"/>
      <c r="K8" s="37" t="s">
        <v>26</v>
      </c>
      <c r="L8" s="55">
        <v>428470.52241978847</v>
      </c>
    </row>
    <row r="9" spans="1:12" ht="13.5" thickBot="1">
      <c r="A9" s="3">
        <v>37438</v>
      </c>
      <c r="B9" s="27">
        <v>4954663</v>
      </c>
      <c r="C9" s="23">
        <v>19.1</v>
      </c>
      <c r="D9" s="23">
        <v>79.2</v>
      </c>
      <c r="E9" s="19">
        <v>0</v>
      </c>
      <c r="F9" s="19">
        <v>31</v>
      </c>
      <c r="G9" s="23">
        <v>0</v>
      </c>
      <c r="H9" s="19">
        <v>7111</v>
      </c>
      <c r="I9" s="10">
        <f t="shared" si="0"/>
        <v>5293781.624122204</v>
      </c>
      <c r="J9" s="10"/>
      <c r="K9" s="52" t="s">
        <v>27</v>
      </c>
      <c r="L9" s="52">
        <v>120</v>
      </c>
    </row>
    <row r="10" spans="1:11" ht="12.75">
      <c r="A10" s="3">
        <v>37469</v>
      </c>
      <c r="B10" s="27">
        <v>3963370</v>
      </c>
      <c r="C10" s="23">
        <v>25.4</v>
      </c>
      <c r="D10" s="23">
        <v>46.8</v>
      </c>
      <c r="E10" s="19">
        <v>0</v>
      </c>
      <c r="F10" s="19">
        <v>31</v>
      </c>
      <c r="G10" s="23">
        <v>0</v>
      </c>
      <c r="H10" s="19">
        <v>7117</v>
      </c>
      <c r="I10" s="10">
        <f t="shared" si="0"/>
        <v>5060836.497981324</v>
      </c>
      <c r="J10" s="10"/>
      <c r="K10"/>
    </row>
    <row r="11" spans="1:11" ht="13.5" thickBot="1">
      <c r="A11" s="3">
        <v>37500</v>
      </c>
      <c r="B11" s="27">
        <v>5864878</v>
      </c>
      <c r="C11" s="23">
        <v>78</v>
      </c>
      <c r="D11" s="23">
        <v>31.5</v>
      </c>
      <c r="E11" s="19">
        <v>1</v>
      </c>
      <c r="F11" s="19">
        <v>30</v>
      </c>
      <c r="G11" s="23">
        <v>0</v>
      </c>
      <c r="H11" s="19">
        <v>7129</v>
      </c>
      <c r="I11" s="10">
        <f t="shared" si="0"/>
        <v>4634710.446559715</v>
      </c>
      <c r="J11" s="10"/>
      <c r="K11" t="s">
        <v>28</v>
      </c>
    </row>
    <row r="12" spans="1:16" ht="12.75">
      <c r="A12" s="3">
        <v>37530</v>
      </c>
      <c r="B12" s="27">
        <v>6057697</v>
      </c>
      <c r="C12" s="23">
        <v>391.4</v>
      </c>
      <c r="D12" s="23">
        <v>2.2</v>
      </c>
      <c r="E12" s="19">
        <v>1</v>
      </c>
      <c r="F12" s="19">
        <v>31</v>
      </c>
      <c r="G12" s="23">
        <v>0</v>
      </c>
      <c r="H12" s="19">
        <v>7130</v>
      </c>
      <c r="I12" s="10">
        <f t="shared" si="0"/>
        <v>6448874.27069612</v>
      </c>
      <c r="J12" s="10"/>
      <c r="K12" s="53"/>
      <c r="L12" s="53" t="s">
        <v>32</v>
      </c>
      <c r="M12" s="53" t="s">
        <v>33</v>
      </c>
      <c r="N12" s="53" t="s">
        <v>34</v>
      </c>
      <c r="O12" s="53" t="s">
        <v>35</v>
      </c>
      <c r="P12" s="53" t="s">
        <v>36</v>
      </c>
    </row>
    <row r="13" spans="1:16" ht="12.75">
      <c r="A13" s="3">
        <v>37561</v>
      </c>
      <c r="B13" s="27">
        <v>7720013</v>
      </c>
      <c r="C13" s="23">
        <v>561.6</v>
      </c>
      <c r="D13" s="23">
        <v>0</v>
      </c>
      <c r="E13" s="19">
        <v>1</v>
      </c>
      <c r="F13" s="19">
        <v>30</v>
      </c>
      <c r="G13" s="23">
        <v>0</v>
      </c>
      <c r="H13" s="19">
        <v>7147</v>
      </c>
      <c r="I13" s="10">
        <f t="shared" si="0"/>
        <v>7363518.876970559</v>
      </c>
      <c r="J13" s="10"/>
      <c r="K13" s="37" t="s">
        <v>29</v>
      </c>
      <c r="L13" s="37">
        <v>4</v>
      </c>
      <c r="M13" s="37">
        <v>360458943095509.4</v>
      </c>
      <c r="N13" s="37">
        <v>90114735773877.34</v>
      </c>
      <c r="O13" s="37">
        <v>490.85578705535676</v>
      </c>
      <c r="P13" s="37">
        <v>2.9059819656516323E-71</v>
      </c>
    </row>
    <row r="14" spans="1:16" ht="12.75">
      <c r="A14" s="3">
        <v>37591</v>
      </c>
      <c r="B14" s="27">
        <v>9366308</v>
      </c>
      <c r="C14" s="23">
        <v>753.7</v>
      </c>
      <c r="D14" s="23">
        <v>0</v>
      </c>
      <c r="E14" s="19">
        <v>0</v>
      </c>
      <c r="F14" s="19">
        <v>31</v>
      </c>
      <c r="G14" s="23">
        <v>0</v>
      </c>
      <c r="H14" s="19">
        <v>7167</v>
      </c>
      <c r="I14" s="10">
        <f t="shared" si="0"/>
        <v>9175775.319400562</v>
      </c>
      <c r="J14" s="10"/>
      <c r="K14" s="37" t="s">
        <v>30</v>
      </c>
      <c r="L14" s="37">
        <v>115</v>
      </c>
      <c r="M14" s="37">
        <v>21112503687008.94</v>
      </c>
      <c r="N14" s="37">
        <v>183586988582.68643</v>
      </c>
      <c r="O14" s="37"/>
      <c r="P14" s="37"/>
    </row>
    <row r="15" spans="1:16" ht="13.5" thickBot="1">
      <c r="A15" s="3">
        <v>37622</v>
      </c>
      <c r="B15" s="27">
        <v>10639345</v>
      </c>
      <c r="C15" s="23">
        <v>990.4</v>
      </c>
      <c r="D15" s="23">
        <v>0</v>
      </c>
      <c r="E15" s="19">
        <v>0</v>
      </c>
      <c r="F15" s="19">
        <v>31</v>
      </c>
      <c r="G15" s="23">
        <v>0</v>
      </c>
      <c r="H15" s="19">
        <v>7167</v>
      </c>
      <c r="I15" s="10">
        <f t="shared" si="0"/>
        <v>10640805.850070056</v>
      </c>
      <c r="J15" s="10"/>
      <c r="K15" s="52" t="s">
        <v>10</v>
      </c>
      <c r="L15" s="52">
        <v>119</v>
      </c>
      <c r="M15" s="52">
        <v>381571446782518.3</v>
      </c>
      <c r="N15" s="52"/>
      <c r="O15" s="52"/>
      <c r="P15" s="52"/>
    </row>
    <row r="16" spans="1:11" ht="13.5" thickBot="1">
      <c r="A16" s="3">
        <v>37653</v>
      </c>
      <c r="B16" s="27">
        <v>9366250</v>
      </c>
      <c r="C16" s="23">
        <v>857.5</v>
      </c>
      <c r="D16" s="23">
        <v>0</v>
      </c>
      <c r="E16" s="19">
        <v>0</v>
      </c>
      <c r="F16" s="19">
        <v>28</v>
      </c>
      <c r="G16" s="23">
        <v>0</v>
      </c>
      <c r="H16" s="19">
        <v>7196</v>
      </c>
      <c r="I16" s="10">
        <f t="shared" si="0"/>
        <v>9457256.836309083</v>
      </c>
      <c r="J16" s="10"/>
      <c r="K16"/>
    </row>
    <row r="17" spans="1:20" ht="13.5" thickBot="1">
      <c r="A17" s="3">
        <v>37681</v>
      </c>
      <c r="B17" s="27">
        <v>7648199</v>
      </c>
      <c r="C17" s="23">
        <v>705</v>
      </c>
      <c r="D17" s="23">
        <v>0</v>
      </c>
      <c r="E17" s="19">
        <v>1</v>
      </c>
      <c r="F17" s="19">
        <v>31</v>
      </c>
      <c r="G17" s="23">
        <v>0</v>
      </c>
      <c r="H17" s="19">
        <v>7199</v>
      </c>
      <c r="I17" s="10">
        <f t="shared" si="0"/>
        <v>8371404.566768141</v>
      </c>
      <c r="J17" s="10"/>
      <c r="K17" s="53"/>
      <c r="L17" s="53" t="s">
        <v>37</v>
      </c>
      <c r="M17" s="53" t="s">
        <v>26</v>
      </c>
      <c r="N17" s="53" t="s">
        <v>38</v>
      </c>
      <c r="O17" s="53" t="s">
        <v>39</v>
      </c>
      <c r="P17" s="53" t="s">
        <v>40</v>
      </c>
      <c r="Q17" s="53" t="s">
        <v>41</v>
      </c>
      <c r="R17" s="53" t="s">
        <v>127</v>
      </c>
      <c r="S17" s="53" t="s">
        <v>128</v>
      </c>
      <c r="T17" s="53" t="s">
        <v>128</v>
      </c>
    </row>
    <row r="18" spans="1:28" ht="12.75">
      <c r="A18" s="3">
        <v>37712</v>
      </c>
      <c r="B18" s="27">
        <v>6411730</v>
      </c>
      <c r="C18" s="23">
        <v>460.9</v>
      </c>
      <c r="D18" s="23">
        <v>0</v>
      </c>
      <c r="E18" s="19">
        <v>1</v>
      </c>
      <c r="F18" s="19">
        <v>30</v>
      </c>
      <c r="G18" s="23">
        <v>0</v>
      </c>
      <c r="H18" s="19">
        <v>7204</v>
      </c>
      <c r="I18" s="10">
        <f t="shared" si="0"/>
        <v>6740246.488130601</v>
      </c>
      <c r="J18" s="10"/>
      <c r="K18" s="37" t="s">
        <v>31</v>
      </c>
      <c r="L18" s="55">
        <v>780719.9076762404</v>
      </c>
      <c r="M18" s="37">
        <v>1491360.6207787413</v>
      </c>
      <c r="N18" s="55">
        <v>0.5234950533081484</v>
      </c>
      <c r="O18" s="37">
        <v>0.6016371188884679</v>
      </c>
      <c r="P18" s="37">
        <v>-2173378.359663455</v>
      </c>
      <c r="Q18" s="37">
        <v>3734818.1750159357</v>
      </c>
      <c r="R18" s="37">
        <v>-2173378.359663455</v>
      </c>
      <c r="S18" s="37">
        <v>3734818.1750159357</v>
      </c>
      <c r="T18" s="37">
        <v>3748862.367047906</v>
      </c>
      <c r="V18" s="53"/>
      <c r="W18" s="53" t="s">
        <v>3</v>
      </c>
      <c r="X18" s="53" t="s">
        <v>4</v>
      </c>
      <c r="Y18" s="53" t="s">
        <v>20</v>
      </c>
      <c r="Z18" s="53" t="s">
        <v>5</v>
      </c>
      <c r="AA18" s="53" t="s">
        <v>68</v>
      </c>
      <c r="AB18" s="53" t="s">
        <v>84</v>
      </c>
    </row>
    <row r="19" spans="1:28" ht="12.75">
      <c r="A19" s="3">
        <v>37742</v>
      </c>
      <c r="B19" s="27">
        <v>5676188</v>
      </c>
      <c r="C19" s="23">
        <v>212.7</v>
      </c>
      <c r="D19" s="23">
        <v>0</v>
      </c>
      <c r="E19" s="19">
        <v>1</v>
      </c>
      <c r="F19" s="19">
        <v>31</v>
      </c>
      <c r="G19" s="23">
        <v>0</v>
      </c>
      <c r="H19" s="19">
        <v>7207</v>
      </c>
      <c r="I19" s="10">
        <f t="shared" si="0"/>
        <v>5324363.881307254</v>
      </c>
      <c r="J19" s="10"/>
      <c r="K19" s="37" t="s">
        <v>3</v>
      </c>
      <c r="L19" s="55">
        <v>6189.398101687769</v>
      </c>
      <c r="M19" s="37">
        <v>208.61090449808034</v>
      </c>
      <c r="N19" s="55">
        <v>29.66958087152498</v>
      </c>
      <c r="O19" s="37">
        <v>1.0115720797927505E-55</v>
      </c>
      <c r="P19" s="37">
        <v>5776.180062442401</v>
      </c>
      <c r="Q19" s="37">
        <v>6602.616140933136</v>
      </c>
      <c r="R19" s="37">
        <v>5776.180062442401</v>
      </c>
      <c r="S19" s="37">
        <v>6602.616140933136</v>
      </c>
      <c r="T19" s="37">
        <v>6606.5264491504595</v>
      </c>
      <c r="V19" s="37" t="s">
        <v>3</v>
      </c>
      <c r="W19" s="37">
        <v>1</v>
      </c>
      <c r="X19" s="37"/>
      <c r="Y19" s="37"/>
      <c r="Z19" s="37"/>
      <c r="AA19" s="37"/>
      <c r="AB19" s="37"/>
    </row>
    <row r="20" spans="1:28" ht="12.75">
      <c r="A20" s="3">
        <v>37773</v>
      </c>
      <c r="B20" s="27">
        <v>4662274</v>
      </c>
      <c r="C20" s="23">
        <v>74.8</v>
      </c>
      <c r="D20" s="23">
        <v>15.8</v>
      </c>
      <c r="E20" s="19">
        <v>0</v>
      </c>
      <c r="F20" s="19">
        <v>30</v>
      </c>
      <c r="G20" s="23">
        <v>0</v>
      </c>
      <c r="H20" s="19">
        <v>7212</v>
      </c>
      <c r="I20" s="10">
        <f t="shared" si="0"/>
        <v>4986078.849854979</v>
      </c>
      <c r="J20" s="10"/>
      <c r="K20" s="37" t="s">
        <v>4</v>
      </c>
      <c r="L20" s="55">
        <v>8393.158462392395</v>
      </c>
      <c r="M20" s="37">
        <v>3018.370056054724</v>
      </c>
      <c r="N20" s="55">
        <v>2.7806923294763246</v>
      </c>
      <c r="O20" s="37">
        <v>0.00633973844911973</v>
      </c>
      <c r="P20" s="37">
        <v>2414.3484894394205</v>
      </c>
      <c r="Q20" s="37">
        <v>14371.96843534537</v>
      </c>
      <c r="R20" s="37">
        <v>2414.3484894394205</v>
      </c>
      <c r="S20" s="37">
        <v>14371.96843534537</v>
      </c>
      <c r="T20" s="37">
        <v>14423.683091832467</v>
      </c>
      <c r="V20" s="37" t="s">
        <v>4</v>
      </c>
      <c r="W20" s="59">
        <v>-0.6618894229046219</v>
      </c>
      <c r="X20" s="59">
        <v>1</v>
      </c>
      <c r="Y20" s="59"/>
      <c r="Z20" s="59"/>
      <c r="AA20" s="59"/>
      <c r="AB20" s="59"/>
    </row>
    <row r="21" spans="1:28" ht="12.75">
      <c r="A21" s="3">
        <v>37803</v>
      </c>
      <c r="B21" s="27">
        <v>4987696</v>
      </c>
      <c r="C21" s="23">
        <v>21.9</v>
      </c>
      <c r="D21" s="23">
        <v>39</v>
      </c>
      <c r="E21" s="19">
        <v>0</v>
      </c>
      <c r="F21" s="19">
        <v>31</v>
      </c>
      <c r="G21" s="23">
        <v>0</v>
      </c>
      <c r="H21" s="19">
        <v>7223</v>
      </c>
      <c r="I21" s="10">
        <f t="shared" si="0"/>
        <v>4973706.968618756</v>
      </c>
      <c r="J21" s="10"/>
      <c r="K21" s="37" t="s">
        <v>20</v>
      </c>
      <c r="L21" s="55">
        <v>-502947.06508022535</v>
      </c>
      <c r="M21" s="37">
        <v>103365.5768845663</v>
      </c>
      <c r="N21" s="55">
        <v>-4.865711392893327</v>
      </c>
      <c r="O21" s="37">
        <v>3.6578151714374604E-06</v>
      </c>
      <c r="P21" s="37">
        <v>-707694.3725542689</v>
      </c>
      <c r="Q21" s="37">
        <v>-298199.75760618184</v>
      </c>
      <c r="R21" s="37">
        <v>-707694.3725542689</v>
      </c>
      <c r="S21" s="37">
        <v>-298199.75760618184</v>
      </c>
      <c r="T21" s="37">
        <v>-297196.548161046</v>
      </c>
      <c r="V21" s="37" t="s">
        <v>20</v>
      </c>
      <c r="W21" s="59">
        <v>-0.07243093204106013</v>
      </c>
      <c r="X21" s="59">
        <v>-0.4269497786806348</v>
      </c>
      <c r="Y21" s="59">
        <v>1</v>
      </c>
      <c r="Z21" s="59"/>
      <c r="AA21" s="59"/>
      <c r="AB21" s="59"/>
    </row>
    <row r="22" spans="1:28" ht="13.5" thickBot="1">
      <c r="A22" s="3">
        <v>37834</v>
      </c>
      <c r="B22" s="27">
        <v>4961892</v>
      </c>
      <c r="C22" s="23">
        <v>27.4</v>
      </c>
      <c r="D22" s="23">
        <v>60.9</v>
      </c>
      <c r="E22" s="19">
        <v>0</v>
      </c>
      <c r="F22" s="19">
        <v>31</v>
      </c>
      <c r="G22" s="23">
        <v>0</v>
      </c>
      <c r="H22" s="19">
        <v>7232</v>
      </c>
      <c r="I22" s="10">
        <f t="shared" si="0"/>
        <v>5191558.828504432</v>
      </c>
      <c r="J22" s="10"/>
      <c r="K22" s="52" t="s">
        <v>5</v>
      </c>
      <c r="L22" s="56">
        <v>120326.00201555644</v>
      </c>
      <c r="M22" s="52">
        <v>49456.422710040606</v>
      </c>
      <c r="N22" s="56">
        <v>2.432970187128556</v>
      </c>
      <c r="O22" s="52">
        <v>0.01651590008780568</v>
      </c>
      <c r="P22" s="52">
        <v>22362.350165702606</v>
      </c>
      <c r="Q22" s="52">
        <v>218289.65386541028</v>
      </c>
      <c r="R22" s="52">
        <v>22362.350165702606</v>
      </c>
      <c r="S22" s="52">
        <v>218289.65386541028</v>
      </c>
      <c r="T22" s="37">
        <v>218893.7155997671</v>
      </c>
      <c r="V22" s="37" t="s">
        <v>5</v>
      </c>
      <c r="W22" s="59">
        <v>-0.17989120546396703</v>
      </c>
      <c r="X22" s="59">
        <v>0.20485137233338688</v>
      </c>
      <c r="Y22" s="59">
        <v>0.08091133940627354</v>
      </c>
      <c r="Z22" s="59">
        <v>1</v>
      </c>
      <c r="AA22" s="59"/>
      <c r="AB22" s="59"/>
    </row>
    <row r="23" spans="1:28" ht="13.5" thickBot="1">
      <c r="A23" s="3">
        <v>37865</v>
      </c>
      <c r="B23" s="27">
        <v>4637299</v>
      </c>
      <c r="C23" s="23">
        <v>113.7</v>
      </c>
      <c r="D23" s="23">
        <v>5.6</v>
      </c>
      <c r="E23" s="19">
        <v>1</v>
      </c>
      <c r="F23" s="19">
        <v>30</v>
      </c>
      <c r="G23" s="23">
        <v>0</v>
      </c>
      <c r="H23" s="19">
        <v>7235</v>
      </c>
      <c r="I23" s="10">
        <f t="shared" si="0"/>
        <v>4638289.154614005</v>
      </c>
      <c r="J23" s="10"/>
      <c r="K23"/>
      <c r="T23" s="52">
        <v>0.9408057553919181</v>
      </c>
      <c r="V23" s="37" t="s">
        <v>68</v>
      </c>
      <c r="W23" s="59">
        <v>-0.06583178915658533</v>
      </c>
      <c r="X23" s="59">
        <v>-0.017406859209342953</v>
      </c>
      <c r="Y23" s="59">
        <v>0.015347642905897097</v>
      </c>
      <c r="Z23" s="59">
        <v>0.01655443672340007</v>
      </c>
      <c r="AA23" s="59">
        <v>1</v>
      </c>
      <c r="AB23" s="59"/>
    </row>
    <row r="24" spans="1:28" ht="13.5" thickBot="1">
      <c r="A24" s="3">
        <v>37895</v>
      </c>
      <c r="B24" s="27">
        <v>6298849</v>
      </c>
      <c r="C24" s="23">
        <v>349.8</v>
      </c>
      <c r="D24" s="23">
        <v>0</v>
      </c>
      <c r="E24" s="19">
        <v>1</v>
      </c>
      <c r="F24" s="19">
        <v>31</v>
      </c>
      <c r="G24" s="23">
        <v>0</v>
      </c>
      <c r="H24" s="19">
        <v>7241</v>
      </c>
      <c r="I24" s="10">
        <f t="shared" si="0"/>
        <v>6172930.361048646</v>
      </c>
      <c r="J24" s="10"/>
      <c r="K24"/>
      <c r="V24" s="52" t="s">
        <v>84</v>
      </c>
      <c r="W24" s="82">
        <v>-0.0633175564041307</v>
      </c>
      <c r="X24" s="82">
        <v>-0.03541528804341258</v>
      </c>
      <c r="Y24" s="82">
        <v>0.012875427358758578</v>
      </c>
      <c r="Z24" s="82">
        <v>0.017913815133747575</v>
      </c>
      <c r="AA24" s="82">
        <v>0.9134697623560007</v>
      </c>
      <c r="AB24" s="82">
        <v>1</v>
      </c>
    </row>
    <row r="25" spans="1:11" ht="12.75">
      <c r="A25" s="3">
        <v>37926</v>
      </c>
      <c r="B25" s="27">
        <v>7130580</v>
      </c>
      <c r="C25" s="23">
        <v>483.2</v>
      </c>
      <c r="D25" s="23">
        <v>0</v>
      </c>
      <c r="E25" s="19">
        <v>1</v>
      </c>
      <c r="F25" s="19">
        <v>30</v>
      </c>
      <c r="G25" s="23">
        <v>0</v>
      </c>
      <c r="H25" s="19">
        <v>7251</v>
      </c>
      <c r="I25" s="10">
        <f t="shared" si="0"/>
        <v>6878270.065798238</v>
      </c>
      <c r="J25" s="10"/>
      <c r="K25"/>
    </row>
    <row r="26" spans="1:11" ht="12.75">
      <c r="A26" s="3">
        <v>37956</v>
      </c>
      <c r="B26" s="27">
        <v>8905168</v>
      </c>
      <c r="C26" s="23">
        <v>676.7</v>
      </c>
      <c r="D26" s="23">
        <v>0</v>
      </c>
      <c r="E26" s="19">
        <v>0</v>
      </c>
      <c r="F26" s="19">
        <v>31</v>
      </c>
      <c r="G26" s="23">
        <v>0</v>
      </c>
      <c r="H26" s="19">
        <v>7267</v>
      </c>
      <c r="I26" s="10">
        <f t="shared" si="0"/>
        <v>8699191.665570604</v>
      </c>
      <c r="J26" s="10"/>
      <c r="K26"/>
    </row>
    <row r="27" spans="1:11" ht="12.75">
      <c r="A27" s="3">
        <v>37987</v>
      </c>
      <c r="B27" s="27">
        <v>11260273</v>
      </c>
      <c r="C27" s="23">
        <v>1041.1</v>
      </c>
      <c r="D27" s="23">
        <v>0</v>
      </c>
      <c r="E27" s="19">
        <v>0</v>
      </c>
      <c r="F27" s="19">
        <v>31</v>
      </c>
      <c r="G27" s="23">
        <v>0</v>
      </c>
      <c r="H27" s="19">
        <v>7268</v>
      </c>
      <c r="I27" s="10">
        <f t="shared" si="0"/>
        <v>10954608.333825625</v>
      </c>
      <c r="J27" s="10"/>
      <c r="K27" s="15"/>
    </row>
    <row r="28" spans="1:11" ht="12.75">
      <c r="A28" s="3">
        <v>38018</v>
      </c>
      <c r="B28" s="27">
        <v>9023883</v>
      </c>
      <c r="C28" s="23">
        <v>746.8</v>
      </c>
      <c r="D28" s="23">
        <v>0</v>
      </c>
      <c r="E28" s="19">
        <v>0</v>
      </c>
      <c r="F28" s="19">
        <v>29</v>
      </c>
      <c r="G28" s="23">
        <v>0</v>
      </c>
      <c r="H28" s="19">
        <v>7269</v>
      </c>
      <c r="I28" s="10">
        <f t="shared" si="0"/>
        <v>8892416.468467802</v>
      </c>
      <c r="J28" s="10"/>
      <c r="K28" s="15"/>
    </row>
    <row r="29" spans="1:11" ht="12.75">
      <c r="A29" s="3">
        <v>38047</v>
      </c>
      <c r="B29" s="27">
        <v>7683399</v>
      </c>
      <c r="C29" s="23">
        <v>592.8</v>
      </c>
      <c r="D29" s="23">
        <v>0</v>
      </c>
      <c r="E29" s="19">
        <v>1</v>
      </c>
      <c r="F29" s="19">
        <v>31</v>
      </c>
      <c r="G29" s="23">
        <v>0</v>
      </c>
      <c r="H29" s="19">
        <v>7268</v>
      </c>
      <c r="I29" s="10">
        <f t="shared" si="0"/>
        <v>7676954.099758774</v>
      </c>
      <c r="J29" s="10"/>
      <c r="K29" s="15"/>
    </row>
    <row r="30" spans="1:11" ht="12.75">
      <c r="A30" s="3">
        <v>38078</v>
      </c>
      <c r="B30" s="27">
        <v>6992507</v>
      </c>
      <c r="C30" s="23">
        <v>395.9</v>
      </c>
      <c r="D30" s="23">
        <v>0</v>
      </c>
      <c r="E30" s="19">
        <v>1</v>
      </c>
      <c r="F30" s="19">
        <v>30</v>
      </c>
      <c r="G30" s="23">
        <v>0</v>
      </c>
      <c r="H30" s="19">
        <v>7268</v>
      </c>
      <c r="I30" s="10">
        <f t="shared" si="0"/>
        <v>6337935.611520896</v>
      </c>
      <c r="J30" s="10"/>
      <c r="K30" s="15"/>
    </row>
    <row r="31" spans="1:11" ht="12.75">
      <c r="A31" s="3">
        <v>38108</v>
      </c>
      <c r="B31" s="27">
        <v>4892623</v>
      </c>
      <c r="C31" s="23">
        <v>236</v>
      </c>
      <c r="D31" s="23">
        <v>5.5</v>
      </c>
      <c r="E31" s="19">
        <v>1</v>
      </c>
      <c r="F31" s="19">
        <v>31</v>
      </c>
      <c r="G31" s="23">
        <v>0</v>
      </c>
      <c r="H31" s="19">
        <v>7273</v>
      </c>
      <c r="I31" s="10">
        <f t="shared" si="0"/>
        <v>5514739.228619737</v>
      </c>
      <c r="J31" s="10"/>
      <c r="K31" s="15"/>
    </row>
    <row r="32" spans="1:11" ht="12.75">
      <c r="A32" s="3">
        <v>38139</v>
      </c>
      <c r="B32" s="27">
        <v>4848788</v>
      </c>
      <c r="C32" s="23">
        <v>110.4</v>
      </c>
      <c r="D32" s="23">
        <v>15.2</v>
      </c>
      <c r="E32" s="19">
        <v>0</v>
      </c>
      <c r="F32" s="19">
        <v>30</v>
      </c>
      <c r="G32" s="23">
        <v>0</v>
      </c>
      <c r="H32" s="19">
        <v>7274</v>
      </c>
      <c r="I32" s="10">
        <f t="shared" si="0"/>
        <v>5201385.527197627</v>
      </c>
      <c r="J32" s="10"/>
      <c r="K32" s="15"/>
    </row>
    <row r="33" spans="1:11" ht="12.75">
      <c r="A33" s="3">
        <v>38169</v>
      </c>
      <c r="B33" s="27">
        <v>5247139</v>
      </c>
      <c r="C33" s="23">
        <v>21.5</v>
      </c>
      <c r="D33" s="23">
        <v>45.2</v>
      </c>
      <c r="E33" s="19">
        <v>0</v>
      </c>
      <c r="F33" s="19">
        <v>31</v>
      </c>
      <c r="G33" s="23">
        <v>0</v>
      </c>
      <c r="H33" s="19">
        <v>7284</v>
      </c>
      <c r="I33" s="10">
        <f t="shared" si="0"/>
        <v>5023268.791844914</v>
      </c>
      <c r="J33" s="10"/>
      <c r="K33" s="15"/>
    </row>
    <row r="34" spans="1:11" ht="12.75">
      <c r="A34" s="3">
        <v>38200</v>
      </c>
      <c r="B34" s="27">
        <v>4617646</v>
      </c>
      <c r="C34" s="23">
        <v>69.8</v>
      </c>
      <c r="D34" s="23">
        <v>28.4</v>
      </c>
      <c r="E34" s="19">
        <v>0</v>
      </c>
      <c r="F34" s="19">
        <v>31</v>
      </c>
      <c r="G34" s="23">
        <v>0</v>
      </c>
      <c r="H34" s="19">
        <v>7287</v>
      </c>
      <c r="I34" s="10">
        <f t="shared" si="0"/>
        <v>5181211.657988241</v>
      </c>
      <c r="J34" s="10"/>
      <c r="K34" s="15"/>
    </row>
    <row r="35" spans="1:11" ht="12.75">
      <c r="A35" s="3">
        <v>38231</v>
      </c>
      <c r="B35" s="27">
        <v>5015892</v>
      </c>
      <c r="C35" s="23">
        <v>88.4</v>
      </c>
      <c r="D35" s="23">
        <v>17.9</v>
      </c>
      <c r="E35" s="19">
        <v>1</v>
      </c>
      <c r="F35" s="19">
        <v>30</v>
      </c>
      <c r="G35" s="23">
        <v>0</v>
      </c>
      <c r="H35" s="19">
        <v>7296</v>
      </c>
      <c r="I35" s="10">
        <f t="shared" si="0"/>
        <v>4584933.231728731</v>
      </c>
      <c r="J35" s="10"/>
      <c r="K35" s="15"/>
    </row>
    <row r="36" spans="1:11" ht="12.75">
      <c r="A36" s="3">
        <v>38261</v>
      </c>
      <c r="B36" s="27">
        <v>5592525</v>
      </c>
      <c r="C36" s="23">
        <v>310.8</v>
      </c>
      <c r="D36" s="23">
        <v>0</v>
      </c>
      <c r="E36" s="19">
        <v>1</v>
      </c>
      <c r="F36" s="19">
        <v>31</v>
      </c>
      <c r="G36" s="23">
        <v>0</v>
      </c>
      <c r="H36" s="19">
        <v>7297</v>
      </c>
      <c r="I36" s="10">
        <f t="shared" si="0"/>
        <v>5931543.835082823</v>
      </c>
      <c r="J36" s="10"/>
      <c r="K36" s="15"/>
    </row>
    <row r="37" spans="1:11" ht="12.75">
      <c r="A37" s="3">
        <v>38292</v>
      </c>
      <c r="B37" s="27">
        <v>6585536</v>
      </c>
      <c r="C37" s="23">
        <v>485.2</v>
      </c>
      <c r="D37" s="23">
        <v>0</v>
      </c>
      <c r="E37" s="19">
        <v>1</v>
      </c>
      <c r="F37" s="19">
        <v>30</v>
      </c>
      <c r="G37" s="23">
        <v>0</v>
      </c>
      <c r="H37" s="19">
        <v>7300</v>
      </c>
      <c r="I37" s="10">
        <f t="shared" si="0"/>
        <v>6890648.862001614</v>
      </c>
      <c r="J37" s="10"/>
      <c r="K37" s="15"/>
    </row>
    <row r="38" spans="1:11" ht="12.75">
      <c r="A38" s="3">
        <v>38322</v>
      </c>
      <c r="B38" s="27">
        <v>9689184</v>
      </c>
      <c r="C38" s="23">
        <v>801</v>
      </c>
      <c r="D38" s="23">
        <v>0</v>
      </c>
      <c r="E38" s="19">
        <v>0</v>
      </c>
      <c r="F38" s="19">
        <v>31</v>
      </c>
      <c r="G38" s="23">
        <v>0</v>
      </c>
      <c r="H38" s="19">
        <v>7312</v>
      </c>
      <c r="I38" s="10">
        <f t="shared" si="0"/>
        <v>9468533.849610392</v>
      </c>
      <c r="J38" s="10"/>
      <c r="K38" s="15"/>
    </row>
    <row r="39" spans="1:11" ht="12.75">
      <c r="A39" s="3">
        <v>38353</v>
      </c>
      <c r="B39" s="27">
        <v>10338278</v>
      </c>
      <c r="C39" s="23">
        <v>486</v>
      </c>
      <c r="D39" s="23">
        <v>0</v>
      </c>
      <c r="E39" s="19">
        <v>0</v>
      </c>
      <c r="F39" s="19">
        <v>31</v>
      </c>
      <c r="G39" s="23">
        <v>0</v>
      </c>
      <c r="H39" s="19">
        <v>7317</v>
      </c>
      <c r="I39" s="10">
        <f t="shared" si="0"/>
        <v>7518873.447578746</v>
      </c>
      <c r="J39" s="10"/>
      <c r="K39" s="15"/>
    </row>
    <row r="40" spans="1:11" ht="12.75">
      <c r="A40" s="3">
        <v>38384</v>
      </c>
      <c r="B40" s="27">
        <v>8970527</v>
      </c>
      <c r="C40" s="23">
        <v>737.4</v>
      </c>
      <c r="D40" s="23">
        <v>0</v>
      </c>
      <c r="E40" s="19">
        <v>0</v>
      </c>
      <c r="F40" s="19">
        <v>28</v>
      </c>
      <c r="G40" s="23">
        <v>0</v>
      </c>
      <c r="H40" s="19">
        <v>7319</v>
      </c>
      <c r="I40" s="10">
        <f t="shared" si="0"/>
        <v>8713910.124296382</v>
      </c>
      <c r="J40" s="10"/>
      <c r="K40" s="15"/>
    </row>
    <row r="41" spans="1:11" ht="12.75">
      <c r="A41" s="3">
        <v>38412</v>
      </c>
      <c r="B41" s="27">
        <v>8345323</v>
      </c>
      <c r="C41" s="23">
        <v>746.4</v>
      </c>
      <c r="D41" s="23">
        <v>0</v>
      </c>
      <c r="E41" s="19">
        <v>1</v>
      </c>
      <c r="F41" s="19">
        <v>31</v>
      </c>
      <c r="G41" s="23">
        <v>0</v>
      </c>
      <c r="H41" s="19">
        <v>7322</v>
      </c>
      <c r="I41" s="10">
        <f t="shared" si="0"/>
        <v>8627645.648178015</v>
      </c>
      <c r="J41" s="10"/>
      <c r="K41" s="15"/>
    </row>
    <row r="42" spans="1:11" ht="12.75">
      <c r="A42" s="3">
        <v>38443</v>
      </c>
      <c r="B42" s="27">
        <v>6398277</v>
      </c>
      <c r="C42" s="23">
        <v>381.2</v>
      </c>
      <c r="D42" s="23">
        <v>0</v>
      </c>
      <c r="E42" s="19">
        <v>1</v>
      </c>
      <c r="F42" s="19">
        <v>30</v>
      </c>
      <c r="G42" s="23">
        <v>0</v>
      </c>
      <c r="H42" s="19">
        <v>7319</v>
      </c>
      <c r="I42" s="10">
        <f t="shared" si="0"/>
        <v>6246951.459426085</v>
      </c>
      <c r="J42" s="10"/>
      <c r="K42" s="15"/>
    </row>
    <row r="43" spans="1:11" ht="12.75">
      <c r="A43" s="3">
        <v>38473</v>
      </c>
      <c r="B43" s="27">
        <v>5287232</v>
      </c>
      <c r="C43" s="23">
        <v>252.2</v>
      </c>
      <c r="D43" s="23">
        <v>0.4</v>
      </c>
      <c r="E43" s="19">
        <v>1</v>
      </c>
      <c r="F43" s="19">
        <v>31</v>
      </c>
      <c r="G43" s="23">
        <v>0</v>
      </c>
      <c r="H43" s="19">
        <v>7321</v>
      </c>
      <c r="I43" s="10">
        <f t="shared" si="0"/>
        <v>5572202.369708877</v>
      </c>
      <c r="J43" s="10"/>
      <c r="K43" s="15"/>
    </row>
    <row r="44" spans="1:11" ht="12.75">
      <c r="A44" s="3">
        <v>38504</v>
      </c>
      <c r="B44" s="27">
        <v>5738395</v>
      </c>
      <c r="C44" s="23">
        <v>33.5</v>
      </c>
      <c r="D44" s="23">
        <v>76.8</v>
      </c>
      <c r="E44" s="19">
        <v>0</v>
      </c>
      <c r="F44" s="19">
        <v>30</v>
      </c>
      <c r="G44" s="23">
        <v>0</v>
      </c>
      <c r="H44" s="19">
        <v>7326</v>
      </c>
      <c r="I44" s="10">
        <f t="shared" si="0"/>
        <v>5242439.374461209</v>
      </c>
      <c r="J44" s="10"/>
      <c r="K44" s="15"/>
    </row>
    <row r="45" spans="1:11" ht="12.75">
      <c r="A45" s="3">
        <v>38534</v>
      </c>
      <c r="B45" s="27">
        <v>5498240</v>
      </c>
      <c r="C45" s="23">
        <v>14.8</v>
      </c>
      <c r="D45" s="23">
        <v>87.8</v>
      </c>
      <c r="E45" s="19">
        <v>0</v>
      </c>
      <c r="F45" s="19">
        <v>31</v>
      </c>
      <c r="G45" s="23">
        <v>0</v>
      </c>
      <c r="H45" s="19">
        <v>7335</v>
      </c>
      <c r="I45" s="10">
        <f t="shared" si="0"/>
        <v>5339348.375061521</v>
      </c>
      <c r="J45" s="10"/>
      <c r="K45" s="15"/>
    </row>
    <row r="46" spans="1:11" ht="12.75">
      <c r="A46" s="3">
        <v>38565</v>
      </c>
      <c r="B46" s="27">
        <v>5103871</v>
      </c>
      <c r="C46" s="23">
        <v>13.2</v>
      </c>
      <c r="D46" s="23">
        <v>59.8</v>
      </c>
      <c r="E46" s="19">
        <v>0</v>
      </c>
      <c r="F46" s="19">
        <v>31</v>
      </c>
      <c r="G46" s="23">
        <v>0</v>
      </c>
      <c r="H46" s="19">
        <v>7331</v>
      </c>
      <c r="I46" s="10">
        <f t="shared" si="0"/>
        <v>5094436.901151834</v>
      </c>
      <c r="J46" s="10"/>
      <c r="K46" s="15"/>
    </row>
    <row r="47" spans="1:11" ht="12.75">
      <c r="A47" s="3">
        <v>38596</v>
      </c>
      <c r="B47" s="27">
        <v>4764138</v>
      </c>
      <c r="C47" s="23">
        <v>78</v>
      </c>
      <c r="D47" s="23">
        <v>12.6</v>
      </c>
      <c r="E47" s="19">
        <v>1</v>
      </c>
      <c r="F47" s="19">
        <v>30</v>
      </c>
      <c r="G47" s="23">
        <v>0</v>
      </c>
      <c r="H47" s="19">
        <v>7350</v>
      </c>
      <c r="I47" s="10">
        <f t="shared" si="0"/>
        <v>4476079.7516204985</v>
      </c>
      <c r="J47" s="10"/>
      <c r="K47" s="15"/>
    </row>
    <row r="48" spans="1:11" ht="12.75">
      <c r="A48" s="3">
        <v>38626</v>
      </c>
      <c r="B48" s="27">
        <v>5696053</v>
      </c>
      <c r="C48" s="23">
        <v>279.7</v>
      </c>
      <c r="D48" s="23">
        <v>6.7</v>
      </c>
      <c r="E48" s="19">
        <v>1</v>
      </c>
      <c r="F48" s="19">
        <v>31</v>
      </c>
      <c r="G48" s="23">
        <v>0</v>
      </c>
      <c r="H48" s="19">
        <v>7349</v>
      </c>
      <c r="I48" s="10">
        <f t="shared" si="0"/>
        <v>5795287.715818362</v>
      </c>
      <c r="J48" s="10"/>
      <c r="K48" s="15"/>
    </row>
    <row r="49" spans="1:11" ht="12.75">
      <c r="A49" s="3">
        <v>38657</v>
      </c>
      <c r="B49" s="27">
        <v>7239938</v>
      </c>
      <c r="C49" s="23">
        <v>491.1</v>
      </c>
      <c r="D49" s="23">
        <v>0</v>
      </c>
      <c r="E49" s="19">
        <v>1</v>
      </c>
      <c r="F49" s="19">
        <v>30</v>
      </c>
      <c r="G49" s="23">
        <v>0</v>
      </c>
      <c r="H49" s="19">
        <v>7354</v>
      </c>
      <c r="I49" s="10">
        <f t="shared" si="0"/>
        <v>6927166.310801571</v>
      </c>
      <c r="J49" s="10"/>
      <c r="K49" s="15"/>
    </row>
    <row r="50" spans="1:11" ht="12.75">
      <c r="A50" s="3">
        <v>38687</v>
      </c>
      <c r="B50" s="27">
        <v>9176936</v>
      </c>
      <c r="C50" s="23">
        <v>785.6</v>
      </c>
      <c r="D50" s="23">
        <v>0</v>
      </c>
      <c r="E50" s="19">
        <v>0</v>
      </c>
      <c r="F50" s="19">
        <v>31</v>
      </c>
      <c r="G50" s="23">
        <v>0</v>
      </c>
      <c r="H50" s="19">
        <v>7362</v>
      </c>
      <c r="I50" s="10">
        <f t="shared" si="0"/>
        <v>9373217.118844401</v>
      </c>
      <c r="J50" s="10"/>
      <c r="K50" s="15"/>
    </row>
    <row r="51" spans="1:11" ht="12.75">
      <c r="A51" s="3">
        <v>38718</v>
      </c>
      <c r="B51" s="27">
        <v>9120051</v>
      </c>
      <c r="C51" s="23">
        <v>706.5</v>
      </c>
      <c r="D51" s="23">
        <v>0</v>
      </c>
      <c r="E51" s="19">
        <v>0</v>
      </c>
      <c r="F51" s="19">
        <v>31</v>
      </c>
      <c r="G51" s="27">
        <f>'CDM Activity'!F16</f>
        <v>9482.992158121597</v>
      </c>
      <c r="H51" s="19">
        <v>7366</v>
      </c>
      <c r="I51" s="10">
        <f t="shared" si="0"/>
        <v>8883635.7290009</v>
      </c>
      <c r="J51" s="10"/>
      <c r="K51" s="15"/>
    </row>
    <row r="52" spans="1:11" ht="12.75">
      <c r="A52" s="3">
        <v>38749</v>
      </c>
      <c r="B52" s="27">
        <v>8326252</v>
      </c>
      <c r="C52" s="23">
        <v>751.2</v>
      </c>
      <c r="D52" s="23">
        <v>0</v>
      </c>
      <c r="E52" s="19">
        <v>0</v>
      </c>
      <c r="F52" s="19">
        <v>28</v>
      </c>
      <c r="G52" s="27">
        <f>'CDM Activity'!F17</f>
        <v>18965.984316243193</v>
      </c>
      <c r="H52" s="19">
        <v>7369</v>
      </c>
      <c r="I52" s="10">
        <f t="shared" si="0"/>
        <v>8799323.818099674</v>
      </c>
      <c r="J52" s="10"/>
      <c r="K52" s="15"/>
    </row>
    <row r="53" spans="1:11" ht="12.75">
      <c r="A53" s="3">
        <v>38777</v>
      </c>
      <c r="B53" s="27">
        <v>8132807</v>
      </c>
      <c r="C53" s="23">
        <v>663.4</v>
      </c>
      <c r="D53" s="23">
        <v>0</v>
      </c>
      <c r="E53" s="19">
        <v>1</v>
      </c>
      <c r="F53" s="19">
        <v>31</v>
      </c>
      <c r="G53" s="27">
        <f>'CDM Activity'!F18</f>
        <v>28448.97647436479</v>
      </c>
      <c r="H53" s="19">
        <v>7371</v>
      </c>
      <c r="I53" s="10">
        <f t="shared" si="0"/>
        <v>8113925.605737931</v>
      </c>
      <c r="J53" s="10"/>
      <c r="K53" s="15"/>
    </row>
    <row r="54" spans="1:11" ht="12.75">
      <c r="A54" s="3">
        <v>38808</v>
      </c>
      <c r="B54" s="27">
        <v>6043353</v>
      </c>
      <c r="C54" s="23">
        <v>362.7</v>
      </c>
      <c r="D54" s="23">
        <v>0</v>
      </c>
      <c r="E54" s="19">
        <v>1</v>
      </c>
      <c r="F54" s="19">
        <v>30</v>
      </c>
      <c r="G54" s="27">
        <f>'CDM Activity'!F19</f>
        <v>37931.96863248639</v>
      </c>
      <c r="H54" s="19">
        <v>7373</v>
      </c>
      <c r="I54" s="10">
        <f t="shared" si="0"/>
        <v>6132447.5945448615</v>
      </c>
      <c r="J54" s="10"/>
      <c r="K54" s="15"/>
    </row>
    <row r="55" spans="1:11" ht="12.75">
      <c r="A55" s="3">
        <v>38838</v>
      </c>
      <c r="B55" s="27">
        <v>5244651</v>
      </c>
      <c r="C55" s="23">
        <v>181.7</v>
      </c>
      <c r="D55" s="23">
        <v>14</v>
      </c>
      <c r="E55" s="19">
        <v>1</v>
      </c>
      <c r="F55" s="19">
        <v>31</v>
      </c>
      <c r="G55" s="27">
        <f>'CDM Activity'!F20</f>
        <v>47414.960790607984</v>
      </c>
      <c r="H55" s="19">
        <v>7365</v>
      </c>
      <c r="I55" s="10">
        <f t="shared" si="0"/>
        <v>5249996.758628426</v>
      </c>
      <c r="J55" s="10"/>
      <c r="K55" s="15"/>
    </row>
    <row r="56" spans="1:11" ht="12.75">
      <c r="A56" s="3">
        <v>38869</v>
      </c>
      <c r="B56" s="27">
        <v>4891261</v>
      </c>
      <c r="C56" s="23">
        <v>58.5</v>
      </c>
      <c r="D56" s="23">
        <v>31.3</v>
      </c>
      <c r="E56" s="19">
        <v>0</v>
      </c>
      <c r="F56" s="19">
        <v>30</v>
      </c>
      <c r="G56" s="27">
        <f>'CDM Activity'!F21</f>
        <v>56897.95294872958</v>
      </c>
      <c r="H56" s="19">
        <v>7374</v>
      </c>
      <c r="I56" s="10">
        <f t="shared" si="0"/>
        <v>5015285.616964551</v>
      </c>
      <c r="J56" s="10"/>
      <c r="K56" s="15"/>
    </row>
    <row r="57" spans="1:11" ht="12.75">
      <c r="A57" s="3">
        <v>38899</v>
      </c>
      <c r="B57" s="27">
        <v>5331658</v>
      </c>
      <c r="C57" s="23">
        <v>4.9</v>
      </c>
      <c r="D57" s="23">
        <v>83.4</v>
      </c>
      <c r="E57" s="19">
        <v>0</v>
      </c>
      <c r="F57" s="19">
        <v>31</v>
      </c>
      <c r="G57" s="27">
        <f>'CDM Activity'!F22</f>
        <v>66380.94510685117</v>
      </c>
      <c r="H57" s="19">
        <v>7381</v>
      </c>
      <c r="I57" s="10">
        <f t="shared" si="0"/>
        <v>5241143.436620286</v>
      </c>
      <c r="J57" s="10"/>
      <c r="K57" s="15"/>
    </row>
    <row r="58" spans="1:11" ht="12.75">
      <c r="A58" s="3">
        <v>38930</v>
      </c>
      <c r="B58" s="27">
        <v>5007356</v>
      </c>
      <c r="C58" s="23">
        <v>43.7</v>
      </c>
      <c r="D58" s="23">
        <v>39.9</v>
      </c>
      <c r="E58" s="19">
        <v>0</v>
      </c>
      <c r="F58" s="19">
        <v>31</v>
      </c>
      <c r="G58" s="27">
        <f>'CDM Activity'!F23</f>
        <v>75863.93726497277</v>
      </c>
      <c r="H58" s="19">
        <v>7387</v>
      </c>
      <c r="I58" s="10">
        <f t="shared" si="0"/>
        <v>5116189.689851702</v>
      </c>
      <c r="J58" s="10"/>
      <c r="K58" s="15"/>
    </row>
    <row r="59" spans="1:11" ht="12.75">
      <c r="A59" s="3">
        <v>38961</v>
      </c>
      <c r="B59" s="27">
        <v>4835487</v>
      </c>
      <c r="C59" s="23">
        <v>163.5</v>
      </c>
      <c r="D59" s="23">
        <v>0.7</v>
      </c>
      <c r="E59" s="19">
        <v>1</v>
      </c>
      <c r="F59" s="19">
        <v>30</v>
      </c>
      <c r="G59" s="27">
        <f>'CDM Activity'!F24</f>
        <v>85346.92942309438</v>
      </c>
      <c r="H59" s="19">
        <v>7388</v>
      </c>
      <c r="I59" s="10">
        <f t="shared" si="0"/>
        <v>4905394.703612333</v>
      </c>
      <c r="J59" s="10"/>
      <c r="K59" s="15"/>
    </row>
    <row r="60" spans="1:11" ht="12.75">
      <c r="A60" s="3">
        <v>38991</v>
      </c>
      <c r="B60" s="27">
        <v>6124307</v>
      </c>
      <c r="C60" s="23">
        <v>366.1</v>
      </c>
      <c r="D60" s="23">
        <v>0</v>
      </c>
      <c r="E60" s="19">
        <v>1</v>
      </c>
      <c r="F60" s="19">
        <v>31</v>
      </c>
      <c r="G60" s="27">
        <f>'CDM Activity'!F25</f>
        <v>94829.92158121598</v>
      </c>
      <c r="H60" s="19">
        <v>7391</v>
      </c>
      <c r="I60" s="10">
        <f t="shared" si="0"/>
        <v>6273817.550106157</v>
      </c>
      <c r="J60" s="10"/>
      <c r="K60" s="15"/>
    </row>
    <row r="61" spans="1:11" ht="12.75">
      <c r="A61" s="3">
        <v>39022</v>
      </c>
      <c r="B61" s="27">
        <v>6912831</v>
      </c>
      <c r="C61" s="23">
        <v>441.1</v>
      </c>
      <c r="D61" s="23">
        <v>0</v>
      </c>
      <c r="E61" s="19">
        <v>1</v>
      </c>
      <c r="F61" s="19">
        <v>30</v>
      </c>
      <c r="G61" s="27">
        <f>'CDM Activity'!F26</f>
        <v>104312.91373933759</v>
      </c>
      <c r="H61" s="19">
        <v>7403</v>
      </c>
      <c r="I61" s="10">
        <f t="shared" si="0"/>
        <v>6617696.405717183</v>
      </c>
      <c r="J61" s="10"/>
      <c r="K61" s="15"/>
    </row>
    <row r="62" spans="1:11" ht="12.75">
      <c r="A62" s="3">
        <v>39052</v>
      </c>
      <c r="B62" s="27">
        <v>8199616</v>
      </c>
      <c r="C62" s="23">
        <v>610</v>
      </c>
      <c r="D62" s="23">
        <v>0</v>
      </c>
      <c r="E62" s="19">
        <v>0</v>
      </c>
      <c r="F62" s="19">
        <v>31</v>
      </c>
      <c r="G62" s="27">
        <f>'CDM Activity'!F27</f>
        <v>113795.90589745919</v>
      </c>
      <c r="H62" s="19">
        <v>7411</v>
      </c>
      <c r="I62" s="10">
        <f t="shared" si="0"/>
        <v>8286358.812188029</v>
      </c>
      <c r="J62" s="10"/>
      <c r="K62" s="15"/>
    </row>
    <row r="63" spans="1:11" ht="12.75">
      <c r="A63" s="3">
        <v>39083</v>
      </c>
      <c r="B63" s="27">
        <v>9384669</v>
      </c>
      <c r="C63" s="23">
        <v>826.1</v>
      </c>
      <c r="D63" s="23">
        <v>0</v>
      </c>
      <c r="E63" s="19">
        <v>0</v>
      </c>
      <c r="F63" s="19">
        <v>31</v>
      </c>
      <c r="G63" s="27">
        <f>'CDM Activity'!F28</f>
        <v>113676.46837958093</v>
      </c>
      <c r="H63" s="19">
        <v>7393</v>
      </c>
      <c r="I63" s="10">
        <f t="shared" si="0"/>
        <v>9623887.741962757</v>
      </c>
      <c r="J63" s="10"/>
      <c r="K63" s="15"/>
    </row>
    <row r="64" spans="1:11" ht="12.75">
      <c r="A64" s="3">
        <v>39114</v>
      </c>
      <c r="B64" s="27">
        <v>9013352</v>
      </c>
      <c r="C64" s="23">
        <v>847.5</v>
      </c>
      <c r="D64" s="23">
        <v>0</v>
      </c>
      <c r="E64" s="19">
        <v>0</v>
      </c>
      <c r="F64" s="19">
        <v>28</v>
      </c>
      <c r="G64" s="27">
        <f>'CDM Activity'!F29</f>
        <v>113557.03086170266</v>
      </c>
      <c r="H64" s="19">
        <v>7393</v>
      </c>
      <c r="I64" s="10">
        <f t="shared" si="0"/>
        <v>9395362.855292205</v>
      </c>
      <c r="J64" s="10"/>
      <c r="K64" s="15"/>
    </row>
    <row r="65" spans="1:11" ht="12.75">
      <c r="A65" s="3">
        <v>39142</v>
      </c>
      <c r="B65" s="27">
        <v>8188902</v>
      </c>
      <c r="C65" s="23">
        <v>653.1</v>
      </c>
      <c r="D65" s="23">
        <v>0</v>
      </c>
      <c r="E65" s="19">
        <v>1</v>
      </c>
      <c r="F65" s="19">
        <v>31</v>
      </c>
      <c r="G65" s="27">
        <f>'CDM Activity'!F30</f>
        <v>113437.5933438244</v>
      </c>
      <c r="H65" s="19">
        <v>7396</v>
      </c>
      <c r="I65" s="10">
        <f t="shared" si="0"/>
        <v>8050174.805290547</v>
      </c>
      <c r="J65" s="10"/>
      <c r="K65" s="15"/>
    </row>
    <row r="66" spans="1:11" ht="12.75">
      <c r="A66" s="3">
        <v>39173</v>
      </c>
      <c r="B66" s="27">
        <v>6326433</v>
      </c>
      <c r="C66" s="23">
        <v>426.6</v>
      </c>
      <c r="D66" s="23">
        <v>0</v>
      </c>
      <c r="E66" s="19">
        <v>1</v>
      </c>
      <c r="F66" s="19">
        <v>30</v>
      </c>
      <c r="G66" s="27">
        <f>'CDM Activity'!F31</f>
        <v>113318.15582594613</v>
      </c>
      <c r="H66" s="19">
        <v>7396</v>
      </c>
      <c r="I66" s="10">
        <f t="shared" si="0"/>
        <v>6527950.1332427105</v>
      </c>
      <c r="J66" s="10"/>
      <c r="K66" s="15"/>
    </row>
    <row r="67" spans="1:11" ht="12.75">
      <c r="A67" s="3">
        <v>39203</v>
      </c>
      <c r="B67" s="27">
        <v>5157298</v>
      </c>
      <c r="C67" s="23">
        <v>203.5</v>
      </c>
      <c r="D67" s="23">
        <v>9.1</v>
      </c>
      <c r="E67" s="19">
        <v>1</v>
      </c>
      <c r="F67" s="19">
        <v>31</v>
      </c>
      <c r="G67" s="27">
        <f>'CDM Activity'!F32</f>
        <v>113198.71830806787</v>
      </c>
      <c r="H67" s="19">
        <v>7391</v>
      </c>
      <c r="I67" s="10">
        <f t="shared" si="0"/>
        <v>5343799.160779497</v>
      </c>
      <c r="J67" s="10"/>
      <c r="K67" s="15"/>
    </row>
    <row r="68" spans="1:11" ht="12.75">
      <c r="A68" s="3">
        <v>39234</v>
      </c>
      <c r="B68" s="27">
        <v>4883398</v>
      </c>
      <c r="C68" s="23">
        <v>62.6</v>
      </c>
      <c r="D68" s="23">
        <v>43</v>
      </c>
      <c r="E68" s="19">
        <v>0</v>
      </c>
      <c r="F68" s="19">
        <v>30</v>
      </c>
      <c r="G68" s="27">
        <f>'CDM Activity'!F33</f>
        <v>113079.2807901896</v>
      </c>
      <c r="H68" s="19">
        <v>7393</v>
      </c>
      <c r="I68" s="10">
        <f aca="true" t="shared" si="1" ref="I68:I131">$L$18+C68*$L$19+D68*$L$20+E68*$L$21+F68*$L$22+F68*$L$23</f>
        <v>5138862.103191461</v>
      </c>
      <c r="J68" s="10"/>
      <c r="K68" s="15"/>
    </row>
    <row r="69" spans="1:11" ht="12.75">
      <c r="A69" s="3">
        <v>39264</v>
      </c>
      <c r="B69" s="27">
        <v>5029894</v>
      </c>
      <c r="C69" s="23">
        <v>39.5</v>
      </c>
      <c r="D69" s="23">
        <v>43.6</v>
      </c>
      <c r="E69" s="19">
        <v>0</v>
      </c>
      <c r="F69" s="19">
        <v>31</v>
      </c>
      <c r="G69" s="27">
        <f>'CDM Activity'!F34</f>
        <v>112959.84327231134</v>
      </c>
      <c r="H69" s="19">
        <v>7395</v>
      </c>
      <c r="I69" s="10">
        <f t="shared" si="1"/>
        <v>5121248.904135466</v>
      </c>
      <c r="J69" s="10"/>
      <c r="K69" s="15"/>
    </row>
    <row r="70" spans="1:11" ht="12.75">
      <c r="A70" s="3">
        <v>39295</v>
      </c>
      <c r="B70" s="27">
        <v>5010463</v>
      </c>
      <c r="C70" s="23">
        <v>26.7</v>
      </c>
      <c r="D70" s="23">
        <v>52.3</v>
      </c>
      <c r="E70" s="19">
        <v>0</v>
      </c>
      <c r="F70" s="19">
        <v>31</v>
      </c>
      <c r="G70" s="27">
        <f>'CDM Activity'!F35</f>
        <v>112840.40575443307</v>
      </c>
      <c r="H70" s="19">
        <v>7397</v>
      </c>
      <c r="I70" s="10">
        <f t="shared" si="1"/>
        <v>5115045.087056676</v>
      </c>
      <c r="J70" s="10"/>
      <c r="K70" s="15"/>
    </row>
    <row r="71" spans="1:11" ht="12.75">
      <c r="A71" s="3">
        <v>39326</v>
      </c>
      <c r="B71" s="27">
        <v>4672596</v>
      </c>
      <c r="C71" s="23">
        <v>100.1</v>
      </c>
      <c r="D71" s="23">
        <v>14.4</v>
      </c>
      <c r="E71" s="19">
        <v>1</v>
      </c>
      <c r="F71" s="19">
        <v>30</v>
      </c>
      <c r="G71" s="27">
        <f>'CDM Activity'!F36</f>
        <v>112720.9682365548</v>
      </c>
      <c r="H71" s="19">
        <v>7412</v>
      </c>
      <c r="I71" s="10">
        <f t="shared" si="1"/>
        <v>4627973.134900104</v>
      </c>
      <c r="J71" s="10"/>
      <c r="K71" s="15"/>
    </row>
    <row r="72" spans="1:11" ht="12.75">
      <c r="A72" s="3">
        <v>39356</v>
      </c>
      <c r="B72" s="27">
        <v>5472211</v>
      </c>
      <c r="C72" s="23">
        <v>226.7</v>
      </c>
      <c r="D72" s="23">
        <v>1.5</v>
      </c>
      <c r="E72" s="19">
        <v>1</v>
      </c>
      <c r="F72" s="19">
        <v>31</v>
      </c>
      <c r="G72" s="27">
        <f>'CDM Activity'!F37</f>
        <v>112601.53071867654</v>
      </c>
      <c r="H72" s="19">
        <v>7428</v>
      </c>
      <c r="I72" s="10">
        <f t="shared" si="1"/>
        <v>5423605.192424471</v>
      </c>
      <c r="J72" s="10"/>
      <c r="K72" s="15"/>
    </row>
    <row r="73" spans="1:11" ht="12.75">
      <c r="A73" s="3">
        <v>39387</v>
      </c>
      <c r="B73" s="27">
        <v>7239771</v>
      </c>
      <c r="C73" s="23">
        <v>555.2</v>
      </c>
      <c r="D73" s="23">
        <v>0</v>
      </c>
      <c r="E73" s="19">
        <v>1</v>
      </c>
      <c r="F73" s="19">
        <v>30</v>
      </c>
      <c r="G73" s="27">
        <f>'CDM Activity'!F38</f>
        <v>112482.09320079828</v>
      </c>
      <c r="H73" s="19">
        <v>7434</v>
      </c>
      <c r="I73" s="10">
        <f t="shared" si="1"/>
        <v>7323906.729119757</v>
      </c>
      <c r="J73" s="10"/>
      <c r="K73" s="15"/>
    </row>
    <row r="74" spans="1:11" ht="12.75">
      <c r="A74" s="3">
        <v>39417</v>
      </c>
      <c r="B74" s="27">
        <v>9019454</v>
      </c>
      <c r="C74" s="23">
        <v>766.2</v>
      </c>
      <c r="D74" s="23">
        <v>0</v>
      </c>
      <c r="E74" s="19">
        <v>0</v>
      </c>
      <c r="F74" s="19">
        <v>31</v>
      </c>
      <c r="G74" s="27">
        <f>'CDM Activity'!F39</f>
        <v>112362.65568292001</v>
      </c>
      <c r="H74" s="19">
        <v>7450</v>
      </c>
      <c r="I74" s="10">
        <f t="shared" si="1"/>
        <v>9253142.79567166</v>
      </c>
      <c r="J74" s="10"/>
      <c r="K74" s="15"/>
    </row>
    <row r="75" spans="1:9" ht="12.75">
      <c r="A75" s="3">
        <v>39448</v>
      </c>
      <c r="B75" s="27">
        <v>9334001</v>
      </c>
      <c r="C75" s="23">
        <f>'Weather Analysis'!R8</f>
        <v>753.1</v>
      </c>
      <c r="D75" s="23">
        <f>'Weather Analysis'!R28</f>
        <v>0</v>
      </c>
      <c r="E75" s="19">
        <v>0</v>
      </c>
      <c r="F75" s="19">
        <v>31</v>
      </c>
      <c r="G75" s="27">
        <f>'CDM Activity'!F40</f>
        <v>114091.44779339395</v>
      </c>
      <c r="H75" s="19">
        <v>7459</v>
      </c>
      <c r="I75" s="10">
        <f t="shared" si="1"/>
        <v>9172061.680539548</v>
      </c>
    </row>
    <row r="76" spans="1:9" ht="12.75">
      <c r="A76" s="3">
        <v>39479</v>
      </c>
      <c r="B76" s="27">
        <v>8838303</v>
      </c>
      <c r="C76" s="23">
        <f>'Weather Analysis'!R9</f>
        <v>815.6</v>
      </c>
      <c r="D76" s="23">
        <f>'Weather Analysis'!R29</f>
        <v>0</v>
      </c>
      <c r="E76" s="19">
        <v>0</v>
      </c>
      <c r="F76" s="19">
        <v>29</v>
      </c>
      <c r="G76" s="27">
        <f>'CDM Activity'!F41</f>
        <v>115820.23990386789</v>
      </c>
      <c r="H76" s="19">
        <v>7457</v>
      </c>
      <c r="I76" s="10">
        <f t="shared" si="1"/>
        <v>9318247.05786392</v>
      </c>
    </row>
    <row r="77" spans="1:9" ht="12.75">
      <c r="A77" s="3">
        <v>39508</v>
      </c>
      <c r="B77" s="27">
        <v>8503960</v>
      </c>
      <c r="C77" s="23">
        <f>'Weather Analysis'!R10</f>
        <v>760.5</v>
      </c>
      <c r="D77" s="23">
        <f>'Weather Analysis'!R30</f>
        <v>0</v>
      </c>
      <c r="E77" s="19">
        <v>1</v>
      </c>
      <c r="F77" s="19">
        <v>31</v>
      </c>
      <c r="G77" s="27">
        <f>'CDM Activity'!F42</f>
        <v>117549.03201434182</v>
      </c>
      <c r="H77" s="19">
        <v>7467</v>
      </c>
      <c r="I77" s="10">
        <f t="shared" si="1"/>
        <v>8714916.161411814</v>
      </c>
    </row>
    <row r="78" spans="1:9" ht="12.75">
      <c r="A78" s="3">
        <v>39539</v>
      </c>
      <c r="B78" s="27">
        <v>6189144</v>
      </c>
      <c r="C78" s="23">
        <f>'Weather Analysis'!R11</f>
        <v>348.6</v>
      </c>
      <c r="D78" s="23">
        <f>'Weather Analysis'!R31</f>
        <v>0</v>
      </c>
      <c r="E78" s="19">
        <v>1</v>
      </c>
      <c r="F78" s="19">
        <v>30</v>
      </c>
      <c r="G78" s="27">
        <f>'CDM Activity'!F43</f>
        <v>119277.82412481576</v>
      </c>
      <c r="H78" s="19">
        <v>7478</v>
      </c>
      <c r="I78" s="10">
        <f t="shared" si="1"/>
        <v>6045177.081311065</v>
      </c>
    </row>
    <row r="79" spans="1:9" ht="12.75">
      <c r="A79" s="3">
        <v>39569</v>
      </c>
      <c r="B79" s="27">
        <v>5368513</v>
      </c>
      <c r="C79" s="23">
        <f>'Weather Analysis'!R12</f>
        <v>277.3</v>
      </c>
      <c r="D79" s="23">
        <f>'Weather Analysis'!R32</f>
        <v>0</v>
      </c>
      <c r="E79" s="19">
        <v>1</v>
      </c>
      <c r="F79" s="19">
        <v>31</v>
      </c>
      <c r="G79" s="27">
        <f>'CDM Activity'!F44</f>
        <v>121006.6162352897</v>
      </c>
      <c r="H79" s="19">
        <v>7488</v>
      </c>
      <c r="I79" s="10">
        <f t="shared" si="1"/>
        <v>5724198.998676283</v>
      </c>
    </row>
    <row r="80" spans="1:9" ht="12.75">
      <c r="A80" s="3">
        <v>39600</v>
      </c>
      <c r="B80" s="27">
        <v>4824133</v>
      </c>
      <c r="C80" s="23">
        <f>'Weather Analysis'!R13</f>
        <v>48.4</v>
      </c>
      <c r="D80" s="23">
        <f>'Weather Analysis'!R33</f>
        <v>36.4</v>
      </c>
      <c r="E80" s="19">
        <v>0</v>
      </c>
      <c r="F80" s="19">
        <v>30</v>
      </c>
      <c r="G80" s="27">
        <f>'CDM Activity'!F45</f>
        <v>122735.40834576363</v>
      </c>
      <c r="H80" s="19">
        <v>7519</v>
      </c>
      <c r="I80" s="10">
        <f t="shared" si="1"/>
        <v>4995577.804295705</v>
      </c>
    </row>
    <row r="81" spans="1:9" ht="12.75">
      <c r="A81" s="3">
        <v>39630</v>
      </c>
      <c r="B81" s="27">
        <v>5038191</v>
      </c>
      <c r="C81" s="23">
        <f>'Weather Analysis'!R14</f>
        <v>13.9</v>
      </c>
      <c r="D81" s="23">
        <f>'Weather Analysis'!R34</f>
        <v>54.1</v>
      </c>
      <c r="E81" s="19">
        <v>0</v>
      </c>
      <c r="F81" s="19">
        <v>31</v>
      </c>
      <c r="G81" s="27">
        <f>'CDM Activity'!F46</f>
        <v>124464.20045623757</v>
      </c>
      <c r="H81" s="19">
        <v>7532</v>
      </c>
      <c r="I81" s="10">
        <f t="shared" si="1"/>
        <v>5050928.476587379</v>
      </c>
    </row>
    <row r="82" spans="1:9" ht="12.75">
      <c r="A82" s="3">
        <v>39661</v>
      </c>
      <c r="B82" s="27">
        <v>4958531</v>
      </c>
      <c r="C82" s="23">
        <f>'Weather Analysis'!R15</f>
        <v>39.4</v>
      </c>
      <c r="D82" s="23">
        <f>'Weather Analysis'!R35</f>
        <v>26</v>
      </c>
      <c r="E82" s="19">
        <v>0</v>
      </c>
      <c r="F82" s="19">
        <v>31</v>
      </c>
      <c r="G82" s="27">
        <f>'CDM Activity'!F47</f>
        <v>126192.9925667115</v>
      </c>
      <c r="H82" s="19">
        <v>7556</v>
      </c>
      <c r="I82" s="10">
        <f t="shared" si="1"/>
        <v>4972910.375387191</v>
      </c>
    </row>
    <row r="83" spans="1:9" ht="12.75">
      <c r="A83" s="3">
        <v>39692</v>
      </c>
      <c r="B83" s="27">
        <v>4881038</v>
      </c>
      <c r="C83" s="23">
        <f>'Weather Analysis'!R16</f>
        <v>132.7</v>
      </c>
      <c r="D83" s="23">
        <f>'Weather Analysis'!R36</f>
        <v>5.1</v>
      </c>
      <c r="E83" s="19">
        <v>1</v>
      </c>
      <c r="F83" s="19">
        <v>30</v>
      </c>
      <c r="G83" s="27">
        <f>'CDM Activity'!F48</f>
        <v>127921.78467718544</v>
      </c>
      <c r="H83" s="19">
        <v>7577</v>
      </c>
      <c r="I83" s="10">
        <f t="shared" si="1"/>
        <v>4751691.139314877</v>
      </c>
    </row>
    <row r="84" spans="1:9" ht="12.75">
      <c r="A84" s="3">
        <v>39722</v>
      </c>
      <c r="B84" s="27">
        <v>5977646</v>
      </c>
      <c r="C84" s="23">
        <f>'Weather Analysis'!R17</f>
        <v>372.5</v>
      </c>
      <c r="D84" s="23">
        <f>'Weather Analysis'!R37</f>
        <v>0</v>
      </c>
      <c r="E84" s="19">
        <v>1</v>
      </c>
      <c r="F84" s="19">
        <v>31</v>
      </c>
      <c r="G84" s="27">
        <f>'CDM Activity'!F49</f>
        <v>129650.57678765937</v>
      </c>
      <c r="H84" s="19">
        <v>7588</v>
      </c>
      <c r="I84" s="10">
        <f t="shared" si="1"/>
        <v>6313429.697956959</v>
      </c>
    </row>
    <row r="85" spans="1:9" ht="12.75">
      <c r="A85" s="3">
        <v>39753</v>
      </c>
      <c r="B85" s="27">
        <v>7408144</v>
      </c>
      <c r="C85" s="23">
        <f>'Weather Analysis'!R18</f>
        <v>555.9</v>
      </c>
      <c r="D85" s="23">
        <f>'Weather Analysis'!R38</f>
        <v>0</v>
      </c>
      <c r="E85" s="19">
        <v>1</v>
      </c>
      <c r="F85" s="19">
        <v>30</v>
      </c>
      <c r="G85" s="27">
        <f>'CDM Activity'!F50</f>
        <v>131379.3688981333</v>
      </c>
      <c r="H85" s="19">
        <v>7605</v>
      </c>
      <c r="I85" s="10">
        <f t="shared" si="1"/>
        <v>7328239.307790939</v>
      </c>
    </row>
    <row r="86" spans="1:9" ht="12.75">
      <c r="A86" s="3">
        <v>39783</v>
      </c>
      <c r="B86" s="27">
        <v>9567657</v>
      </c>
      <c r="C86" s="23">
        <f>'Weather Analysis'!R19</f>
        <v>782.6</v>
      </c>
      <c r="D86" s="23">
        <f>'Weather Analysis'!R39</f>
        <v>0</v>
      </c>
      <c r="E86" s="19">
        <v>0</v>
      </c>
      <c r="F86" s="19">
        <v>31</v>
      </c>
      <c r="G86" s="27">
        <f>'CDM Activity'!F51</f>
        <v>133108.16100860725</v>
      </c>
      <c r="H86" s="19">
        <v>7613</v>
      </c>
      <c r="I86" s="10">
        <f t="shared" si="1"/>
        <v>9354648.924539339</v>
      </c>
    </row>
    <row r="87" spans="1:32" s="16" customFormat="1" ht="12.75">
      <c r="A87" s="3">
        <v>39814</v>
      </c>
      <c r="B87" s="27">
        <v>10316265</v>
      </c>
      <c r="C87" s="23">
        <f>'Weather Analysis'!S8</f>
        <v>995.4</v>
      </c>
      <c r="D87" s="23">
        <f>'Weather Analysis'!S28</f>
        <v>0</v>
      </c>
      <c r="E87" s="19">
        <v>0</v>
      </c>
      <c r="F87" s="19">
        <v>31</v>
      </c>
      <c r="G87" s="27">
        <f>'CDM Activity'!F52</f>
        <v>140636.9675999444</v>
      </c>
      <c r="H87" s="19">
        <v>7616</v>
      </c>
      <c r="I87" s="10">
        <f t="shared" si="1"/>
        <v>10671752.840578496</v>
      </c>
      <c r="J87" s="47"/>
      <c r="K87" s="1"/>
      <c r="L87"/>
      <c r="M87"/>
      <c r="N87"/>
      <c r="O87"/>
      <c r="P87"/>
      <c r="Q87"/>
      <c r="R87"/>
      <c r="S87"/>
      <c r="T87"/>
      <c r="U87"/>
      <c r="V87"/>
      <c r="W87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10" ht="12.75">
      <c r="A88" s="3">
        <v>39845</v>
      </c>
      <c r="B88" s="27">
        <v>8504317</v>
      </c>
      <c r="C88" s="23">
        <f>'Weather Analysis'!S9</f>
        <v>723.7</v>
      </c>
      <c r="D88" s="23">
        <f>'Weather Analysis'!S29</f>
        <v>0</v>
      </c>
      <c r="E88" s="19">
        <v>0</v>
      </c>
      <c r="F88" s="19">
        <v>28</v>
      </c>
      <c r="G88" s="27">
        <f>'CDM Activity'!F53</f>
        <v>148165.77419128153</v>
      </c>
      <c r="H88" s="19">
        <v>7618</v>
      </c>
      <c r="I88" s="10">
        <f t="shared" si="1"/>
        <v>8629115.370303258</v>
      </c>
      <c r="J88" s="47"/>
    </row>
    <row r="89" spans="1:10" ht="12.75">
      <c r="A89" s="3">
        <v>39873</v>
      </c>
      <c r="B89" s="27">
        <v>8091654</v>
      </c>
      <c r="C89" s="23">
        <f>'Weather Analysis'!S10</f>
        <v>652.3</v>
      </c>
      <c r="D89" s="23">
        <f>'Weather Analysis'!S30</f>
        <v>0</v>
      </c>
      <c r="E89" s="19">
        <v>1</v>
      </c>
      <c r="F89" s="19">
        <v>31</v>
      </c>
      <c r="G89" s="27">
        <f>'CDM Activity'!F54</f>
        <v>155694.58078261866</v>
      </c>
      <c r="H89" s="19">
        <v>7626</v>
      </c>
      <c r="I89" s="10">
        <f t="shared" si="1"/>
        <v>8045223.286809196</v>
      </c>
      <c r="J89" s="47"/>
    </row>
    <row r="90" spans="1:10" ht="12.75">
      <c r="A90" s="3">
        <v>39904</v>
      </c>
      <c r="B90" s="27">
        <v>6342124</v>
      </c>
      <c r="C90" s="23">
        <f>'Weather Analysis'!S11</f>
        <v>379.9</v>
      </c>
      <c r="D90" s="23">
        <f>'Weather Analysis'!S31</f>
        <v>0</v>
      </c>
      <c r="E90" s="19">
        <v>1</v>
      </c>
      <c r="F90" s="19">
        <v>30</v>
      </c>
      <c r="G90" s="27">
        <f>'CDM Activity'!F55</f>
        <v>163223.3873739558</v>
      </c>
      <c r="H90" s="19">
        <v>7628</v>
      </c>
      <c r="I90" s="10">
        <f t="shared" si="1"/>
        <v>6238905.241893891</v>
      </c>
      <c r="J90" s="47"/>
    </row>
    <row r="91" spans="1:10" ht="12.75">
      <c r="A91" s="3">
        <v>39934</v>
      </c>
      <c r="B91" s="27">
        <v>5334178</v>
      </c>
      <c r="C91" s="23">
        <f>'Weather Analysis'!S12</f>
        <v>231</v>
      </c>
      <c r="D91" s="23">
        <f>'Weather Analysis'!S32</f>
        <v>0</v>
      </c>
      <c r="E91" s="19">
        <v>1</v>
      </c>
      <c r="F91" s="19">
        <v>31</v>
      </c>
      <c r="G91" s="27">
        <f>'CDM Activity'!F56</f>
        <v>170752.19396529294</v>
      </c>
      <c r="H91" s="19">
        <v>7628</v>
      </c>
      <c r="I91" s="10">
        <f t="shared" si="1"/>
        <v>5437629.86656814</v>
      </c>
      <c r="J91" s="47"/>
    </row>
    <row r="92" spans="1:10" ht="12.75">
      <c r="A92" s="3">
        <v>39965</v>
      </c>
      <c r="B92" s="27">
        <v>4863897</v>
      </c>
      <c r="C92" s="23">
        <f>'Weather Analysis'!S13</f>
        <v>105.4</v>
      </c>
      <c r="D92" s="23">
        <f>'Weather Analysis'!S33</f>
        <v>19.1</v>
      </c>
      <c r="E92" s="19">
        <v>0</v>
      </c>
      <c r="F92" s="19">
        <v>30</v>
      </c>
      <c r="G92" s="27">
        <f>'CDM Activity'!F57</f>
        <v>178281.00055663008</v>
      </c>
      <c r="H92" s="19">
        <v>7637</v>
      </c>
      <c r="I92" s="10">
        <f t="shared" si="1"/>
        <v>5203171.85469252</v>
      </c>
      <c r="J92" s="47"/>
    </row>
    <row r="93" spans="1:10" ht="12.75">
      <c r="A93" s="3">
        <v>39995</v>
      </c>
      <c r="B93" s="27">
        <v>4989695</v>
      </c>
      <c r="C93" s="23">
        <f>'Weather Analysis'!S14</f>
        <v>38.6</v>
      </c>
      <c r="D93" s="23">
        <f>'Weather Analysis'!S34</f>
        <v>10.3</v>
      </c>
      <c r="E93" s="19">
        <v>0</v>
      </c>
      <c r="F93" s="19">
        <v>31</v>
      </c>
      <c r="G93" s="27">
        <f>'CDM Activity'!F58</f>
        <v>185809.80714796722</v>
      </c>
      <c r="H93" s="19">
        <v>7659</v>
      </c>
      <c r="I93" s="10">
        <f t="shared" si="1"/>
        <v>4836186.26904628</v>
      </c>
      <c r="J93" s="47"/>
    </row>
    <row r="94" spans="1:10" ht="12.75">
      <c r="A94" s="3">
        <v>40026</v>
      </c>
      <c r="B94" s="27">
        <v>5128548</v>
      </c>
      <c r="C94" s="23">
        <f>'Weather Analysis'!S15</f>
        <v>56.9</v>
      </c>
      <c r="D94" s="23">
        <f>'Weather Analysis'!S35</f>
        <v>39.8</v>
      </c>
      <c r="E94" s="19">
        <v>0</v>
      </c>
      <c r="F94" s="19">
        <v>31</v>
      </c>
      <c r="G94" s="27">
        <f>'CDM Activity'!F59</f>
        <v>193338.61373930436</v>
      </c>
      <c r="H94" s="19">
        <v>7681</v>
      </c>
      <c r="I94" s="10">
        <f t="shared" si="1"/>
        <v>5197050.428947741</v>
      </c>
      <c r="J94" s="47"/>
    </row>
    <row r="95" spans="1:10" ht="12.75">
      <c r="A95" s="3">
        <v>40057</v>
      </c>
      <c r="B95" s="27">
        <v>4951541</v>
      </c>
      <c r="C95" s="23">
        <f>'Weather Analysis'!S16</f>
        <v>115.6</v>
      </c>
      <c r="D95" s="23">
        <f>'Weather Analysis'!S36</f>
        <v>2.7</v>
      </c>
      <c r="E95" s="19">
        <v>1</v>
      </c>
      <c r="F95" s="19">
        <v>30</v>
      </c>
      <c r="G95" s="27">
        <f>'CDM Activity'!F60</f>
        <v>200867.4203306415</v>
      </c>
      <c r="H95" s="19">
        <v>7686</v>
      </c>
      <c r="I95" s="10">
        <f t="shared" si="1"/>
        <v>4625708.851466274</v>
      </c>
      <c r="J95" s="47"/>
    </row>
    <row r="96" spans="1:10" ht="12.75">
      <c r="A96" s="3">
        <v>40087</v>
      </c>
      <c r="B96" s="27">
        <v>6198939</v>
      </c>
      <c r="C96" s="23">
        <f>'Weather Analysis'!S17</f>
        <v>341.6</v>
      </c>
      <c r="D96" s="23">
        <f>'Weather Analysis'!S37</f>
        <v>0</v>
      </c>
      <c r="E96" s="19">
        <v>1</v>
      </c>
      <c r="F96" s="19">
        <v>31</v>
      </c>
      <c r="G96" s="27">
        <f>'CDM Activity'!F61</f>
        <v>208396.22692197864</v>
      </c>
      <c r="H96" s="19">
        <v>7693</v>
      </c>
      <c r="I96" s="10">
        <f t="shared" si="1"/>
        <v>6122177.296614807</v>
      </c>
      <c r="J96" s="47"/>
    </row>
    <row r="97" spans="1:10" ht="12.75">
      <c r="A97" s="3">
        <v>40118</v>
      </c>
      <c r="B97" s="27">
        <v>6717269</v>
      </c>
      <c r="C97" s="23">
        <f>'Weather Analysis'!S18</f>
        <v>414.1</v>
      </c>
      <c r="D97" s="23">
        <f>'Weather Analysis'!S38</f>
        <v>0</v>
      </c>
      <c r="E97" s="19">
        <v>1</v>
      </c>
      <c r="F97" s="19">
        <v>30</v>
      </c>
      <c r="G97" s="27">
        <f>'CDM Activity'!F62</f>
        <v>215925.03351331578</v>
      </c>
      <c r="H97" s="19">
        <v>7697</v>
      </c>
      <c r="I97" s="10">
        <f t="shared" si="1"/>
        <v>6450582.656971613</v>
      </c>
      <c r="J97" s="47"/>
    </row>
    <row r="98" spans="1:32" s="33" customFormat="1" ht="12.75">
      <c r="A98" s="3">
        <v>40148</v>
      </c>
      <c r="B98" s="27">
        <v>9203856</v>
      </c>
      <c r="C98" s="23">
        <f>'Weather Analysis'!S19</f>
        <v>750.2</v>
      </c>
      <c r="D98" s="23">
        <f>'Weather Analysis'!S39</f>
        <v>0</v>
      </c>
      <c r="E98" s="19">
        <v>0</v>
      </c>
      <c r="F98" s="19">
        <v>31</v>
      </c>
      <c r="G98" s="27">
        <f>'CDM Activity'!F63</f>
        <v>223453.84010465292</v>
      </c>
      <c r="H98" s="19">
        <v>7697</v>
      </c>
      <c r="I98" s="10">
        <f t="shared" si="1"/>
        <v>9154112.426044654</v>
      </c>
      <c r="J98" s="47"/>
      <c r="K98" s="1"/>
      <c r="L98"/>
      <c r="M98"/>
      <c r="N98"/>
      <c r="O98"/>
      <c r="P98"/>
      <c r="Q98"/>
      <c r="R98"/>
      <c r="S98"/>
      <c r="T98"/>
      <c r="U98"/>
      <c r="V98"/>
      <c r="W98"/>
      <c r="X98" s="27"/>
      <c r="Y98" s="27"/>
      <c r="Z98" s="27"/>
      <c r="AA98" s="27"/>
      <c r="AB98" s="27"/>
      <c r="AC98" s="27"/>
      <c r="AD98" s="27"/>
      <c r="AE98" s="27"/>
      <c r="AF98" s="27"/>
    </row>
    <row r="99" spans="1:26" ht="12.75">
      <c r="A99" s="3">
        <v>40179</v>
      </c>
      <c r="B99" s="27">
        <v>9650649</v>
      </c>
      <c r="C99" s="23">
        <f>'Weather Analysis'!T8</f>
        <v>839.2</v>
      </c>
      <c r="D99" s="23">
        <f>'Weather Analysis'!T28</f>
        <v>0</v>
      </c>
      <c r="E99" s="19">
        <v>0</v>
      </c>
      <c r="F99" s="19">
        <v>31</v>
      </c>
      <c r="G99" s="27">
        <f>'CDM Activity'!F64</f>
        <v>215982.78044620546</v>
      </c>
      <c r="H99" s="19">
        <v>7713</v>
      </c>
      <c r="I99" s="10">
        <f t="shared" si="1"/>
        <v>9704968.857094865</v>
      </c>
      <c r="J99" s="47"/>
      <c r="X99" s="11"/>
      <c r="Y99" s="11"/>
      <c r="Z99" s="11"/>
    </row>
    <row r="100" spans="1:10" ht="12.75">
      <c r="A100" s="3">
        <v>40210</v>
      </c>
      <c r="B100" s="27">
        <v>8233322.74</v>
      </c>
      <c r="C100" s="23">
        <f>'Weather Analysis'!T9</f>
        <v>647.5</v>
      </c>
      <c r="D100" s="23">
        <f>'Weather Analysis'!T29</f>
        <v>0</v>
      </c>
      <c r="E100" s="19">
        <v>0</v>
      </c>
      <c r="F100" s="19">
        <v>28</v>
      </c>
      <c r="G100" s="27">
        <f>'CDM Activity'!F65</f>
        <v>208511.720787758</v>
      </c>
      <c r="H100" s="19">
        <v>7712</v>
      </c>
      <c r="I100" s="10">
        <f t="shared" si="1"/>
        <v>8157483.2349546505</v>
      </c>
      <c r="J100" s="47"/>
    </row>
    <row r="101" spans="1:10" ht="12.75">
      <c r="A101" s="3">
        <v>40238</v>
      </c>
      <c r="B101" s="27">
        <v>6942317.31</v>
      </c>
      <c r="C101" s="23">
        <f>'Weather Analysis'!T10</f>
        <v>427</v>
      </c>
      <c r="D101" s="23">
        <f>'Weather Analysis'!T30</f>
        <v>0</v>
      </c>
      <c r="E101" s="19">
        <v>1</v>
      </c>
      <c r="F101" s="19">
        <v>31</v>
      </c>
      <c r="G101" s="27">
        <f>'CDM Activity'!F66</f>
        <v>201040.66112931055</v>
      </c>
      <c r="H101" s="19">
        <v>7723</v>
      </c>
      <c r="I101" s="10">
        <f t="shared" si="1"/>
        <v>6650751.894498942</v>
      </c>
      <c r="J101" s="47"/>
    </row>
    <row r="102" spans="1:10" ht="12.75">
      <c r="A102" s="3">
        <v>40269</v>
      </c>
      <c r="B102" s="27">
        <v>5481458.87</v>
      </c>
      <c r="C102" s="23">
        <f>'Weather Analysis'!T11</f>
        <v>287.3</v>
      </c>
      <c r="D102" s="23">
        <f>'Weather Analysis'!T31</f>
        <v>0</v>
      </c>
      <c r="E102" s="19">
        <v>1</v>
      </c>
      <c r="F102" s="19">
        <v>30</v>
      </c>
      <c r="G102" s="27">
        <f>'CDM Activity'!F67</f>
        <v>193569.6014708631</v>
      </c>
      <c r="H102" s="19">
        <v>7721</v>
      </c>
      <c r="I102" s="10">
        <f t="shared" si="1"/>
        <v>5665766.977677604</v>
      </c>
      <c r="J102" s="47"/>
    </row>
    <row r="103" spans="1:10" ht="12.75">
      <c r="A103" s="3">
        <v>40299</v>
      </c>
      <c r="B103" s="27">
        <v>5254446</v>
      </c>
      <c r="C103" s="23">
        <f>'Weather Analysis'!T12</f>
        <v>151.6</v>
      </c>
      <c r="D103" s="23">
        <f>'Weather Analysis'!T32</f>
        <v>22.9</v>
      </c>
      <c r="E103" s="19">
        <v>1</v>
      </c>
      <c r="F103" s="19">
        <v>31</v>
      </c>
      <c r="G103" s="27">
        <f>'CDM Activity'!F68</f>
        <v>186098.54181241564</v>
      </c>
      <c r="H103" s="19">
        <v>7722</v>
      </c>
      <c r="I103" s="10">
        <f t="shared" si="1"/>
        <v>5138394.986082917</v>
      </c>
      <c r="J103" s="47"/>
    </row>
    <row r="104" spans="1:10" ht="12.75">
      <c r="A104" s="3">
        <v>40330</v>
      </c>
      <c r="B104" s="27">
        <v>4967109</v>
      </c>
      <c r="C104" s="23">
        <f>'Weather Analysis'!T13</f>
        <v>66.2</v>
      </c>
      <c r="D104" s="23">
        <f>'Weather Analysis'!T33</f>
        <v>12</v>
      </c>
      <c r="E104" s="19">
        <v>0</v>
      </c>
      <c r="F104" s="19">
        <v>30</v>
      </c>
      <c r="G104" s="27">
        <f>'CDM Activity'!F69</f>
        <v>178627.4821539682</v>
      </c>
      <c r="H104" s="19">
        <v>7728</v>
      </c>
      <c r="I104" s="10">
        <f t="shared" si="1"/>
        <v>4900956.024023373</v>
      </c>
      <c r="J104" s="47"/>
    </row>
    <row r="105" spans="1:10" ht="12.75">
      <c r="A105" s="3">
        <v>40360</v>
      </c>
      <c r="B105" s="27">
        <v>5689075</v>
      </c>
      <c r="C105" s="23">
        <f>'Weather Analysis'!T14</f>
        <v>13.1</v>
      </c>
      <c r="D105" s="23">
        <f>'Weather Analysis'!T34</f>
        <v>95.7</v>
      </c>
      <c r="E105" s="19">
        <v>0</v>
      </c>
      <c r="F105" s="19">
        <v>31</v>
      </c>
      <c r="G105" s="27">
        <f>'CDM Activity'!F70</f>
        <v>171156.42249552073</v>
      </c>
      <c r="H105" s="19">
        <v>7750</v>
      </c>
      <c r="I105" s="10">
        <f t="shared" si="1"/>
        <v>5395132.350141552</v>
      </c>
      <c r="J105" s="47"/>
    </row>
    <row r="106" spans="1:10" ht="12.75">
      <c r="A106" s="3">
        <v>40391</v>
      </c>
      <c r="B106" s="27">
        <v>5245990</v>
      </c>
      <c r="C106" s="23">
        <f>'Weather Analysis'!T15</f>
        <v>25.9</v>
      </c>
      <c r="D106" s="23">
        <f>'Weather Analysis'!T35</f>
        <v>61.1</v>
      </c>
      <c r="E106" s="19">
        <v>0</v>
      </c>
      <c r="F106" s="19">
        <v>31</v>
      </c>
      <c r="G106" s="27">
        <f>'CDM Activity'!F71</f>
        <v>163685.36283707328</v>
      </c>
      <c r="H106" s="19">
        <v>7777</v>
      </c>
      <c r="I106" s="10">
        <f t="shared" si="1"/>
        <v>5183953.363044379</v>
      </c>
      <c r="J106" s="47"/>
    </row>
    <row r="107" spans="1:10" ht="12.75">
      <c r="A107" s="3">
        <v>40422</v>
      </c>
      <c r="B107" s="27">
        <v>4851493</v>
      </c>
      <c r="C107" s="23">
        <f>'Weather Analysis'!T16</f>
        <v>143.1</v>
      </c>
      <c r="D107" s="23">
        <f>'Weather Analysis'!T36</f>
        <v>17.5</v>
      </c>
      <c r="E107" s="19">
        <v>1</v>
      </c>
      <c r="F107" s="19">
        <v>30</v>
      </c>
      <c r="G107" s="27">
        <f>'CDM Activity'!F72</f>
        <v>156214.30317862582</v>
      </c>
      <c r="H107" s="19">
        <v>7781</v>
      </c>
      <c r="I107" s="10">
        <f t="shared" si="1"/>
        <v>4920136.044506095</v>
      </c>
      <c r="J107" s="47"/>
    </row>
    <row r="108" spans="1:10" ht="12.75">
      <c r="A108" s="3">
        <v>40452</v>
      </c>
      <c r="B108" s="27">
        <v>5881677</v>
      </c>
      <c r="C108" s="23">
        <f>'Weather Analysis'!T17</f>
        <v>318.6</v>
      </c>
      <c r="D108" s="23">
        <f>'Weather Analysis'!T37</f>
        <v>0</v>
      </c>
      <c r="E108" s="19">
        <v>1</v>
      </c>
      <c r="F108" s="19">
        <v>31</v>
      </c>
      <c r="G108" s="27">
        <f>'CDM Activity'!F73</f>
        <v>148743.24352017837</v>
      </c>
      <c r="H108" s="19">
        <v>7781</v>
      </c>
      <c r="I108" s="10">
        <f t="shared" si="1"/>
        <v>5979821.140275989</v>
      </c>
      <c r="J108" s="47"/>
    </row>
    <row r="109" spans="1:10" ht="12.75">
      <c r="A109" s="3">
        <v>40483</v>
      </c>
      <c r="B109" s="27">
        <v>7129924</v>
      </c>
      <c r="C109" s="23">
        <f>'Weather Analysis'!T18</f>
        <v>398.8</v>
      </c>
      <c r="D109" s="23">
        <f>'Weather Analysis'!T38</f>
        <v>0</v>
      </c>
      <c r="E109" s="19">
        <v>1</v>
      </c>
      <c r="F109" s="19">
        <v>30</v>
      </c>
      <c r="G109" s="27">
        <f>'CDM Activity'!F74</f>
        <v>141272.1838617309</v>
      </c>
      <c r="H109" s="19">
        <v>7782</v>
      </c>
      <c r="I109" s="10">
        <f t="shared" si="1"/>
        <v>6355884.86601579</v>
      </c>
      <c r="J109" s="47"/>
    </row>
    <row r="110" spans="1:10" ht="12.75">
      <c r="A110" s="3">
        <v>40513</v>
      </c>
      <c r="B110" s="27">
        <v>9725660</v>
      </c>
      <c r="C110" s="23">
        <f>'Weather Analysis'!T19</f>
        <v>776.1</v>
      </c>
      <c r="D110" s="23">
        <f>'Weather Analysis'!T39</f>
        <v>0</v>
      </c>
      <c r="E110" s="19">
        <v>0</v>
      </c>
      <c r="F110" s="19">
        <v>31</v>
      </c>
      <c r="G110" s="27">
        <f>'CDM Activity'!F75</f>
        <v>133801.12420328346</v>
      </c>
      <c r="H110" s="19">
        <v>7785</v>
      </c>
      <c r="I110" s="10">
        <f t="shared" si="1"/>
        <v>9314417.836878367</v>
      </c>
      <c r="J110" s="47"/>
    </row>
    <row r="111" spans="1:10" ht="12.75">
      <c r="A111" s="3">
        <v>40544</v>
      </c>
      <c r="B111" s="27">
        <v>9354524</v>
      </c>
      <c r="C111" s="23">
        <f>'Weather Analysis'!U8</f>
        <v>891.9</v>
      </c>
      <c r="D111" s="23">
        <f>'Weather Analysis'!U28</f>
        <v>0</v>
      </c>
      <c r="E111" s="19">
        <v>0</v>
      </c>
      <c r="F111" s="73">
        <v>31</v>
      </c>
      <c r="G111" s="27">
        <f>'CDM Activity'!F76</f>
        <v>143447.48113738885</v>
      </c>
      <c r="H111" s="19">
        <v>7779</v>
      </c>
      <c r="I111" s="10">
        <f t="shared" si="1"/>
        <v>10031150.13705381</v>
      </c>
      <c r="J111" s="47"/>
    </row>
    <row r="112" spans="1:10" ht="12.75">
      <c r="A112" s="3">
        <v>40575</v>
      </c>
      <c r="B112" s="27">
        <v>8668035</v>
      </c>
      <c r="C112" s="23">
        <f>'Weather Analysis'!U9</f>
        <v>650.9</v>
      </c>
      <c r="D112" s="23">
        <f>'Weather Analysis'!U29</f>
        <v>0</v>
      </c>
      <c r="E112" s="19">
        <v>0</v>
      </c>
      <c r="F112" s="73">
        <v>28</v>
      </c>
      <c r="G112" s="27">
        <f>'CDM Activity'!F77</f>
        <v>153093.83807149425</v>
      </c>
      <c r="H112" s="19">
        <v>7859</v>
      </c>
      <c r="I112" s="10">
        <f t="shared" si="1"/>
        <v>8178527.188500389</v>
      </c>
      <c r="J112" s="47"/>
    </row>
    <row r="113" spans="1:10" ht="12.75">
      <c r="A113" s="3">
        <v>40603</v>
      </c>
      <c r="B113" s="27">
        <v>7989855</v>
      </c>
      <c r="C113" s="23">
        <f>'Weather Analysis'!U10</f>
        <v>574.8</v>
      </c>
      <c r="D113" s="23">
        <f>'Weather Analysis'!U30</f>
        <v>0</v>
      </c>
      <c r="E113" s="19">
        <v>1</v>
      </c>
      <c r="F113" s="73">
        <v>31</v>
      </c>
      <c r="G113" s="27">
        <f>'CDM Activity'!F78</f>
        <v>162740.19500559964</v>
      </c>
      <c r="H113" s="19">
        <v>7873</v>
      </c>
      <c r="I113" s="10">
        <f t="shared" si="1"/>
        <v>7565544.933928394</v>
      </c>
      <c r="J113" s="47"/>
    </row>
    <row r="114" spans="1:10" ht="12.75">
      <c r="A114" s="3">
        <v>40634</v>
      </c>
      <c r="B114" s="27">
        <v>6277867</v>
      </c>
      <c r="C114" s="23">
        <f>'Weather Analysis'!U11</f>
        <v>400.5</v>
      </c>
      <c r="D114" s="23">
        <f>'Weather Analysis'!U31</f>
        <v>0</v>
      </c>
      <c r="E114" s="19">
        <v>1</v>
      </c>
      <c r="F114" s="73">
        <v>30</v>
      </c>
      <c r="G114" s="27">
        <f>'CDM Activity'!F79</f>
        <v>172386.55193970504</v>
      </c>
      <c r="H114" s="19">
        <v>7874</v>
      </c>
      <c r="I114" s="10">
        <f t="shared" si="1"/>
        <v>6366406.842788659</v>
      </c>
      <c r="J114" s="47"/>
    </row>
    <row r="115" spans="1:10" ht="12.75">
      <c r="A115" s="3">
        <v>40664</v>
      </c>
      <c r="B115" s="27">
        <v>5107261</v>
      </c>
      <c r="C115" s="23">
        <f>'Weather Analysis'!U12</f>
        <v>154.9</v>
      </c>
      <c r="D115" s="23">
        <f>'Weather Analysis'!U32</f>
        <v>10.1</v>
      </c>
      <c r="E115" s="19">
        <v>1</v>
      </c>
      <c r="F115" s="73">
        <v>31</v>
      </c>
      <c r="G115" s="27">
        <f>'CDM Activity'!F80</f>
        <v>182032.90887381043</v>
      </c>
      <c r="H115" s="19">
        <v>7869</v>
      </c>
      <c r="I115" s="10">
        <f t="shared" si="1"/>
        <v>5051387.571499864</v>
      </c>
      <c r="J115" s="47"/>
    </row>
    <row r="116" spans="1:10" ht="12.75">
      <c r="A116" s="3">
        <v>40695</v>
      </c>
      <c r="B116" s="27">
        <v>4603337.8</v>
      </c>
      <c r="C116" s="23">
        <f>'Weather Analysis'!U13</f>
        <v>57.7</v>
      </c>
      <c r="D116" s="23">
        <f>'Weather Analysis'!U33</f>
        <v>13.4</v>
      </c>
      <c r="E116" s="19">
        <v>0</v>
      </c>
      <c r="F116" s="73">
        <v>30</v>
      </c>
      <c r="G116" s="27">
        <f>'CDM Activity'!F81</f>
        <v>191679.26580791583</v>
      </c>
      <c r="H116" s="19">
        <v>7880</v>
      </c>
      <c r="I116" s="10">
        <f t="shared" si="1"/>
        <v>4860096.562006376</v>
      </c>
      <c r="J116" s="47"/>
    </row>
    <row r="117" spans="1:10" ht="12.75">
      <c r="A117" s="3">
        <v>40725</v>
      </c>
      <c r="B117" s="27">
        <v>5532918.12</v>
      </c>
      <c r="C117" s="23">
        <f>'Weather Analysis'!U14</f>
        <v>2</v>
      </c>
      <c r="D117" s="23">
        <f>'Weather Analysis'!U34</f>
        <v>83</v>
      </c>
      <c r="E117" s="19">
        <v>0</v>
      </c>
      <c r="F117" s="73">
        <v>31</v>
      </c>
      <c r="G117" s="27">
        <f>'CDM Activity'!F82</f>
        <v>201325.62274202122</v>
      </c>
      <c r="H117" s="19">
        <v>7883</v>
      </c>
      <c r="I117" s="10">
        <f t="shared" si="1"/>
        <v>5219836.918740435</v>
      </c>
      <c r="J117" s="47"/>
    </row>
    <row r="118" spans="1:10" ht="12.75">
      <c r="A118" s="3">
        <v>40756</v>
      </c>
      <c r="B118" s="27">
        <v>5050407.81</v>
      </c>
      <c r="C118" s="23">
        <f>'Weather Analysis'!U15</f>
        <v>15.9</v>
      </c>
      <c r="D118" s="23">
        <f>'Weather Analysis'!U35</f>
        <v>38</v>
      </c>
      <c r="E118" s="19">
        <v>0</v>
      </c>
      <c r="F118" s="73">
        <v>31</v>
      </c>
      <c r="G118" s="27">
        <f>'CDM Activity'!F83</f>
        <v>210971.97967612662</v>
      </c>
      <c r="H118" s="19">
        <v>7906</v>
      </c>
      <c r="I118" s="10">
        <f t="shared" si="1"/>
        <v>4928177.421546238</v>
      </c>
      <c r="J118" s="47"/>
    </row>
    <row r="119" spans="1:10" ht="12.75">
      <c r="A119" s="3">
        <v>40787</v>
      </c>
      <c r="B119" s="27">
        <v>4697885</v>
      </c>
      <c r="C119" s="23">
        <f>'Weather Analysis'!U16</f>
        <v>109.1</v>
      </c>
      <c r="D119" s="23">
        <f>'Weather Analysis'!U36</f>
        <v>17.5</v>
      </c>
      <c r="E119" s="19">
        <v>1</v>
      </c>
      <c r="F119" s="73">
        <v>30</v>
      </c>
      <c r="G119" s="27">
        <f>'CDM Activity'!F84</f>
        <v>220618.336610232</v>
      </c>
      <c r="H119" s="19">
        <v>7912</v>
      </c>
      <c r="I119" s="10">
        <f t="shared" si="1"/>
        <v>4709696.509048711</v>
      </c>
      <c r="J119" s="47"/>
    </row>
    <row r="120" spans="1:10" ht="12.75">
      <c r="A120" s="3">
        <v>40817</v>
      </c>
      <c r="B120" s="27">
        <v>5603120.95</v>
      </c>
      <c r="C120" s="23">
        <f>'Weather Analysis'!U17</f>
        <v>290</v>
      </c>
      <c r="D120" s="23">
        <f>'Weather Analysis'!U37</f>
        <v>0</v>
      </c>
      <c r="E120" s="19">
        <v>1</v>
      </c>
      <c r="F120" s="73">
        <v>31</v>
      </c>
      <c r="G120" s="27">
        <f>'CDM Activity'!F85</f>
        <v>230264.6935443374</v>
      </c>
      <c r="H120" s="19">
        <v>7924</v>
      </c>
      <c r="I120" s="10">
        <f t="shared" si="1"/>
        <v>5802804.354567718</v>
      </c>
      <c r="J120" s="47"/>
    </row>
    <row r="121" spans="1:10" ht="12.75">
      <c r="A121" s="3">
        <v>40848</v>
      </c>
      <c r="B121" s="27">
        <v>6479516.26</v>
      </c>
      <c r="C121" s="23">
        <f>'Weather Analysis'!U18</f>
        <v>432.4</v>
      </c>
      <c r="D121" s="23">
        <f>'Weather Analysis'!U38</f>
        <v>0</v>
      </c>
      <c r="E121" s="19">
        <v>1</v>
      </c>
      <c r="F121" s="73">
        <v>30</v>
      </c>
      <c r="G121" s="27">
        <f>'CDM Activity'!F86</f>
        <v>239911.0504784428</v>
      </c>
      <c r="H121" s="19">
        <v>7930</v>
      </c>
      <c r="I121" s="10">
        <f t="shared" si="1"/>
        <v>6563848.642232499</v>
      </c>
      <c r="J121" s="47"/>
    </row>
    <row r="122" spans="1:10" ht="12.75">
      <c r="A122" s="3">
        <v>40878</v>
      </c>
      <c r="B122" s="27">
        <v>8257913</v>
      </c>
      <c r="C122" s="23">
        <f>'Weather Analysis'!U19</f>
        <v>636</v>
      </c>
      <c r="D122" s="23">
        <f>'Weather Analysis'!U39</f>
        <v>0</v>
      </c>
      <c r="E122" s="19">
        <v>0</v>
      </c>
      <c r="F122" s="73">
        <v>31</v>
      </c>
      <c r="G122" s="27">
        <f>'CDM Activity'!F87</f>
        <v>249557.4074125482</v>
      </c>
      <c r="H122" s="19">
        <v>7933</v>
      </c>
      <c r="I122" s="10">
        <f t="shared" si="1"/>
        <v>8447283.16283191</v>
      </c>
      <c r="J122" s="47"/>
    </row>
    <row r="123" spans="1:10" ht="12.75">
      <c r="A123" s="3">
        <v>40909</v>
      </c>
      <c r="C123" s="74">
        <f>(C3+C15+C27+C39+C51+C63+C75+C87+C99+C111)/10</f>
        <v>822.55</v>
      </c>
      <c r="D123" s="74">
        <f>(D3+D15+D27+D39+D51+D63+D75+D87+D99+D111)/10</f>
        <v>0</v>
      </c>
      <c r="E123" s="19">
        <v>0</v>
      </c>
      <c r="F123" s="19">
        <v>31</v>
      </c>
      <c r="G123" s="27">
        <f>'CDM Activity'!F88</f>
        <v>240638.0250628863</v>
      </c>
      <c r="H123" s="19"/>
      <c r="I123" s="10">
        <f t="shared" si="1"/>
        <v>9601915.378701765</v>
      </c>
      <c r="J123" s="47"/>
    </row>
    <row r="124" spans="1:10" ht="12.75">
      <c r="A124" s="3">
        <v>40940</v>
      </c>
      <c r="C124" s="74">
        <f aca="true" t="shared" si="2" ref="C124:D134">(C4+C16+C28+C40+C52+C64+C76+C88+C100+C112)/10</f>
        <v>744.3</v>
      </c>
      <c r="D124" s="74">
        <f t="shared" si="2"/>
        <v>0</v>
      </c>
      <c r="E124" s="19">
        <v>0</v>
      </c>
      <c r="F124" s="19">
        <v>29</v>
      </c>
      <c r="G124" s="27">
        <f>'CDM Activity'!F89</f>
        <v>231718.6427132244</v>
      </c>
      <c r="H124" s="19"/>
      <c r="I124" s="10">
        <f t="shared" si="1"/>
        <v>8876942.973213583</v>
      </c>
      <c r="J124" s="47"/>
    </row>
    <row r="125" spans="1:10" ht="12.75">
      <c r="A125" s="3">
        <v>40969</v>
      </c>
      <c r="C125" s="74">
        <f t="shared" si="2"/>
        <v>645</v>
      </c>
      <c r="D125" s="74">
        <f t="shared" si="2"/>
        <v>0</v>
      </c>
      <c r="E125" s="19">
        <v>1</v>
      </c>
      <c r="F125" s="19">
        <v>31</v>
      </c>
      <c r="G125" s="27">
        <f>'CDM Activity'!F90</f>
        <v>222799.2603635625</v>
      </c>
      <c r="H125" s="19"/>
      <c r="I125" s="10">
        <f t="shared" si="1"/>
        <v>8000040.680666876</v>
      </c>
      <c r="J125" s="47"/>
    </row>
    <row r="126" spans="1:10" ht="12.75">
      <c r="A126" s="3">
        <v>41000</v>
      </c>
      <c r="C126" s="74">
        <f t="shared" si="2"/>
        <v>384.3</v>
      </c>
      <c r="D126" s="74">
        <f t="shared" si="2"/>
        <v>0.45</v>
      </c>
      <c r="E126" s="19">
        <v>1</v>
      </c>
      <c r="F126" s="19">
        <v>30</v>
      </c>
      <c r="G126" s="27">
        <f>'CDM Activity'!F91</f>
        <v>213879.8780139006</v>
      </c>
      <c r="H126" s="19"/>
      <c r="I126" s="10">
        <f t="shared" si="1"/>
        <v>6269915.514849395</v>
      </c>
      <c r="J126" s="47"/>
    </row>
    <row r="127" spans="1:10" ht="12.75">
      <c r="A127" s="3">
        <v>41030</v>
      </c>
      <c r="C127" s="74">
        <f t="shared" si="2"/>
        <v>218.67999999999998</v>
      </c>
      <c r="D127" s="74">
        <f t="shared" si="2"/>
        <v>6.38</v>
      </c>
      <c r="E127" s="19">
        <v>1</v>
      </c>
      <c r="F127" s="19">
        <v>31</v>
      </c>
      <c r="G127" s="27">
        <f>'CDM Activity'!F92</f>
        <v>204960.4956642387</v>
      </c>
      <c r="H127" s="19"/>
      <c r="I127" s="10">
        <f t="shared" si="1"/>
        <v>5414924.832945409</v>
      </c>
      <c r="J127" s="47"/>
    </row>
    <row r="128" spans="1:10" ht="12.75">
      <c r="A128" s="3">
        <v>41061</v>
      </c>
      <c r="C128" s="74">
        <f t="shared" si="2"/>
        <v>68.25000000000001</v>
      </c>
      <c r="D128" s="74">
        <f t="shared" si="2"/>
        <v>30.23</v>
      </c>
      <c r="E128" s="19">
        <v>0</v>
      </c>
      <c r="F128" s="19">
        <v>30</v>
      </c>
      <c r="G128" s="27">
        <f>'CDM Activity'!F93</f>
        <v>196041.1133145768</v>
      </c>
      <c r="H128" s="19"/>
      <c r="I128" s="10">
        <f t="shared" si="1"/>
        <v>5066651.568901246</v>
      </c>
      <c r="J128" s="47"/>
    </row>
    <row r="129" spans="1:10" ht="12.75">
      <c r="A129" s="3">
        <v>41091</v>
      </c>
      <c r="C129" s="74">
        <f t="shared" si="2"/>
        <v>18.93</v>
      </c>
      <c r="D129" s="74">
        <f t="shared" si="2"/>
        <v>62.13000000000001</v>
      </c>
      <c r="E129" s="19">
        <v>0</v>
      </c>
      <c r="F129" s="19">
        <v>31</v>
      </c>
      <c r="G129" s="27">
        <f>'CDM Activity'!F94</f>
        <v>187121.7309649149</v>
      </c>
      <c r="H129" s="19"/>
      <c r="I129" s="10">
        <f t="shared" si="1"/>
        <v>5149458.211491879</v>
      </c>
      <c r="J129" s="47"/>
    </row>
    <row r="130" spans="1:10" ht="12.75">
      <c r="A130" s="3">
        <v>41122</v>
      </c>
      <c r="C130" s="74">
        <f t="shared" si="2"/>
        <v>34.42999999999999</v>
      </c>
      <c r="D130" s="74">
        <f t="shared" si="2"/>
        <v>45.3</v>
      </c>
      <c r="E130" s="19">
        <v>0</v>
      </c>
      <c r="F130" s="19">
        <v>31</v>
      </c>
      <c r="G130" s="27">
        <f>'CDM Activity'!F95</f>
        <v>178202.348615253</v>
      </c>
      <c r="H130" s="19"/>
      <c r="I130" s="10">
        <f t="shared" si="1"/>
        <v>5104137.025145976</v>
      </c>
      <c r="J130" s="47"/>
    </row>
    <row r="131" spans="1:10" ht="12.75">
      <c r="A131" s="3">
        <v>41153</v>
      </c>
      <c r="C131" s="74">
        <f t="shared" si="2"/>
        <v>112.22</v>
      </c>
      <c r="D131" s="74">
        <f t="shared" si="2"/>
        <v>12.55</v>
      </c>
      <c r="E131" s="19">
        <v>1</v>
      </c>
      <c r="F131" s="19">
        <v>30</v>
      </c>
      <c r="G131" s="27">
        <f>'CDM Activity'!F96</f>
        <v>169282.9662655911</v>
      </c>
      <c r="H131" s="19"/>
      <c r="I131" s="10">
        <f t="shared" si="1"/>
        <v>4687461.296737134</v>
      </c>
      <c r="J131" s="47"/>
    </row>
    <row r="132" spans="1:10" ht="12.75">
      <c r="A132" s="3">
        <v>41183</v>
      </c>
      <c r="C132" s="74">
        <f t="shared" si="2"/>
        <v>324.71999999999997</v>
      </c>
      <c r="D132" s="74">
        <f t="shared" si="2"/>
        <v>1.04</v>
      </c>
      <c r="E132" s="19">
        <v>1</v>
      </c>
      <c r="F132" s="19">
        <v>31</v>
      </c>
      <c r="G132" s="27">
        <f>'CDM Activity'!F97</f>
        <v>160363.5839159292</v>
      </c>
      <c r="H132" s="19"/>
      <c r="I132" s="10">
        <f aca="true" t="shared" si="3" ref="I132:I146">$L$18+C132*$L$19+D132*$L$20+E132*$L$21+F132*$L$22+F132*$L$23</f>
        <v>6026429.141459205</v>
      </c>
      <c r="J132" s="47"/>
    </row>
    <row r="133" spans="1:10" ht="12.75">
      <c r="A133" s="3">
        <v>41214</v>
      </c>
      <c r="C133" s="74">
        <f t="shared" si="2"/>
        <v>481.85999999999996</v>
      </c>
      <c r="D133" s="74">
        <f t="shared" si="2"/>
        <v>0</v>
      </c>
      <c r="E133" s="19">
        <v>1</v>
      </c>
      <c r="F133" s="19">
        <v>30</v>
      </c>
      <c r="G133" s="27">
        <f>'CDM Activity'!F98</f>
        <v>151444.2015662673</v>
      </c>
      <c r="H133" s="19"/>
      <c r="I133" s="10">
        <f t="shared" si="3"/>
        <v>6869976.272341976</v>
      </c>
      <c r="J133" s="47"/>
    </row>
    <row r="134" spans="1:10" ht="12.75">
      <c r="A134" s="3">
        <v>41244</v>
      </c>
      <c r="C134" s="74">
        <f t="shared" si="2"/>
        <v>733.8100000000001</v>
      </c>
      <c r="D134" s="74">
        <f t="shared" si="2"/>
        <v>0</v>
      </c>
      <c r="E134" s="19">
        <v>0</v>
      </c>
      <c r="F134" s="19">
        <v>31</v>
      </c>
      <c r="G134" s="27">
        <f>'CDM Activity'!F99</f>
        <v>142524.8192166054</v>
      </c>
      <c r="H134" s="19"/>
      <c r="I134" s="10">
        <f t="shared" si="3"/>
        <v>9052668.191157993</v>
      </c>
      <c r="J134" s="47"/>
    </row>
    <row r="135" spans="1:10" ht="12.75">
      <c r="A135" s="3">
        <v>41275</v>
      </c>
      <c r="C135" s="74">
        <f>C123</f>
        <v>822.55</v>
      </c>
      <c r="D135" s="74">
        <f>D123</f>
        <v>0</v>
      </c>
      <c r="E135" s="19">
        <v>0</v>
      </c>
      <c r="F135" s="19">
        <v>31</v>
      </c>
      <c r="G135" s="27">
        <f>'CDM Activity'!F100</f>
        <v>149714.2658700011</v>
      </c>
      <c r="H135" s="19"/>
      <c r="I135" s="10">
        <f t="shared" si="3"/>
        <v>9601915.378701765</v>
      </c>
      <c r="J135" s="47"/>
    </row>
    <row r="136" spans="1:10" ht="12.75">
      <c r="A136" s="3">
        <v>41306</v>
      </c>
      <c r="C136" s="74">
        <f aca="true" t="shared" si="4" ref="C136:D146">C124</f>
        <v>744.3</v>
      </c>
      <c r="D136" s="74">
        <f t="shared" si="4"/>
        <v>0</v>
      </c>
      <c r="E136" s="19">
        <v>0</v>
      </c>
      <c r="F136" s="19">
        <v>28</v>
      </c>
      <c r="G136" s="27">
        <f>'CDM Activity'!F101</f>
        <v>156903.71252339683</v>
      </c>
      <c r="H136" s="19"/>
      <c r="I136" s="10">
        <f t="shared" si="3"/>
        <v>8756616.971198026</v>
      </c>
      <c r="J136" s="47"/>
    </row>
    <row r="137" spans="1:10" ht="12.75">
      <c r="A137" s="3">
        <v>41334</v>
      </c>
      <c r="C137" s="74">
        <f t="shared" si="4"/>
        <v>645</v>
      </c>
      <c r="D137" s="74">
        <f t="shared" si="4"/>
        <v>0</v>
      </c>
      <c r="E137" s="19">
        <v>1</v>
      </c>
      <c r="F137" s="19">
        <v>31</v>
      </c>
      <c r="G137" s="27">
        <f>'CDM Activity'!F102</f>
        <v>164093.15917679254</v>
      </c>
      <c r="H137" s="19"/>
      <c r="I137" s="10">
        <f t="shared" si="3"/>
        <v>8000040.680666876</v>
      </c>
      <c r="J137" s="47"/>
    </row>
    <row r="138" spans="1:10" ht="12.75">
      <c r="A138" s="3">
        <v>41365</v>
      </c>
      <c r="C138" s="74">
        <f t="shared" si="4"/>
        <v>384.3</v>
      </c>
      <c r="D138" s="74">
        <f t="shared" si="4"/>
        <v>0.45</v>
      </c>
      <c r="E138" s="19">
        <v>1</v>
      </c>
      <c r="F138" s="19">
        <v>30</v>
      </c>
      <c r="G138" s="27">
        <f>'CDM Activity'!F103</f>
        <v>171282.60583018826</v>
      </c>
      <c r="H138" s="19"/>
      <c r="I138" s="10">
        <f t="shared" si="3"/>
        <v>6269915.514849395</v>
      </c>
      <c r="J138" s="47"/>
    </row>
    <row r="139" spans="1:10" ht="12.75">
      <c r="A139" s="3">
        <v>41395</v>
      </c>
      <c r="C139" s="74">
        <f t="shared" si="4"/>
        <v>218.67999999999998</v>
      </c>
      <c r="D139" s="74">
        <f t="shared" si="4"/>
        <v>6.38</v>
      </c>
      <c r="E139" s="19">
        <v>1</v>
      </c>
      <c r="F139" s="19">
        <v>31</v>
      </c>
      <c r="G139" s="27">
        <f>'CDM Activity'!F104</f>
        <v>178472.05248358398</v>
      </c>
      <c r="H139" s="19"/>
      <c r="I139" s="10">
        <f t="shared" si="3"/>
        <v>5414924.832945409</v>
      </c>
      <c r="J139" s="47"/>
    </row>
    <row r="140" spans="1:10" ht="12.75">
      <c r="A140" s="3">
        <v>41426</v>
      </c>
      <c r="C140" s="74">
        <f t="shared" si="4"/>
        <v>68.25000000000001</v>
      </c>
      <c r="D140" s="74">
        <f t="shared" si="4"/>
        <v>30.23</v>
      </c>
      <c r="E140" s="19">
        <v>0</v>
      </c>
      <c r="F140" s="19">
        <v>30</v>
      </c>
      <c r="G140" s="27">
        <f>'CDM Activity'!F105</f>
        <v>185661.4991369797</v>
      </c>
      <c r="H140" s="19"/>
      <c r="I140" s="10">
        <f t="shared" si="3"/>
        <v>5066651.568901246</v>
      </c>
      <c r="J140" s="47"/>
    </row>
    <row r="141" spans="1:10" ht="12.75">
      <c r="A141" s="3">
        <v>41456</v>
      </c>
      <c r="C141" s="74">
        <f t="shared" si="4"/>
        <v>18.93</v>
      </c>
      <c r="D141" s="74">
        <f t="shared" si="4"/>
        <v>62.13000000000001</v>
      </c>
      <c r="E141" s="19">
        <v>0</v>
      </c>
      <c r="F141" s="19">
        <v>31</v>
      </c>
      <c r="G141" s="27">
        <f>'CDM Activity'!F106</f>
        <v>192850.9457903754</v>
      </c>
      <c r="H141" s="19"/>
      <c r="I141" s="10">
        <f t="shared" si="3"/>
        <v>5149458.211491879</v>
      </c>
      <c r="J141" s="47"/>
    </row>
    <row r="142" spans="1:10" ht="12.75">
      <c r="A142" s="3">
        <v>41487</v>
      </c>
      <c r="C142" s="74">
        <f t="shared" si="4"/>
        <v>34.42999999999999</v>
      </c>
      <c r="D142" s="74">
        <f t="shared" si="4"/>
        <v>45.3</v>
      </c>
      <c r="E142" s="19">
        <v>0</v>
      </c>
      <c r="F142" s="19">
        <v>31</v>
      </c>
      <c r="G142" s="27">
        <f>'CDM Activity'!F107</f>
        <v>200040.39244377112</v>
      </c>
      <c r="H142" s="19"/>
      <c r="I142" s="10">
        <f t="shared" si="3"/>
        <v>5104137.025145976</v>
      </c>
      <c r="J142" s="47"/>
    </row>
    <row r="143" spans="1:10" ht="12.75">
      <c r="A143" s="3">
        <v>41518</v>
      </c>
      <c r="C143" s="74">
        <f t="shared" si="4"/>
        <v>112.22</v>
      </c>
      <c r="D143" s="74">
        <f t="shared" si="4"/>
        <v>12.55</v>
      </c>
      <c r="E143" s="19">
        <v>1</v>
      </c>
      <c r="F143" s="19">
        <v>30</v>
      </c>
      <c r="G143" s="27">
        <f>'CDM Activity'!F108</f>
        <v>207229.83909716684</v>
      </c>
      <c r="H143" s="19"/>
      <c r="I143" s="10">
        <f t="shared" si="3"/>
        <v>4687461.296737134</v>
      </c>
      <c r="J143" s="47"/>
    </row>
    <row r="144" spans="1:10" ht="12.75">
      <c r="A144" s="3">
        <v>41548</v>
      </c>
      <c r="C144" s="74">
        <f t="shared" si="4"/>
        <v>324.71999999999997</v>
      </c>
      <c r="D144" s="74">
        <f t="shared" si="4"/>
        <v>1.04</v>
      </c>
      <c r="E144" s="19">
        <v>1</v>
      </c>
      <c r="F144" s="19">
        <v>31</v>
      </c>
      <c r="G144" s="27">
        <f>'CDM Activity'!F109</f>
        <v>214419.28575056256</v>
      </c>
      <c r="H144" s="19"/>
      <c r="I144" s="10">
        <f t="shared" si="3"/>
        <v>6026429.141459205</v>
      </c>
      <c r="J144" s="47"/>
    </row>
    <row r="145" spans="1:10" ht="12.75">
      <c r="A145" s="3">
        <v>41579</v>
      </c>
      <c r="C145" s="74">
        <f t="shared" si="4"/>
        <v>481.85999999999996</v>
      </c>
      <c r="D145" s="74">
        <f t="shared" si="4"/>
        <v>0</v>
      </c>
      <c r="E145" s="19">
        <v>1</v>
      </c>
      <c r="F145" s="19">
        <v>30</v>
      </c>
      <c r="G145" s="27">
        <f>'CDM Activity'!F110</f>
        <v>221608.73240395827</v>
      </c>
      <c r="H145" s="19"/>
      <c r="I145" s="10">
        <f t="shared" si="3"/>
        <v>6869976.272341976</v>
      </c>
      <c r="J145" s="47"/>
    </row>
    <row r="146" spans="1:10" ht="12.75">
      <c r="A146" s="3">
        <v>41609</v>
      </c>
      <c r="C146" s="74">
        <f t="shared" si="4"/>
        <v>733.8100000000001</v>
      </c>
      <c r="D146" s="74">
        <f t="shared" si="4"/>
        <v>0</v>
      </c>
      <c r="E146" s="19">
        <v>0</v>
      </c>
      <c r="F146" s="19">
        <v>31</v>
      </c>
      <c r="G146" s="27">
        <f>'CDM Activity'!F111</f>
        <v>228798.179057354</v>
      </c>
      <c r="H146" s="19"/>
      <c r="I146" s="10">
        <f t="shared" si="3"/>
        <v>9052668.191157993</v>
      </c>
      <c r="J146" s="47"/>
    </row>
    <row r="147" spans="1:26" ht="12.75">
      <c r="A147" s="3"/>
      <c r="G147" s="27"/>
      <c r="X147" s="11"/>
      <c r="Y147" s="11"/>
      <c r="Z147" s="11"/>
    </row>
    <row r="148" spans="1:9" ht="12.75">
      <c r="A148" s="3"/>
      <c r="D148" s="23" t="s">
        <v>14</v>
      </c>
      <c r="I148" s="47">
        <f>SUM(I3:I147)</f>
        <v>960363319.0332097</v>
      </c>
    </row>
    <row r="149" ht="12.75">
      <c r="A149" s="3"/>
    </row>
    <row r="150" spans="1:11" ht="12.75">
      <c r="A150" s="18">
        <v>2002</v>
      </c>
      <c r="B150" s="27">
        <f>SUM(B3:B14)</f>
        <v>79135152</v>
      </c>
      <c r="I150" s="6">
        <f>SUM(I3:I14)</f>
        <v>80556515.96911968</v>
      </c>
      <c r="J150" s="38">
        <f aca="true" t="shared" si="5" ref="J150:J159">I150-B150</f>
        <v>1421363.969119683</v>
      </c>
      <c r="K150" s="5">
        <f aca="true" t="shared" si="6" ref="K150:K159">J150/B150</f>
        <v>0.017961221191812243</v>
      </c>
    </row>
    <row r="151" spans="1:11" ht="12.75">
      <c r="A151" s="18">
        <v>2003</v>
      </c>
      <c r="B151" s="27">
        <f>SUM(B15:B26)</f>
        <v>81325470</v>
      </c>
      <c r="I151" s="6">
        <f>SUM(I15:I26)</f>
        <v>82074103.51659478</v>
      </c>
      <c r="J151" s="38">
        <f t="shared" si="5"/>
        <v>748633.5165947825</v>
      </c>
      <c r="K151" s="5">
        <f t="shared" si="6"/>
        <v>0.00920540043106769</v>
      </c>
    </row>
    <row r="152" spans="1:11" ht="12.75">
      <c r="A152">
        <v>2004</v>
      </c>
      <c r="B152" s="27">
        <f>SUM(B27:B38)</f>
        <v>81449395</v>
      </c>
      <c r="I152" s="6">
        <f>SUM(I27:I38)</f>
        <v>81658179.49764718</v>
      </c>
      <c r="J152" s="38">
        <f t="shared" si="5"/>
        <v>208784.49764718115</v>
      </c>
      <c r="K152" s="5">
        <f t="shared" si="6"/>
        <v>0.0025633646222563244</v>
      </c>
    </row>
    <row r="153" spans="1:26" ht="12.75">
      <c r="A153" s="18">
        <v>2005</v>
      </c>
      <c r="B153" s="27">
        <f>SUM(B39:B50)</f>
        <v>82557208</v>
      </c>
      <c r="I153" s="6">
        <f>SUM(I39:I50)</f>
        <v>78927558.5969475</v>
      </c>
      <c r="J153" s="38">
        <f t="shared" si="5"/>
        <v>-3629649.403052494</v>
      </c>
      <c r="K153" s="5">
        <f t="shared" si="6"/>
        <v>-0.04396526349404275</v>
      </c>
      <c r="X153" s="11"/>
      <c r="Y153" s="11"/>
      <c r="Z153" s="11"/>
    </row>
    <row r="154" spans="1:11" ht="12.75">
      <c r="A154">
        <v>2006</v>
      </c>
      <c r="B154" s="27">
        <f>SUM(B51:B62)</f>
        <v>78169630</v>
      </c>
      <c r="I154" s="6">
        <f>SUM(I51:I62)</f>
        <v>78635215.72107203</v>
      </c>
      <c r="J154" s="38">
        <f t="shared" si="5"/>
        <v>465585.72107203305</v>
      </c>
      <c r="K154" s="5">
        <f t="shared" si="6"/>
        <v>0.00595609472722377</v>
      </c>
    </row>
    <row r="155" spans="1:11" ht="12.75">
      <c r="A155" s="18">
        <v>2007</v>
      </c>
      <c r="B155" s="27">
        <f>SUM(B63:B74)</f>
        <v>79398441</v>
      </c>
      <c r="I155" s="6">
        <f>SUM(I63:I74)</f>
        <v>80944958.6430673</v>
      </c>
      <c r="J155" s="38">
        <f t="shared" si="5"/>
        <v>1546517.6430673003</v>
      </c>
      <c r="K155" s="5">
        <f t="shared" si="6"/>
        <v>0.0194779346242743</v>
      </c>
    </row>
    <row r="156" spans="1:11" ht="12.75">
      <c r="A156">
        <v>2008</v>
      </c>
      <c r="B156" s="27">
        <f>SUM(B75:B86)</f>
        <v>80889261</v>
      </c>
      <c r="I156" s="6">
        <f>SUM(I75:I86)</f>
        <v>81742026.70567502</v>
      </c>
      <c r="J156" s="38">
        <f t="shared" si="5"/>
        <v>852765.7056750208</v>
      </c>
      <c r="K156" s="5">
        <f t="shared" si="6"/>
        <v>0.010542384676688056</v>
      </c>
    </row>
    <row r="157" spans="1:11" ht="12.75">
      <c r="A157" s="18">
        <v>2009</v>
      </c>
      <c r="B157" s="27">
        <f>SUM(B87:B98)</f>
        <v>80642283</v>
      </c>
      <c r="I157" s="6">
        <f>SUM(I87:I98)</f>
        <v>80611616.38993688</v>
      </c>
      <c r="J157" s="38">
        <f t="shared" si="5"/>
        <v>-30666.610063120723</v>
      </c>
      <c r="K157" s="5">
        <f t="shared" si="6"/>
        <v>-0.00038027953726360553</v>
      </c>
    </row>
    <row r="158" spans="1:11" ht="12.75">
      <c r="A158">
        <v>2010</v>
      </c>
      <c r="B158" s="27">
        <f>SUM(B99:B110)</f>
        <v>79053121.92</v>
      </c>
      <c r="I158" s="6">
        <f>SUM(I99:I110)</f>
        <v>77367667.57519454</v>
      </c>
      <c r="J158" s="38">
        <f t="shared" si="5"/>
        <v>-1685454.3448054641</v>
      </c>
      <c r="K158" s="5">
        <f t="shared" si="6"/>
        <v>-0.021320528574584396</v>
      </c>
    </row>
    <row r="159" spans="1:11" ht="12.75">
      <c r="A159" s="18">
        <v>2011</v>
      </c>
      <c r="B159" s="27">
        <f>SUM(B111:B122)</f>
        <v>77622640.94</v>
      </c>
      <c r="I159" s="6">
        <f>SUM(I111:I122)</f>
        <v>77724760.24474499</v>
      </c>
      <c r="J159" s="38">
        <f t="shared" si="5"/>
        <v>102119.30474498868</v>
      </c>
      <c r="K159" s="5">
        <f t="shared" si="6"/>
        <v>0.0013155865802597967</v>
      </c>
    </row>
    <row r="160" spans="1:9" ht="12.75">
      <c r="A160" s="18">
        <v>2012</v>
      </c>
      <c r="I160" s="6">
        <f>SUM(I123:I134)</f>
        <v>80120521.08761244</v>
      </c>
    </row>
    <row r="161" spans="1:9" ht="12.75">
      <c r="A161" s="18">
        <v>2013</v>
      </c>
      <c r="I161" s="6">
        <f>SUM(I135:I146)</f>
        <v>80000195.08559689</v>
      </c>
    </row>
    <row r="162" ht="12.75">
      <c r="I162" s="6"/>
    </row>
    <row r="163" spans="1:10" ht="12.75">
      <c r="A163" t="s">
        <v>85</v>
      </c>
      <c r="B163" s="27">
        <f>SUM(B150:B159)</f>
        <v>800242602.8599999</v>
      </c>
      <c r="I163" s="6">
        <f>SUM(I149:I159)</f>
        <v>800242602.8599999</v>
      </c>
      <c r="J163" s="6">
        <f>I163-B163</f>
        <v>0</v>
      </c>
    </row>
    <row r="165" spans="9:10" ht="12.75">
      <c r="I165" s="6">
        <f>SUM(I150:I161)</f>
        <v>960363319.0332092</v>
      </c>
      <c r="J165" s="47">
        <f>I148-I165</f>
        <v>0</v>
      </c>
    </row>
    <row r="166" spans="9:11" ht="12.75">
      <c r="I166" s="23"/>
      <c r="J166" s="23" t="s">
        <v>66</v>
      </c>
      <c r="K166" s="23"/>
    </row>
    <row r="168" spans="24:26" ht="12.75">
      <c r="X168" s="11"/>
      <c r="Y168" s="11"/>
      <c r="Z168" s="11"/>
    </row>
    <row r="180" spans="24:26" ht="12.75">
      <c r="X180" s="11"/>
      <c r="Y180" s="11"/>
      <c r="Z180" s="11"/>
    </row>
    <row r="182" spans="5:6" ht="12.75">
      <c r="E182" s="27"/>
      <c r="F182" s="27"/>
    </row>
  </sheetData>
  <sheetProtection/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2"/>
  <sheetViews>
    <sheetView zoomScale="80" zoomScaleNormal="80" zoomScalePageLayoutView="0" workbookViewId="0" topLeftCell="A1">
      <pane xSplit="1" ySplit="2" topLeftCell="B7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5" sqref="B75"/>
    </sheetView>
  </sheetViews>
  <sheetFormatPr defaultColWidth="9.140625" defaultRowHeight="12.75"/>
  <cols>
    <col min="1" max="1" width="11.8515625" style="0" customWidth="1"/>
    <col min="2" max="2" width="18.00390625" style="27" customWidth="1"/>
    <col min="3" max="3" width="11.7109375" style="23" customWidth="1"/>
    <col min="4" max="4" width="13.421875" style="23" customWidth="1"/>
    <col min="5" max="6" width="12.421875" style="23" customWidth="1"/>
    <col min="7" max="7" width="10.140625" style="23" customWidth="1"/>
    <col min="8" max="8" width="12.421875" style="23" customWidth="1"/>
    <col min="9" max="9" width="15.421875" style="1" bestFit="1" customWidth="1"/>
    <col min="10" max="10" width="17.00390625" style="1" customWidth="1"/>
    <col min="11" max="11" width="12.421875" style="1" customWidth="1"/>
    <col min="12" max="12" width="25.8515625" style="0" bestFit="1" customWidth="1"/>
    <col min="13" max="15" width="18.00390625" style="0" customWidth="1"/>
    <col min="16" max="16" width="17.140625" style="0" customWidth="1"/>
    <col min="17" max="18" width="15.7109375" style="0" customWidth="1"/>
    <col min="19" max="19" width="15.00390625" style="0" customWidth="1"/>
    <col min="20" max="21" width="14.140625" style="0" bestFit="1" customWidth="1"/>
    <col min="22" max="22" width="11.7109375" style="0" bestFit="1" customWidth="1"/>
    <col min="23" max="23" width="11.8515625" style="0" bestFit="1" customWidth="1"/>
    <col min="24" max="24" width="12.57421875" style="6" customWidth="1"/>
    <col min="25" max="25" width="11.28125" style="6" customWidth="1"/>
    <col min="26" max="26" width="11.57421875" style="6" customWidth="1"/>
    <col min="27" max="27" width="9.28125" style="6" customWidth="1"/>
    <col min="28" max="28" width="9.140625" style="6" customWidth="1"/>
    <col min="29" max="29" width="11.7109375" style="6" bestFit="1" customWidth="1"/>
    <col min="30" max="30" width="10.7109375" style="6" bestFit="1" customWidth="1"/>
    <col min="31" max="32" width="9.140625" style="6" customWidth="1"/>
  </cols>
  <sheetData>
    <row r="1" spans="7:8" ht="12.75">
      <c r="G1" s="46" t="s">
        <v>125</v>
      </c>
      <c r="H1" s="46"/>
    </row>
    <row r="2" spans="2:26" ht="42" customHeight="1">
      <c r="B2" s="71" t="s">
        <v>83</v>
      </c>
      <c r="C2" s="72" t="s">
        <v>3</v>
      </c>
      <c r="D2" s="72" t="s">
        <v>4</v>
      </c>
      <c r="E2" s="72" t="s">
        <v>20</v>
      </c>
      <c r="F2" s="72" t="str">
        <f>Residential!G2</f>
        <v>CDM Activity</v>
      </c>
      <c r="G2" s="72" t="s">
        <v>5</v>
      </c>
      <c r="H2" s="72" t="s">
        <v>68</v>
      </c>
      <c r="I2" s="12" t="s">
        <v>132</v>
      </c>
      <c r="J2" s="12" t="s">
        <v>12</v>
      </c>
      <c r="K2" s="12" t="s">
        <v>13</v>
      </c>
      <c r="L2" t="s">
        <v>21</v>
      </c>
      <c r="X2" s="9"/>
      <c r="Y2" s="9"/>
      <c r="Z2" s="9"/>
    </row>
    <row r="3" spans="1:9" ht="13.5" thickBot="1">
      <c r="A3" s="3">
        <v>37257</v>
      </c>
      <c r="B3" s="27">
        <v>4889021.85730725</v>
      </c>
      <c r="C3" s="23">
        <v>695.8</v>
      </c>
      <c r="D3" s="23">
        <v>0</v>
      </c>
      <c r="E3" s="19">
        <v>0</v>
      </c>
      <c r="F3" s="27">
        <f>Residential!G3</f>
        <v>0</v>
      </c>
      <c r="G3" s="19">
        <v>31</v>
      </c>
      <c r="H3" s="23">
        <v>1477</v>
      </c>
      <c r="I3" s="10">
        <f>$M$18+C3*$M$19+D3*$M$20+E3*$M$21+F3*$M$22</f>
        <v>4364457.408196242</v>
      </c>
    </row>
    <row r="4" spans="1:13" ht="12.75">
      <c r="A4" s="3">
        <v>37288</v>
      </c>
      <c r="B4" s="27">
        <v>4224389.85730725</v>
      </c>
      <c r="C4" s="23">
        <v>664.9</v>
      </c>
      <c r="D4" s="23">
        <v>0</v>
      </c>
      <c r="E4" s="19">
        <v>0</v>
      </c>
      <c r="F4" s="27">
        <f>Residential!G4</f>
        <v>0</v>
      </c>
      <c r="G4" s="19">
        <v>28</v>
      </c>
      <c r="H4" s="23">
        <v>1463</v>
      </c>
      <c r="I4" s="10">
        <f aca="true" t="shared" si="0" ref="I4:I67">$M$18+C4*$M$19+D4*$M$20+E4*$M$21+F4*$M$22</f>
        <v>4318149.253225664</v>
      </c>
      <c r="L4" s="54" t="s">
        <v>22</v>
      </c>
      <c r="M4" s="54"/>
    </row>
    <row r="5" spans="1:13" ht="12.75">
      <c r="A5" s="3">
        <v>37316</v>
      </c>
      <c r="B5" s="27">
        <v>3971644.8573072497</v>
      </c>
      <c r="C5" s="23">
        <v>674.7</v>
      </c>
      <c r="D5" s="23">
        <v>0</v>
      </c>
      <c r="E5" s="19">
        <v>1</v>
      </c>
      <c r="F5" s="27">
        <f>Residential!G5</f>
        <v>0</v>
      </c>
      <c r="G5" s="19">
        <v>31</v>
      </c>
      <c r="H5" s="19">
        <v>1464</v>
      </c>
      <c r="I5" s="10">
        <f t="shared" si="0"/>
        <v>4079128.478905779</v>
      </c>
      <c r="J5" s="10"/>
      <c r="K5" s="15"/>
      <c r="L5" s="37" t="s">
        <v>23</v>
      </c>
      <c r="M5" s="59">
        <v>0.8909199590560513</v>
      </c>
    </row>
    <row r="6" spans="1:13" ht="12.75">
      <c r="A6" s="3">
        <v>37347</v>
      </c>
      <c r="B6" s="27">
        <v>2810998.8573072497</v>
      </c>
      <c r="C6" s="23">
        <v>399.4</v>
      </c>
      <c r="D6" s="23">
        <v>4.5</v>
      </c>
      <c r="E6" s="19">
        <v>1</v>
      </c>
      <c r="F6" s="27">
        <f>Residential!G6</f>
        <v>0</v>
      </c>
      <c r="G6" s="19">
        <v>30</v>
      </c>
      <c r="H6" s="19">
        <v>1466</v>
      </c>
      <c r="I6" s="10">
        <f t="shared" si="0"/>
        <v>3711095.757010146</v>
      </c>
      <c r="J6" s="10"/>
      <c r="K6" s="15"/>
      <c r="L6" s="37" t="s">
        <v>24</v>
      </c>
      <c r="M6" s="59">
        <v>0.7937383734444361</v>
      </c>
    </row>
    <row r="7" spans="1:13" ht="12.75">
      <c r="A7" s="3">
        <v>37377</v>
      </c>
      <c r="B7" s="27">
        <v>3587646.2846183353</v>
      </c>
      <c r="C7" s="23">
        <v>285.9</v>
      </c>
      <c r="D7" s="23">
        <v>1.8</v>
      </c>
      <c r="E7" s="19">
        <v>1</v>
      </c>
      <c r="F7" s="27">
        <f>Residential!G7</f>
        <v>0</v>
      </c>
      <c r="G7" s="19">
        <v>31</v>
      </c>
      <c r="H7" s="19">
        <v>1470</v>
      </c>
      <c r="I7" s="10">
        <f t="shared" si="0"/>
        <v>3514272.7808530023</v>
      </c>
      <c r="J7" s="10"/>
      <c r="K7" s="15"/>
      <c r="L7" s="37" t="s">
        <v>25</v>
      </c>
      <c r="M7" s="59">
        <v>0.7865640559990251</v>
      </c>
    </row>
    <row r="8" spans="1:13" ht="12.75">
      <c r="A8" s="3">
        <v>37408</v>
      </c>
      <c r="B8" s="27">
        <v>3774672.88185654</v>
      </c>
      <c r="C8" s="23">
        <v>65</v>
      </c>
      <c r="D8" s="23">
        <v>39.3</v>
      </c>
      <c r="E8" s="19">
        <v>0</v>
      </c>
      <c r="F8" s="27">
        <f>Residential!G8</f>
        <v>0</v>
      </c>
      <c r="G8" s="19">
        <v>30</v>
      </c>
      <c r="H8" s="19">
        <v>1469</v>
      </c>
      <c r="I8" s="10">
        <f t="shared" si="0"/>
        <v>3808133.300348312</v>
      </c>
      <c r="J8" s="10"/>
      <c r="K8" s="15"/>
      <c r="L8" s="37" t="s">
        <v>26</v>
      </c>
      <c r="M8" s="55">
        <v>222207.40612578864</v>
      </c>
    </row>
    <row r="9" spans="1:13" ht="13.5" thickBot="1">
      <c r="A9" s="3">
        <v>37438</v>
      </c>
      <c r="B9" s="27">
        <v>4289104.88185654</v>
      </c>
      <c r="C9" s="23">
        <v>19.1</v>
      </c>
      <c r="D9" s="23">
        <v>79.2</v>
      </c>
      <c r="E9" s="19">
        <v>0</v>
      </c>
      <c r="F9" s="27">
        <f>Residential!G9</f>
        <v>0</v>
      </c>
      <c r="G9" s="19">
        <v>31</v>
      </c>
      <c r="H9" s="19">
        <v>1471</v>
      </c>
      <c r="I9" s="10">
        <f t="shared" si="0"/>
        <v>4134306.378148752</v>
      </c>
      <c r="J9" s="10"/>
      <c r="K9" s="15"/>
      <c r="L9" s="52" t="s">
        <v>27</v>
      </c>
      <c r="M9" s="52">
        <v>120</v>
      </c>
    </row>
    <row r="10" spans="1:11" ht="12.75">
      <c r="A10" s="3">
        <v>37469</v>
      </c>
      <c r="B10" s="27">
        <v>3018991.88185654</v>
      </c>
      <c r="C10" s="23">
        <v>25.4</v>
      </c>
      <c r="D10" s="23">
        <v>46.8</v>
      </c>
      <c r="E10" s="19">
        <v>0</v>
      </c>
      <c r="F10" s="27">
        <f>Residential!G10</f>
        <v>0</v>
      </c>
      <c r="G10" s="19">
        <v>31</v>
      </c>
      <c r="H10" s="19">
        <v>1470</v>
      </c>
      <c r="I10" s="10">
        <f t="shared" si="0"/>
        <v>3823027.701358249</v>
      </c>
      <c r="J10" s="10"/>
      <c r="K10" s="15"/>
    </row>
    <row r="11" spans="1:12" ht="13.5" thickBot="1">
      <c r="A11" s="3">
        <v>37500</v>
      </c>
      <c r="B11" s="27">
        <v>4483079.88185654</v>
      </c>
      <c r="C11" s="23">
        <v>78</v>
      </c>
      <c r="D11" s="23">
        <v>31.5</v>
      </c>
      <c r="E11" s="19">
        <v>1</v>
      </c>
      <c r="F11" s="27">
        <f>Residential!G11</f>
        <v>0</v>
      </c>
      <c r="G11" s="19">
        <v>30</v>
      </c>
      <c r="H11" s="19">
        <v>1470</v>
      </c>
      <c r="I11" s="10">
        <f t="shared" si="0"/>
        <v>3496697.7872174964</v>
      </c>
      <c r="J11" s="10"/>
      <c r="K11" s="15"/>
      <c r="L11" t="s">
        <v>28</v>
      </c>
    </row>
    <row r="12" spans="1:17" ht="12.75">
      <c r="A12" s="3">
        <v>37530</v>
      </c>
      <c r="B12" s="27">
        <v>3645647.88185654</v>
      </c>
      <c r="C12" s="23">
        <v>391.4</v>
      </c>
      <c r="D12" s="23">
        <v>2.2</v>
      </c>
      <c r="E12" s="19">
        <v>1</v>
      </c>
      <c r="F12" s="27">
        <f>Residential!G12</f>
        <v>0</v>
      </c>
      <c r="G12" s="19">
        <v>31</v>
      </c>
      <c r="H12" s="19">
        <v>1467</v>
      </c>
      <c r="I12" s="10">
        <f t="shared" si="0"/>
        <v>3676339.4198678327</v>
      </c>
      <c r="J12" s="10"/>
      <c r="K12" s="15"/>
      <c r="L12" s="53"/>
      <c r="M12" s="53" t="s">
        <v>32</v>
      </c>
      <c r="N12" s="53" t="s">
        <v>33</v>
      </c>
      <c r="O12" s="53" t="s">
        <v>34</v>
      </c>
      <c r="P12" s="53" t="s">
        <v>35</v>
      </c>
      <c r="Q12" s="53" t="s">
        <v>36</v>
      </c>
    </row>
    <row r="13" spans="1:17" ht="12.75">
      <c r="A13" s="3">
        <v>37561</v>
      </c>
      <c r="B13" s="27">
        <v>3978611.88185654</v>
      </c>
      <c r="C13" s="23">
        <v>561.6</v>
      </c>
      <c r="D13" s="23">
        <v>0</v>
      </c>
      <c r="E13" s="19">
        <v>1</v>
      </c>
      <c r="F13" s="27">
        <f>Residential!G13</f>
        <v>0</v>
      </c>
      <c r="G13" s="19">
        <v>30</v>
      </c>
      <c r="H13" s="19">
        <v>1465</v>
      </c>
      <c r="I13" s="10">
        <f t="shared" si="0"/>
        <v>3909631.6398387104</v>
      </c>
      <c r="J13" s="10"/>
      <c r="K13" s="15"/>
      <c r="L13" s="37" t="s">
        <v>29</v>
      </c>
      <c r="M13" s="37">
        <v>4</v>
      </c>
      <c r="N13" s="37">
        <v>21851126868994.83</v>
      </c>
      <c r="O13" s="37">
        <v>5462781717248.707</v>
      </c>
      <c r="P13" s="37">
        <v>110.63608203622967</v>
      </c>
      <c r="Q13" s="37">
        <v>1.769368675471814E-38</v>
      </c>
    </row>
    <row r="14" spans="1:17" ht="12.75">
      <c r="A14" s="3">
        <v>37591</v>
      </c>
      <c r="B14" s="27">
        <v>4592244.88185654</v>
      </c>
      <c r="C14" s="23">
        <v>753.7</v>
      </c>
      <c r="D14" s="23">
        <v>0</v>
      </c>
      <c r="E14" s="19">
        <v>0</v>
      </c>
      <c r="F14" s="27">
        <f>Residential!G14</f>
        <v>0</v>
      </c>
      <c r="G14" s="19">
        <v>31</v>
      </c>
      <c r="H14" s="19">
        <v>1465</v>
      </c>
      <c r="I14" s="10">
        <f t="shared" si="0"/>
        <v>4451228.9995488785</v>
      </c>
      <c r="J14" s="10"/>
      <c r="K14" s="15"/>
      <c r="L14" s="37" t="s">
        <v>30</v>
      </c>
      <c r="M14" s="37">
        <v>115</v>
      </c>
      <c r="N14" s="37">
        <v>5678255103772.385</v>
      </c>
      <c r="O14" s="37">
        <v>49376131337.15117</v>
      </c>
      <c r="P14" s="37"/>
      <c r="Q14" s="37"/>
    </row>
    <row r="15" spans="1:17" ht="13.5" thickBot="1">
      <c r="A15" s="3">
        <v>37622</v>
      </c>
      <c r="B15" s="27">
        <v>4462312.74491753</v>
      </c>
      <c r="C15" s="23">
        <v>990.4</v>
      </c>
      <c r="D15" s="23">
        <v>0</v>
      </c>
      <c r="E15" s="19">
        <v>0</v>
      </c>
      <c r="F15" s="27">
        <f>Residential!G15</f>
        <v>0</v>
      </c>
      <c r="G15" s="19">
        <v>31</v>
      </c>
      <c r="H15" s="19">
        <v>1464</v>
      </c>
      <c r="I15" s="10">
        <f t="shared" si="0"/>
        <v>4805958.45849826</v>
      </c>
      <c r="J15" s="10"/>
      <c r="K15" s="15"/>
      <c r="L15" s="52" t="s">
        <v>10</v>
      </c>
      <c r="M15" s="52">
        <v>119</v>
      </c>
      <c r="N15" s="52">
        <v>27529381972767.21</v>
      </c>
      <c r="O15" s="52"/>
      <c r="P15" s="52"/>
      <c r="Q15" s="52"/>
    </row>
    <row r="16" spans="1:11" ht="13.5" thickBot="1">
      <c r="A16" s="3">
        <v>37653</v>
      </c>
      <c r="B16" s="27">
        <v>4740370.74491753</v>
      </c>
      <c r="C16" s="23">
        <v>857.5</v>
      </c>
      <c r="D16" s="23">
        <v>0</v>
      </c>
      <c r="E16" s="19">
        <v>0</v>
      </c>
      <c r="F16" s="27">
        <f>Residential!G16</f>
        <v>0</v>
      </c>
      <c r="G16" s="19">
        <v>28</v>
      </c>
      <c r="H16" s="19">
        <v>1463</v>
      </c>
      <c r="I16" s="10">
        <f t="shared" si="0"/>
        <v>4606788.432751016</v>
      </c>
      <c r="J16" s="10"/>
      <c r="K16" s="15"/>
    </row>
    <row r="17" spans="1:20" ht="12.75">
      <c r="A17" s="3">
        <v>37681</v>
      </c>
      <c r="B17" s="27">
        <v>4074856.2163406215</v>
      </c>
      <c r="C17" s="23">
        <v>705</v>
      </c>
      <c r="D17" s="23">
        <v>0</v>
      </c>
      <c r="E17" s="19">
        <v>1</v>
      </c>
      <c r="F17" s="27">
        <f>Residential!G17</f>
        <v>0</v>
      </c>
      <c r="G17" s="19">
        <v>31</v>
      </c>
      <c r="H17" s="19">
        <v>1462</v>
      </c>
      <c r="I17" s="10">
        <f t="shared" si="0"/>
        <v>4124537.4464012</v>
      </c>
      <c r="J17" s="10"/>
      <c r="K17" s="15"/>
      <c r="L17" s="53"/>
      <c r="M17" s="53" t="s">
        <v>37</v>
      </c>
      <c r="N17" s="53" t="s">
        <v>26</v>
      </c>
      <c r="O17" s="53" t="s">
        <v>38</v>
      </c>
      <c r="P17" s="53" t="s">
        <v>39</v>
      </c>
      <c r="Q17" s="53" t="s">
        <v>40</v>
      </c>
      <c r="R17" s="53" t="s">
        <v>41</v>
      </c>
      <c r="S17" s="53" t="s">
        <v>127</v>
      </c>
      <c r="T17" s="53" t="s">
        <v>128</v>
      </c>
    </row>
    <row r="18" spans="1:20" ht="12.75">
      <c r="A18" s="3">
        <v>37712</v>
      </c>
      <c r="B18" s="27">
        <v>3354364.884158036</v>
      </c>
      <c r="C18" s="23">
        <v>460.9</v>
      </c>
      <c r="D18" s="23">
        <v>0</v>
      </c>
      <c r="E18" s="19">
        <v>1</v>
      </c>
      <c r="F18" s="27">
        <f>Residential!G18</f>
        <v>0</v>
      </c>
      <c r="G18" s="19">
        <v>30</v>
      </c>
      <c r="H18" s="19">
        <v>1463</v>
      </c>
      <c r="I18" s="10">
        <f t="shared" si="0"/>
        <v>3758718.008591551</v>
      </c>
      <c r="J18" s="10"/>
      <c r="K18" s="15"/>
      <c r="L18" s="37" t="s">
        <v>31</v>
      </c>
      <c r="M18" s="55">
        <v>3321699.6661726693</v>
      </c>
      <c r="N18" s="37">
        <v>85631.11962061939</v>
      </c>
      <c r="O18" s="55">
        <v>38.79080036427349</v>
      </c>
      <c r="P18" s="37">
        <v>6.816938533677075E-68</v>
      </c>
      <c r="Q18" s="37">
        <v>3152080.9042332927</v>
      </c>
      <c r="R18" s="37">
        <v>3491318.428112046</v>
      </c>
      <c r="S18" s="37">
        <v>3152080.9042332927</v>
      </c>
      <c r="T18" s="37">
        <v>3491318.428112046</v>
      </c>
    </row>
    <row r="19" spans="1:20" ht="12.75">
      <c r="A19" s="3">
        <v>37742</v>
      </c>
      <c r="B19" s="27">
        <v>3364761.884158036</v>
      </c>
      <c r="C19" s="23">
        <v>212.7</v>
      </c>
      <c r="D19" s="23">
        <v>0</v>
      </c>
      <c r="E19" s="19">
        <v>1</v>
      </c>
      <c r="F19" s="27">
        <f>Residential!G19</f>
        <v>0</v>
      </c>
      <c r="G19" s="19">
        <v>31</v>
      </c>
      <c r="H19" s="19">
        <v>1457</v>
      </c>
      <c r="I19" s="10">
        <f t="shared" si="0"/>
        <v>3386754.123034996</v>
      </c>
      <c r="J19" s="10"/>
      <c r="K19" s="15"/>
      <c r="L19" s="37" t="s">
        <v>3</v>
      </c>
      <c r="M19" s="55">
        <v>1498.6457919281006</v>
      </c>
      <c r="N19" s="37">
        <v>109.1036465112067</v>
      </c>
      <c r="O19" s="55">
        <v>13.735982616989483</v>
      </c>
      <c r="P19" s="37">
        <v>5.286676462695269E-26</v>
      </c>
      <c r="Q19" s="37">
        <v>1282.5324732386866</v>
      </c>
      <c r="R19" s="37">
        <v>1714.7591106175146</v>
      </c>
      <c r="S19" s="37">
        <v>1282.5324732386866</v>
      </c>
      <c r="T19" s="37">
        <v>1714.7591106175146</v>
      </c>
    </row>
    <row r="20" spans="1:20" ht="12.75">
      <c r="A20" s="3">
        <v>37773</v>
      </c>
      <c r="B20" s="27">
        <v>3509234.884158036</v>
      </c>
      <c r="C20" s="23">
        <v>74.8</v>
      </c>
      <c r="D20" s="23">
        <v>15.8</v>
      </c>
      <c r="E20" s="19">
        <v>0</v>
      </c>
      <c r="F20" s="27">
        <f>Residential!G20</f>
        <v>0</v>
      </c>
      <c r="G20" s="19">
        <v>30</v>
      </c>
      <c r="H20" s="19">
        <v>1461</v>
      </c>
      <c r="I20" s="10">
        <f t="shared" si="0"/>
        <v>3590198.936082301</v>
      </c>
      <c r="J20" s="10"/>
      <c r="K20" s="15"/>
      <c r="L20" s="37" t="s">
        <v>4</v>
      </c>
      <c r="M20" s="55">
        <v>9898.769916038587</v>
      </c>
      <c r="N20" s="37">
        <v>1543.5954607261608</v>
      </c>
      <c r="O20" s="55">
        <v>6.412800612526978</v>
      </c>
      <c r="P20" s="37">
        <v>3.2818598291811255E-09</v>
      </c>
      <c r="Q20" s="37">
        <v>6841.204487213252</v>
      </c>
      <c r="R20" s="37">
        <v>12956.335344863923</v>
      </c>
      <c r="S20" s="37">
        <v>6841.204487213252</v>
      </c>
      <c r="T20" s="37">
        <v>12956.335344863923</v>
      </c>
    </row>
    <row r="21" spans="1:20" ht="12.75">
      <c r="A21" s="3">
        <v>37803</v>
      </c>
      <c r="B21" s="27">
        <v>4045664.884158036</v>
      </c>
      <c r="C21" s="23">
        <v>21.9</v>
      </c>
      <c r="D21" s="23">
        <v>39</v>
      </c>
      <c r="E21" s="19">
        <v>0</v>
      </c>
      <c r="F21" s="27">
        <f>Residential!G21</f>
        <v>0</v>
      </c>
      <c r="G21" s="19">
        <v>31</v>
      </c>
      <c r="H21" s="19">
        <v>1459</v>
      </c>
      <c r="I21" s="10">
        <f t="shared" si="0"/>
        <v>3740572.0357413995</v>
      </c>
      <c r="J21" s="10"/>
      <c r="K21" s="15"/>
      <c r="L21" s="37" t="s">
        <v>20</v>
      </c>
      <c r="M21" s="55">
        <v>-253707.50308078033</v>
      </c>
      <c r="N21" s="37">
        <v>52812.482596838134</v>
      </c>
      <c r="O21" s="55">
        <v>-4.803930635443556</v>
      </c>
      <c r="P21" s="37">
        <v>4.734247568839758E-06</v>
      </c>
      <c r="Q21" s="37">
        <v>-358318.8634449571</v>
      </c>
      <c r="R21" s="37">
        <v>-149096.14271660353</v>
      </c>
      <c r="S21" s="37">
        <v>-358318.8634449571</v>
      </c>
      <c r="T21" s="37">
        <v>-149096.14271660353</v>
      </c>
    </row>
    <row r="22" spans="1:20" ht="13.5" thickBot="1">
      <c r="A22" s="3">
        <v>37834</v>
      </c>
      <c r="B22" s="27">
        <v>3848447.884158036</v>
      </c>
      <c r="C22" s="23">
        <v>27.4</v>
      </c>
      <c r="D22" s="23">
        <v>60.9</v>
      </c>
      <c r="E22" s="19">
        <v>0</v>
      </c>
      <c r="F22" s="27">
        <f>Residential!G22</f>
        <v>0</v>
      </c>
      <c r="G22" s="19">
        <v>31</v>
      </c>
      <c r="H22" s="19">
        <v>1453</v>
      </c>
      <c r="I22" s="10">
        <f t="shared" si="0"/>
        <v>3965597.6487582494</v>
      </c>
      <c r="J22" s="10"/>
      <c r="K22" s="15"/>
      <c r="L22" s="52" t="s">
        <v>84</v>
      </c>
      <c r="M22" s="56">
        <v>-1.3509596242106958</v>
      </c>
      <c r="N22" s="52">
        <v>0.2537657554063568</v>
      </c>
      <c r="O22" s="56">
        <v>-5.323648267857871</v>
      </c>
      <c r="P22" s="52">
        <v>5.098641918838413E-07</v>
      </c>
      <c r="Q22" s="52">
        <v>-1.853620729721598</v>
      </c>
      <c r="R22" s="52">
        <v>-0.8482985186997936</v>
      </c>
      <c r="S22" s="52">
        <v>-1.853620729721598</v>
      </c>
      <c r="T22" s="52">
        <v>-0.8482985186997936</v>
      </c>
    </row>
    <row r="23" spans="1:11" ht="12.75">
      <c r="A23" s="3">
        <v>37865</v>
      </c>
      <c r="B23" s="27">
        <v>3283108.884158036</v>
      </c>
      <c r="C23" s="23">
        <v>113.7</v>
      </c>
      <c r="D23" s="23">
        <v>5.6</v>
      </c>
      <c r="E23" s="19">
        <v>1</v>
      </c>
      <c r="F23" s="27">
        <f>Residential!G23</f>
        <v>0</v>
      </c>
      <c r="G23" s="19">
        <v>30</v>
      </c>
      <c r="H23" s="19">
        <v>1449</v>
      </c>
      <c r="I23" s="10">
        <f t="shared" si="0"/>
        <v>3293821.30116393</v>
      </c>
      <c r="J23" s="10"/>
      <c r="K23" s="15"/>
    </row>
    <row r="24" spans="1:11" ht="12.75">
      <c r="A24" s="3">
        <v>37895</v>
      </c>
      <c r="B24" s="27">
        <v>3502320.884158036</v>
      </c>
      <c r="C24" s="23">
        <v>349.8</v>
      </c>
      <c r="D24" s="23">
        <v>0</v>
      </c>
      <c r="E24" s="19">
        <v>1</v>
      </c>
      <c r="F24" s="27">
        <f>Residential!G24</f>
        <v>0</v>
      </c>
      <c r="G24" s="19">
        <v>31</v>
      </c>
      <c r="H24" s="19">
        <v>1450</v>
      </c>
      <c r="I24" s="10">
        <f t="shared" si="0"/>
        <v>3592218.4611083386</v>
      </c>
      <c r="J24" s="10"/>
      <c r="K24" s="15"/>
    </row>
    <row r="25" spans="1:11" ht="12.75">
      <c r="A25" s="3">
        <v>37926</v>
      </c>
      <c r="B25" s="27">
        <v>3799218.884158036</v>
      </c>
      <c r="C25" s="23">
        <v>483.2</v>
      </c>
      <c r="D25" s="23">
        <v>0</v>
      </c>
      <c r="E25" s="19">
        <v>1</v>
      </c>
      <c r="F25" s="27">
        <f>Residential!G25</f>
        <v>0</v>
      </c>
      <c r="G25" s="19">
        <v>30</v>
      </c>
      <c r="H25" s="19">
        <v>1455</v>
      </c>
      <c r="I25" s="10">
        <f t="shared" si="0"/>
        <v>3792137.8097515474</v>
      </c>
      <c r="J25" s="10"/>
      <c r="K25" s="15"/>
    </row>
    <row r="26" spans="1:11" ht="12.75">
      <c r="A26" s="3">
        <v>37956</v>
      </c>
      <c r="B26" s="27">
        <v>4171746.884158036</v>
      </c>
      <c r="C26" s="23">
        <v>676.7</v>
      </c>
      <c r="D26" s="23">
        <v>0</v>
      </c>
      <c r="E26" s="19">
        <v>0</v>
      </c>
      <c r="F26" s="27">
        <f>Residential!G26</f>
        <v>0</v>
      </c>
      <c r="G26" s="19">
        <v>31</v>
      </c>
      <c r="H26" s="19">
        <v>1463</v>
      </c>
      <c r="I26" s="10">
        <f t="shared" si="0"/>
        <v>4335833.273570415</v>
      </c>
      <c r="J26" s="10"/>
      <c r="K26" s="15"/>
    </row>
    <row r="27" spans="1:11" ht="12.75">
      <c r="A27" s="3">
        <v>37987</v>
      </c>
      <c r="B27" s="27">
        <v>5142400.884158036</v>
      </c>
      <c r="C27" s="23">
        <v>1041.1</v>
      </c>
      <c r="D27" s="23">
        <v>0</v>
      </c>
      <c r="E27" s="19">
        <v>0</v>
      </c>
      <c r="F27" s="27">
        <f>Residential!G27</f>
        <v>0</v>
      </c>
      <c r="G27" s="19">
        <v>31</v>
      </c>
      <c r="H27" s="19">
        <v>1462</v>
      </c>
      <c r="I27" s="10">
        <f t="shared" si="0"/>
        <v>4881939.800149014</v>
      </c>
      <c r="J27" s="10"/>
      <c r="K27" s="15"/>
    </row>
    <row r="28" spans="1:11" ht="12.75">
      <c r="A28" s="3">
        <v>38018</v>
      </c>
      <c r="B28" s="27">
        <v>4407640.884158036</v>
      </c>
      <c r="C28" s="23">
        <v>746.8</v>
      </c>
      <c r="D28" s="23">
        <v>0</v>
      </c>
      <c r="E28" s="19">
        <v>0</v>
      </c>
      <c r="F28" s="27">
        <f>Residential!G28</f>
        <v>0</v>
      </c>
      <c r="G28" s="19">
        <v>29</v>
      </c>
      <c r="H28" s="19">
        <v>1460</v>
      </c>
      <c r="I28" s="10">
        <f t="shared" si="0"/>
        <v>4440888.343584575</v>
      </c>
      <c r="J28" s="10"/>
      <c r="K28" s="15"/>
    </row>
    <row r="29" spans="1:11" ht="12.75">
      <c r="A29" s="3">
        <v>38047</v>
      </c>
      <c r="B29" s="27">
        <v>4079127.884158036</v>
      </c>
      <c r="C29" s="23">
        <v>592.8</v>
      </c>
      <c r="D29" s="23">
        <v>0</v>
      </c>
      <c r="E29" s="19">
        <v>1</v>
      </c>
      <c r="F29" s="27">
        <f>Residential!G29</f>
        <v>0</v>
      </c>
      <c r="G29" s="19">
        <v>31</v>
      </c>
      <c r="H29" s="19">
        <v>1457</v>
      </c>
      <c r="I29" s="10">
        <f t="shared" si="0"/>
        <v>3956389.388546867</v>
      </c>
      <c r="J29" s="10"/>
      <c r="K29" s="15"/>
    </row>
    <row r="30" spans="1:11" ht="12.75">
      <c r="A30" s="3">
        <v>38078</v>
      </c>
      <c r="B30" s="27">
        <v>3586114.3060989645</v>
      </c>
      <c r="C30" s="23">
        <v>395.9</v>
      </c>
      <c r="D30" s="23">
        <v>0</v>
      </c>
      <c r="E30" s="19">
        <v>1</v>
      </c>
      <c r="F30" s="27">
        <f>Residential!G30</f>
        <v>0</v>
      </c>
      <c r="G30" s="19">
        <v>30</v>
      </c>
      <c r="H30" s="19">
        <v>1459</v>
      </c>
      <c r="I30" s="10">
        <f t="shared" si="0"/>
        <v>3661306.032116224</v>
      </c>
      <c r="J30" s="10"/>
      <c r="K30" s="15"/>
    </row>
    <row r="31" spans="1:11" ht="12.75">
      <c r="A31" s="3">
        <v>38108</v>
      </c>
      <c r="B31" s="27">
        <v>3325850.421173763</v>
      </c>
      <c r="C31" s="23">
        <v>236</v>
      </c>
      <c r="D31" s="23">
        <v>5.5</v>
      </c>
      <c r="E31" s="19">
        <v>1</v>
      </c>
      <c r="F31" s="27">
        <f>Residential!G31</f>
        <v>0</v>
      </c>
      <c r="G31" s="19">
        <v>31</v>
      </c>
      <c r="H31" s="19">
        <v>1463</v>
      </c>
      <c r="I31" s="10">
        <f t="shared" si="0"/>
        <v>3476115.804525133</v>
      </c>
      <c r="J31" s="10"/>
      <c r="K31" s="15"/>
    </row>
    <row r="32" spans="1:11" ht="12.75">
      <c r="A32" s="3">
        <v>38139</v>
      </c>
      <c r="B32" s="27">
        <v>3541754.884158036</v>
      </c>
      <c r="C32" s="23">
        <v>110.4</v>
      </c>
      <c r="D32" s="23">
        <v>15.2</v>
      </c>
      <c r="E32" s="19">
        <v>0</v>
      </c>
      <c r="F32" s="27">
        <f>Residential!G32</f>
        <v>0</v>
      </c>
      <c r="G32" s="19">
        <v>30</v>
      </c>
      <c r="H32" s="19">
        <v>1465</v>
      </c>
      <c r="I32" s="10">
        <f t="shared" si="0"/>
        <v>3637611.464325318</v>
      </c>
      <c r="J32" s="10"/>
      <c r="K32" s="15"/>
    </row>
    <row r="33" spans="1:11" ht="12.75">
      <c r="A33" s="3">
        <v>38169</v>
      </c>
      <c r="B33" s="27">
        <v>4133592.884158036</v>
      </c>
      <c r="C33" s="23">
        <v>21.5</v>
      </c>
      <c r="D33" s="23">
        <v>45.2</v>
      </c>
      <c r="E33" s="19">
        <v>0</v>
      </c>
      <c r="F33" s="27">
        <f>Residential!G33</f>
        <v>0</v>
      </c>
      <c r="G33" s="19">
        <v>31</v>
      </c>
      <c r="H33" s="19">
        <v>1469</v>
      </c>
      <c r="I33" s="10">
        <f t="shared" si="0"/>
        <v>3801344.9509040676</v>
      </c>
      <c r="J33" s="10"/>
      <c r="K33" s="15"/>
    </row>
    <row r="34" spans="1:11" ht="12.75">
      <c r="A34" s="3">
        <v>38200</v>
      </c>
      <c r="B34" s="27">
        <v>3477794.884158036</v>
      </c>
      <c r="C34" s="23">
        <v>69.8</v>
      </c>
      <c r="D34" s="23">
        <v>28.4</v>
      </c>
      <c r="E34" s="19">
        <v>0</v>
      </c>
      <c r="F34" s="27">
        <f>Residential!G34</f>
        <v>0</v>
      </c>
      <c r="G34" s="19">
        <v>31</v>
      </c>
      <c r="H34" s="19">
        <v>1474</v>
      </c>
      <c r="I34" s="10">
        <f t="shared" si="0"/>
        <v>3707430.2080647466</v>
      </c>
      <c r="J34" s="10"/>
      <c r="K34" s="15"/>
    </row>
    <row r="35" spans="1:11" ht="12.75">
      <c r="A35" s="3">
        <v>38231</v>
      </c>
      <c r="B35" s="27">
        <v>3695333.884158036</v>
      </c>
      <c r="C35" s="23">
        <v>88.4</v>
      </c>
      <c r="D35" s="23">
        <v>17.9</v>
      </c>
      <c r="E35" s="19">
        <v>1</v>
      </c>
      <c r="F35" s="27">
        <f>Residential!G35</f>
        <v>0</v>
      </c>
      <c r="G35" s="19">
        <v>30</v>
      </c>
      <c r="H35" s="19">
        <v>1478</v>
      </c>
      <c r="I35" s="10">
        <f t="shared" si="0"/>
        <v>3377660.432595424</v>
      </c>
      <c r="J35" s="10"/>
      <c r="K35" s="15"/>
    </row>
    <row r="36" spans="1:11" ht="12.75">
      <c r="A36" s="3">
        <v>38261</v>
      </c>
      <c r="B36" s="27">
        <v>3344355.884158036</v>
      </c>
      <c r="C36" s="23">
        <v>310.8</v>
      </c>
      <c r="D36" s="23">
        <v>0</v>
      </c>
      <c r="E36" s="19">
        <v>1</v>
      </c>
      <c r="F36" s="27">
        <f>Residential!G36</f>
        <v>0</v>
      </c>
      <c r="G36" s="19">
        <v>31</v>
      </c>
      <c r="H36" s="19">
        <v>1473</v>
      </c>
      <c r="I36" s="10">
        <f t="shared" si="0"/>
        <v>3533771.275223143</v>
      </c>
      <c r="J36" s="10"/>
      <c r="K36" s="15"/>
    </row>
    <row r="37" spans="1:11" ht="12.75">
      <c r="A37" s="3">
        <v>38292</v>
      </c>
      <c r="B37" s="27">
        <v>3553690.884158036</v>
      </c>
      <c r="C37" s="23">
        <v>485.2</v>
      </c>
      <c r="D37" s="23">
        <v>0</v>
      </c>
      <c r="E37" s="19">
        <v>1</v>
      </c>
      <c r="F37" s="27">
        <f>Residential!G37</f>
        <v>0</v>
      </c>
      <c r="G37" s="19">
        <v>30</v>
      </c>
      <c r="H37" s="19">
        <v>1474</v>
      </c>
      <c r="I37" s="10">
        <f t="shared" si="0"/>
        <v>3795135.1013354035</v>
      </c>
      <c r="J37" s="10"/>
      <c r="K37" s="15"/>
    </row>
    <row r="38" spans="1:11" ht="12.75">
      <c r="A38" s="3">
        <v>38322</v>
      </c>
      <c r="B38" s="27">
        <v>4577758.601841196</v>
      </c>
      <c r="C38" s="23">
        <v>801</v>
      </c>
      <c r="D38" s="23">
        <v>0</v>
      </c>
      <c r="E38" s="19">
        <v>0</v>
      </c>
      <c r="F38" s="27">
        <f>Residential!G38</f>
        <v>0</v>
      </c>
      <c r="G38" s="19">
        <v>31</v>
      </c>
      <c r="H38" s="19">
        <v>1478</v>
      </c>
      <c r="I38" s="10">
        <f t="shared" si="0"/>
        <v>4522114.9455070775</v>
      </c>
      <c r="J38" s="10"/>
      <c r="K38" s="15"/>
    </row>
    <row r="39" spans="1:11" ht="12.75">
      <c r="A39" s="3">
        <v>38353</v>
      </c>
      <c r="B39" s="27">
        <v>4783667.222477944</v>
      </c>
      <c r="C39" s="23">
        <v>486</v>
      </c>
      <c r="D39" s="23">
        <v>0</v>
      </c>
      <c r="E39" s="19">
        <v>0</v>
      </c>
      <c r="F39" s="27">
        <f>Residential!G39</f>
        <v>0</v>
      </c>
      <c r="G39" s="19">
        <v>31</v>
      </c>
      <c r="H39" s="19">
        <v>1477</v>
      </c>
      <c r="I39" s="10">
        <f t="shared" si="0"/>
        <v>4050041.5210497263</v>
      </c>
      <c r="J39" s="10"/>
      <c r="K39" s="15"/>
    </row>
    <row r="40" spans="1:11" ht="12.75">
      <c r="A40" s="3">
        <v>38384</v>
      </c>
      <c r="B40" s="27">
        <v>4408606.893747603</v>
      </c>
      <c r="C40" s="23">
        <v>737.4</v>
      </c>
      <c r="D40" s="23">
        <v>0</v>
      </c>
      <c r="E40" s="19">
        <v>0</v>
      </c>
      <c r="F40" s="27">
        <f>Residential!G40</f>
        <v>0</v>
      </c>
      <c r="G40" s="19">
        <v>28</v>
      </c>
      <c r="H40" s="19">
        <v>1477</v>
      </c>
      <c r="I40" s="10">
        <f t="shared" si="0"/>
        <v>4426801.073140451</v>
      </c>
      <c r="J40" s="10"/>
      <c r="K40" s="15"/>
    </row>
    <row r="41" spans="1:11" ht="12.75">
      <c r="A41" s="3">
        <v>38412</v>
      </c>
      <c r="B41" s="27">
        <v>4203345.936325278</v>
      </c>
      <c r="C41" s="23">
        <v>746.4</v>
      </c>
      <c r="D41" s="23">
        <v>0</v>
      </c>
      <c r="E41" s="19">
        <v>1</v>
      </c>
      <c r="F41" s="27">
        <f>Residential!G41</f>
        <v>0</v>
      </c>
      <c r="G41" s="19">
        <v>31</v>
      </c>
      <c r="H41" s="19">
        <v>1477</v>
      </c>
      <c r="I41" s="10">
        <f t="shared" si="0"/>
        <v>4186581.3821870233</v>
      </c>
      <c r="J41" s="10"/>
      <c r="K41" s="15"/>
    </row>
    <row r="42" spans="1:11" ht="12.75">
      <c r="A42" s="3">
        <v>38443</v>
      </c>
      <c r="B42" s="27">
        <v>3619104.936325278</v>
      </c>
      <c r="C42" s="23">
        <v>381.2</v>
      </c>
      <c r="D42" s="23">
        <v>0</v>
      </c>
      <c r="E42" s="19">
        <v>1</v>
      </c>
      <c r="F42" s="27">
        <f>Residential!G42</f>
        <v>0</v>
      </c>
      <c r="G42" s="19">
        <v>30</v>
      </c>
      <c r="H42" s="19">
        <v>1479</v>
      </c>
      <c r="I42" s="10">
        <f t="shared" si="0"/>
        <v>3639275.938974881</v>
      </c>
      <c r="J42" s="10"/>
      <c r="K42" s="15"/>
    </row>
    <row r="43" spans="1:11" ht="12.75">
      <c r="A43" s="3">
        <v>38473</v>
      </c>
      <c r="B43" s="27">
        <v>3224457.936325278</v>
      </c>
      <c r="C43" s="23">
        <v>252.2</v>
      </c>
      <c r="D43" s="23">
        <v>0.4</v>
      </c>
      <c r="E43" s="19">
        <v>1</v>
      </c>
      <c r="F43" s="27">
        <f>Residential!G43</f>
        <v>0</v>
      </c>
      <c r="G43" s="19">
        <v>31</v>
      </c>
      <c r="H43" s="19">
        <v>1476</v>
      </c>
      <c r="I43" s="10">
        <f t="shared" si="0"/>
        <v>3449910.1397825717</v>
      </c>
      <c r="J43" s="10"/>
      <c r="K43" s="15"/>
    </row>
    <row r="44" spans="1:11" ht="12.75">
      <c r="A44" s="3">
        <v>38504</v>
      </c>
      <c r="B44" s="27">
        <v>4229298.936325278</v>
      </c>
      <c r="C44" s="23">
        <v>33.5</v>
      </c>
      <c r="D44" s="23">
        <v>76.8</v>
      </c>
      <c r="E44" s="19">
        <v>0</v>
      </c>
      <c r="F44" s="27">
        <f>Residential!G44</f>
        <v>0</v>
      </c>
      <c r="G44" s="19">
        <v>30</v>
      </c>
      <c r="H44" s="19">
        <v>1474</v>
      </c>
      <c r="I44" s="10">
        <f t="shared" si="0"/>
        <v>4132129.8297540243</v>
      </c>
      <c r="J44" s="10"/>
      <c r="K44" s="15"/>
    </row>
    <row r="45" spans="1:11" ht="12.75">
      <c r="A45" s="3">
        <v>38534</v>
      </c>
      <c r="B45" s="27">
        <v>4186380</v>
      </c>
      <c r="C45" s="23">
        <v>14.8</v>
      </c>
      <c r="D45" s="23">
        <v>87.8</v>
      </c>
      <c r="E45" s="19">
        <v>0</v>
      </c>
      <c r="F45" s="27">
        <f>Residential!G45</f>
        <v>0</v>
      </c>
      <c r="G45" s="19">
        <v>31</v>
      </c>
      <c r="H45" s="19">
        <v>1480</v>
      </c>
      <c r="I45" s="10">
        <f t="shared" si="0"/>
        <v>4212991.622521393</v>
      </c>
      <c r="J45" s="10"/>
      <c r="K45" s="15"/>
    </row>
    <row r="46" spans="1:11" ht="12.75">
      <c r="A46" s="3">
        <v>38565</v>
      </c>
      <c r="B46" s="27">
        <v>3905206</v>
      </c>
      <c r="C46" s="23">
        <v>13.2</v>
      </c>
      <c r="D46" s="23">
        <v>59.8</v>
      </c>
      <c r="E46" s="19">
        <v>0</v>
      </c>
      <c r="F46" s="27">
        <f>Residential!G46</f>
        <v>0</v>
      </c>
      <c r="G46" s="19">
        <v>31</v>
      </c>
      <c r="H46" s="19">
        <v>1479</v>
      </c>
      <c r="I46" s="10">
        <f t="shared" si="0"/>
        <v>3933428.231605228</v>
      </c>
      <c r="J46" s="10"/>
      <c r="K46" s="15"/>
    </row>
    <row r="47" spans="1:11" ht="12.75">
      <c r="A47" s="3">
        <v>38596</v>
      </c>
      <c r="B47" s="27">
        <v>3461214</v>
      </c>
      <c r="C47" s="23">
        <v>78</v>
      </c>
      <c r="D47" s="23">
        <v>12.6</v>
      </c>
      <c r="E47" s="19">
        <v>1</v>
      </c>
      <c r="F47" s="27">
        <f>Residential!G47</f>
        <v>0</v>
      </c>
      <c r="G47" s="19">
        <v>30</v>
      </c>
      <c r="H47" s="19">
        <v>1480</v>
      </c>
      <c r="I47" s="10">
        <f t="shared" si="0"/>
        <v>3309611.035804367</v>
      </c>
      <c r="J47" s="10"/>
      <c r="K47" s="15"/>
    </row>
    <row r="48" spans="1:11" ht="12.75">
      <c r="A48" s="3">
        <v>38626</v>
      </c>
      <c r="B48" s="27">
        <v>3418142</v>
      </c>
      <c r="C48" s="23">
        <v>279.7</v>
      </c>
      <c r="D48" s="23">
        <v>6.7</v>
      </c>
      <c r="E48" s="19">
        <v>1</v>
      </c>
      <c r="F48" s="27">
        <f>Residential!G48</f>
        <v>0</v>
      </c>
      <c r="G48" s="19">
        <v>31</v>
      </c>
      <c r="H48" s="19">
        <v>1476</v>
      </c>
      <c r="I48" s="10">
        <f t="shared" si="0"/>
        <v>3553485.1495316373</v>
      </c>
      <c r="J48" s="10"/>
      <c r="K48" s="15"/>
    </row>
    <row r="49" spans="1:11" ht="12.75">
      <c r="A49" s="3">
        <v>38657</v>
      </c>
      <c r="B49" s="27">
        <v>3828784</v>
      </c>
      <c r="C49" s="23">
        <v>491.1</v>
      </c>
      <c r="D49" s="23">
        <v>0</v>
      </c>
      <c r="E49" s="19">
        <v>1</v>
      </c>
      <c r="F49" s="27">
        <f>Residential!G49</f>
        <v>0</v>
      </c>
      <c r="G49" s="19">
        <v>30</v>
      </c>
      <c r="H49" s="19">
        <v>1478</v>
      </c>
      <c r="I49" s="10">
        <f t="shared" si="0"/>
        <v>3803977.1115077795</v>
      </c>
      <c r="J49" s="10"/>
      <c r="K49" s="15"/>
    </row>
    <row r="50" spans="1:11" ht="12.75">
      <c r="A50" s="3">
        <v>38687</v>
      </c>
      <c r="B50" s="27">
        <v>4368947</v>
      </c>
      <c r="C50" s="23">
        <v>785.6</v>
      </c>
      <c r="D50" s="23">
        <v>0</v>
      </c>
      <c r="E50" s="19">
        <v>0</v>
      </c>
      <c r="F50" s="27">
        <f>Residential!G50</f>
        <v>0</v>
      </c>
      <c r="G50" s="19">
        <v>31</v>
      </c>
      <c r="H50" s="19">
        <v>1483</v>
      </c>
      <c r="I50" s="10">
        <f t="shared" si="0"/>
        <v>4499035.800311385</v>
      </c>
      <c r="J50" s="10"/>
      <c r="K50" s="15"/>
    </row>
    <row r="51" spans="1:11" ht="12.75">
      <c r="A51" s="3">
        <v>38718</v>
      </c>
      <c r="B51" s="27">
        <v>4436795</v>
      </c>
      <c r="C51" s="23">
        <v>706.5</v>
      </c>
      <c r="D51" s="23">
        <v>0</v>
      </c>
      <c r="E51" s="19">
        <v>0</v>
      </c>
      <c r="F51" s="27">
        <f>Residential!G51</f>
        <v>9482.992158121597</v>
      </c>
      <c r="G51" s="19">
        <v>31</v>
      </c>
      <c r="H51" s="19">
        <v>1483</v>
      </c>
      <c r="I51" s="10">
        <f t="shared" si="0"/>
        <v>4367681.778647544</v>
      </c>
      <c r="J51" s="10"/>
      <c r="K51" s="15"/>
    </row>
    <row r="52" spans="1:11" ht="12.75">
      <c r="A52" s="3">
        <v>38749</v>
      </c>
      <c r="B52" s="27">
        <v>4103520</v>
      </c>
      <c r="C52" s="23">
        <v>751.2</v>
      </c>
      <c r="D52" s="23">
        <v>0</v>
      </c>
      <c r="E52" s="19">
        <v>0</v>
      </c>
      <c r="F52" s="27">
        <f>Residential!G52</f>
        <v>18965.984316243193</v>
      </c>
      <c r="G52" s="19">
        <v>28</v>
      </c>
      <c r="H52" s="19">
        <v>1479</v>
      </c>
      <c r="I52" s="10">
        <f t="shared" si="0"/>
        <v>4421860.1060244</v>
      </c>
      <c r="J52" s="10"/>
      <c r="K52" s="15"/>
    </row>
    <row r="53" spans="1:11" ht="12.75">
      <c r="A53" s="3">
        <v>38777</v>
      </c>
      <c r="B53" s="27">
        <v>4179597</v>
      </c>
      <c r="C53" s="23">
        <v>663.4</v>
      </c>
      <c r="D53" s="23">
        <v>0</v>
      </c>
      <c r="E53" s="19">
        <v>1</v>
      </c>
      <c r="F53" s="27">
        <f>Residential!G53</f>
        <v>28448.97647436479</v>
      </c>
      <c r="G53" s="19">
        <v>31</v>
      </c>
      <c r="H53" s="19">
        <v>1479</v>
      </c>
      <c r="I53" s="10">
        <f t="shared" si="0"/>
        <v>4023760.3628900037</v>
      </c>
      <c r="J53" s="10"/>
      <c r="K53" s="15"/>
    </row>
    <row r="54" spans="1:11" ht="12.75">
      <c r="A54" s="3">
        <v>38808</v>
      </c>
      <c r="B54" s="27">
        <v>3412156</v>
      </c>
      <c r="C54" s="23">
        <v>362.7</v>
      </c>
      <c r="D54" s="23">
        <v>0</v>
      </c>
      <c r="E54" s="19">
        <v>1</v>
      </c>
      <c r="F54" s="27">
        <f>Residential!G54</f>
        <v>37931.96863248639</v>
      </c>
      <c r="G54" s="19">
        <v>30</v>
      </c>
      <c r="H54" s="19">
        <v>1482</v>
      </c>
      <c r="I54" s="10">
        <f t="shared" si="0"/>
        <v>3560306.433734895</v>
      </c>
      <c r="J54" s="10"/>
      <c r="K54" s="15"/>
    </row>
    <row r="55" spans="1:11" ht="12.75">
      <c r="A55" s="3">
        <v>38838</v>
      </c>
      <c r="B55" s="27">
        <v>3423961</v>
      </c>
      <c r="C55" s="23">
        <v>181.7</v>
      </c>
      <c r="D55" s="23">
        <v>14</v>
      </c>
      <c r="E55" s="19">
        <v>1</v>
      </c>
      <c r="F55" s="27">
        <f>Residential!G55</f>
        <v>47414.960790607984</v>
      </c>
      <c r="G55" s="19">
        <v>31</v>
      </c>
      <c r="H55" s="19">
        <v>1483</v>
      </c>
      <c r="I55" s="10">
        <f t="shared" si="0"/>
        <v>3414823.1846981207</v>
      </c>
      <c r="J55" s="10"/>
      <c r="K55" s="15"/>
    </row>
    <row r="56" spans="1:11" ht="12.75">
      <c r="A56" s="3">
        <v>38869</v>
      </c>
      <c r="B56" s="27">
        <v>3605018</v>
      </c>
      <c r="C56" s="23">
        <v>58.5</v>
      </c>
      <c r="D56" s="23">
        <v>31.3</v>
      </c>
      <c r="E56" s="19">
        <v>0</v>
      </c>
      <c r="F56" s="27">
        <f>Residential!G56</f>
        <v>56897.95294872958</v>
      </c>
      <c r="G56" s="19">
        <v>30</v>
      </c>
      <c r="H56" s="19">
        <v>1478</v>
      </c>
      <c r="I56" s="10">
        <f t="shared" si="0"/>
        <v>3642335.1062384974</v>
      </c>
      <c r="J56" s="10"/>
      <c r="K56" s="15"/>
    </row>
    <row r="57" spans="1:11" ht="12.75">
      <c r="A57" s="3">
        <v>38899</v>
      </c>
      <c r="B57" s="27">
        <v>4050391</v>
      </c>
      <c r="C57" s="23">
        <v>4.9</v>
      </c>
      <c r="D57" s="23">
        <v>83.4</v>
      </c>
      <c r="E57" s="19">
        <v>0</v>
      </c>
      <c r="F57" s="27">
        <f>Residential!G57</f>
        <v>66380.94510685117</v>
      </c>
      <c r="G57" s="19">
        <v>31</v>
      </c>
      <c r="H57" s="19">
        <v>1477</v>
      </c>
      <c r="I57" s="10">
        <f t="shared" si="0"/>
        <v>4064922.464894433</v>
      </c>
      <c r="J57" s="10"/>
      <c r="K57" s="15"/>
    </row>
    <row r="58" spans="1:11" ht="12.75">
      <c r="A58" s="3">
        <v>38930</v>
      </c>
      <c r="B58" s="27">
        <v>3821842</v>
      </c>
      <c r="C58" s="23">
        <v>43.7</v>
      </c>
      <c r="D58" s="23">
        <v>39.9</v>
      </c>
      <c r="E58" s="19">
        <v>0</v>
      </c>
      <c r="F58" s="27">
        <f>Residential!G58</f>
        <v>75863.93726497277</v>
      </c>
      <c r="G58" s="19">
        <v>31</v>
      </c>
      <c r="H58" s="19">
        <v>1483</v>
      </c>
      <c r="I58" s="10">
        <f t="shared" si="0"/>
        <v>3679662.2907512356</v>
      </c>
      <c r="J58" s="10"/>
      <c r="K58" s="15"/>
    </row>
    <row r="59" spans="1:11" ht="12.75">
      <c r="A59" s="3">
        <v>38961</v>
      </c>
      <c r="B59" s="27">
        <v>3236070</v>
      </c>
      <c r="C59" s="23">
        <v>163.5</v>
      </c>
      <c r="D59" s="23">
        <v>0.7</v>
      </c>
      <c r="E59" s="19">
        <v>1</v>
      </c>
      <c r="F59" s="27">
        <f>Residential!G59</f>
        <v>85346.92942309438</v>
      </c>
      <c r="G59" s="19">
        <v>30</v>
      </c>
      <c r="H59" s="19">
        <v>1483</v>
      </c>
      <c r="I59" s="10">
        <f t="shared" si="0"/>
        <v>3204649.6333124004</v>
      </c>
      <c r="J59" s="10"/>
      <c r="K59" s="15"/>
    </row>
    <row r="60" spans="1:11" ht="12.75">
      <c r="A60" s="3">
        <v>38991</v>
      </c>
      <c r="B60" s="27">
        <v>3472843</v>
      </c>
      <c r="C60" s="23">
        <v>366.1</v>
      </c>
      <c r="D60" s="23">
        <v>0</v>
      </c>
      <c r="E60" s="19">
        <v>1</v>
      </c>
      <c r="F60" s="27">
        <f>Residential!G60</f>
        <v>94829.92158121598</v>
      </c>
      <c r="G60" s="19">
        <v>31</v>
      </c>
      <c r="H60" s="19">
        <v>1484</v>
      </c>
      <c r="I60" s="10">
        <f t="shared" si="0"/>
        <v>3488534.9922934775</v>
      </c>
      <c r="J60" s="10"/>
      <c r="K60" s="15"/>
    </row>
    <row r="61" spans="1:11" ht="12.75">
      <c r="A61" s="3">
        <v>39022</v>
      </c>
      <c r="B61" s="27">
        <v>3678403</v>
      </c>
      <c r="C61" s="23">
        <v>441.1</v>
      </c>
      <c r="D61" s="23">
        <v>0</v>
      </c>
      <c r="E61" s="19">
        <v>1</v>
      </c>
      <c r="F61" s="27">
        <f>Residential!G61</f>
        <v>104312.91373933759</v>
      </c>
      <c r="G61" s="19">
        <v>30</v>
      </c>
      <c r="H61" s="19">
        <v>1488</v>
      </c>
      <c r="I61" s="10">
        <f t="shared" si="0"/>
        <v>3588122.2871657563</v>
      </c>
      <c r="J61" s="10"/>
      <c r="K61" s="15"/>
    </row>
    <row r="62" spans="1:11" ht="12.75">
      <c r="A62" s="3">
        <v>39052</v>
      </c>
      <c r="B62" s="27">
        <v>4060710</v>
      </c>
      <c r="C62" s="23">
        <v>610</v>
      </c>
      <c r="D62" s="23">
        <v>0</v>
      </c>
      <c r="E62" s="19">
        <v>0</v>
      </c>
      <c r="F62" s="27">
        <f>Residential!G62</f>
        <v>113795.90589745919</v>
      </c>
      <c r="G62" s="19">
        <v>31</v>
      </c>
      <c r="H62" s="19">
        <v>1487</v>
      </c>
      <c r="I62" s="10">
        <f t="shared" si="0"/>
        <v>4082139.9249808635</v>
      </c>
      <c r="J62" s="10"/>
      <c r="K62" s="15"/>
    </row>
    <row r="63" spans="1:11" ht="12.75">
      <c r="A63" s="3">
        <v>39083</v>
      </c>
      <c r="B63" s="27">
        <v>4471780</v>
      </c>
      <c r="C63" s="23">
        <v>826.1</v>
      </c>
      <c r="D63" s="23">
        <v>0</v>
      </c>
      <c r="E63" s="19">
        <v>0</v>
      </c>
      <c r="F63" s="27">
        <f>Residential!G63</f>
        <v>113676.46837958093</v>
      </c>
      <c r="G63" s="19">
        <v>31</v>
      </c>
      <c r="H63" s="19">
        <v>1508</v>
      </c>
      <c r="I63" s="10">
        <f t="shared" si="0"/>
        <v>4406158.635880795</v>
      </c>
      <c r="J63" s="10"/>
      <c r="K63" s="15"/>
    </row>
    <row r="64" spans="1:11" ht="12.75">
      <c r="A64" s="3">
        <v>39114</v>
      </c>
      <c r="B64" s="27">
        <v>4320408</v>
      </c>
      <c r="C64" s="23">
        <v>847.5</v>
      </c>
      <c r="D64" s="23">
        <v>0</v>
      </c>
      <c r="E64" s="19">
        <v>0</v>
      </c>
      <c r="F64" s="27">
        <f>Residential!G64</f>
        <v>113557.03086170266</v>
      </c>
      <c r="G64" s="19">
        <v>28</v>
      </c>
      <c r="H64" s="19">
        <v>1512</v>
      </c>
      <c r="I64" s="10">
        <f t="shared" si="0"/>
        <v>4438391.011092327</v>
      </c>
      <c r="J64" s="10"/>
      <c r="K64" s="15"/>
    </row>
    <row r="65" spans="1:11" ht="12.75">
      <c r="A65" s="3">
        <v>39142</v>
      </c>
      <c r="B65" s="27">
        <v>4175770</v>
      </c>
      <c r="C65" s="23">
        <v>653.1</v>
      </c>
      <c r="D65" s="23">
        <v>0</v>
      </c>
      <c r="E65" s="19">
        <v>1</v>
      </c>
      <c r="F65" s="27">
        <f>Residential!G65</f>
        <v>113437.5933438244</v>
      </c>
      <c r="G65" s="19">
        <v>31</v>
      </c>
      <c r="H65" s="19">
        <v>1510</v>
      </c>
      <c r="I65" s="10">
        <f t="shared" si="0"/>
        <v>3893508.1213249927</v>
      </c>
      <c r="J65" s="10"/>
      <c r="K65" s="15"/>
    </row>
    <row r="66" spans="1:11" ht="12.75">
      <c r="A66" s="3">
        <v>39173</v>
      </c>
      <c r="B66" s="27">
        <v>3495794</v>
      </c>
      <c r="C66" s="23">
        <v>426.6</v>
      </c>
      <c r="D66" s="23">
        <v>0</v>
      </c>
      <c r="E66" s="19">
        <v>1</v>
      </c>
      <c r="F66" s="27">
        <f>Residential!G66</f>
        <v>113318.15582594613</v>
      </c>
      <c r="G66" s="19">
        <v>30</v>
      </c>
      <c r="H66" s="19">
        <v>1511</v>
      </c>
      <c r="I66" s="10">
        <f t="shared" si="0"/>
        <v>3554226.2047175476</v>
      </c>
      <c r="J66" s="10"/>
      <c r="K66" s="15"/>
    </row>
    <row r="67" spans="1:11" ht="12.75">
      <c r="A67" s="3">
        <v>39203</v>
      </c>
      <c r="B67" s="27">
        <v>3389425</v>
      </c>
      <c r="C67" s="23">
        <v>203.5</v>
      </c>
      <c r="D67" s="23">
        <v>9.1</v>
      </c>
      <c r="E67" s="19">
        <v>1</v>
      </c>
      <c r="F67" s="27">
        <f>Residential!G67</f>
        <v>113198.71830806787</v>
      </c>
      <c r="G67" s="19">
        <v>31</v>
      </c>
      <c r="H67" s="19">
        <v>1511</v>
      </c>
      <c r="I67" s="10">
        <f t="shared" si="0"/>
        <v>3310118.4900386087</v>
      </c>
      <c r="J67" s="10"/>
      <c r="K67" s="15"/>
    </row>
    <row r="68" spans="1:11" ht="12.75">
      <c r="A68" s="3">
        <v>39234</v>
      </c>
      <c r="B68" s="27">
        <v>3622145</v>
      </c>
      <c r="C68" s="23">
        <v>62.6</v>
      </c>
      <c r="D68" s="23">
        <v>43</v>
      </c>
      <c r="E68" s="19">
        <v>0</v>
      </c>
      <c r="F68" s="27">
        <f>Residential!G68</f>
        <v>113079.2807901896</v>
      </c>
      <c r="G68" s="19">
        <v>30</v>
      </c>
      <c r="H68" s="19">
        <v>1509</v>
      </c>
      <c r="I68" s="10">
        <f aca="true" t="shared" si="1" ref="I68:I131">$M$18+C68*$M$19+D68*$M$20+E68*$M$21+F68*$M$22</f>
        <v>3688396.4564546975</v>
      </c>
      <c r="J68" s="10"/>
      <c r="K68" s="15"/>
    </row>
    <row r="69" spans="1:11" ht="12.75">
      <c r="A69" s="3">
        <v>39264</v>
      </c>
      <c r="B69" s="27">
        <v>3882606</v>
      </c>
      <c r="C69" s="23">
        <v>39.5</v>
      </c>
      <c r="D69" s="23">
        <v>43.6</v>
      </c>
      <c r="E69" s="19">
        <v>0</v>
      </c>
      <c r="F69" s="27">
        <f>Residential!G69</f>
        <v>112959.84327231134</v>
      </c>
      <c r="G69" s="19">
        <v>31</v>
      </c>
      <c r="H69" s="19">
        <v>1508</v>
      </c>
      <c r="I69" s="10">
        <f t="shared" si="1"/>
        <v>3659878.3558750506</v>
      </c>
      <c r="J69" s="10"/>
      <c r="K69" s="15"/>
    </row>
    <row r="70" spans="1:11" ht="12.75">
      <c r="A70" s="3">
        <v>39295</v>
      </c>
      <c r="B70" s="27">
        <v>3780301</v>
      </c>
      <c r="C70" s="23">
        <v>26.7</v>
      </c>
      <c r="D70" s="23">
        <v>52.3</v>
      </c>
      <c r="E70" s="19">
        <v>0</v>
      </c>
      <c r="F70" s="27">
        <f>Residential!G70</f>
        <v>112840.40575443307</v>
      </c>
      <c r="G70" s="19">
        <v>31</v>
      </c>
      <c r="H70" s="19">
        <v>1520</v>
      </c>
      <c r="I70" s="10">
        <f t="shared" si="1"/>
        <v>3726976.3432721756</v>
      </c>
      <c r="J70" s="10"/>
      <c r="K70" s="15"/>
    </row>
    <row r="71" spans="1:11" ht="12.75">
      <c r="A71" s="3">
        <v>39326</v>
      </c>
      <c r="B71" s="27">
        <v>3342442</v>
      </c>
      <c r="C71" s="23">
        <v>100.1</v>
      </c>
      <c r="D71" s="23">
        <v>14.4</v>
      </c>
      <c r="E71" s="19">
        <v>1</v>
      </c>
      <c r="F71" s="27">
        <f>Residential!G71</f>
        <v>112720.9682365548</v>
      </c>
      <c r="G71" s="19">
        <v>30</v>
      </c>
      <c r="H71" s="19">
        <v>1521</v>
      </c>
      <c r="I71" s="10">
        <f t="shared" si="1"/>
        <v>3208267.416765326</v>
      </c>
      <c r="J71" s="10"/>
      <c r="K71" s="15"/>
    </row>
    <row r="72" spans="1:11" ht="12.75">
      <c r="A72" s="3">
        <v>39356</v>
      </c>
      <c r="B72" s="27">
        <v>3464989</v>
      </c>
      <c r="C72" s="23">
        <v>226.7</v>
      </c>
      <c r="D72" s="23">
        <v>1.5</v>
      </c>
      <c r="E72" s="19">
        <v>1</v>
      </c>
      <c r="F72" s="27">
        <f>Residential!G72</f>
        <v>112601.53071867654</v>
      </c>
      <c r="G72" s="19">
        <v>31</v>
      </c>
      <c r="H72" s="19">
        <v>1525</v>
      </c>
      <c r="I72" s="10">
        <f t="shared" si="1"/>
        <v>3270463.197370795</v>
      </c>
      <c r="J72" s="10"/>
      <c r="K72" s="15"/>
    </row>
    <row r="73" spans="1:11" ht="12.75">
      <c r="A73" s="3">
        <v>39387</v>
      </c>
      <c r="B73" s="27">
        <v>3802597</v>
      </c>
      <c r="C73" s="23">
        <v>555.2</v>
      </c>
      <c r="D73" s="23">
        <v>0</v>
      </c>
      <c r="E73" s="19">
        <v>1</v>
      </c>
      <c r="F73" s="27">
        <f>Residential!G73</f>
        <v>112482.09320079828</v>
      </c>
      <c r="G73" s="19">
        <v>30</v>
      </c>
      <c r="H73" s="19">
        <v>1527</v>
      </c>
      <c r="I73" s="10">
        <f t="shared" si="1"/>
        <v>3748081.540409388</v>
      </c>
      <c r="J73" s="10"/>
      <c r="K73" s="15"/>
    </row>
    <row r="74" spans="1:11" ht="12.75">
      <c r="A74" s="3">
        <v>39417</v>
      </c>
      <c r="B74" s="27">
        <v>4343672</v>
      </c>
      <c r="C74" s="23">
        <v>766.2</v>
      </c>
      <c r="D74" s="23">
        <v>0</v>
      </c>
      <c r="E74" s="19">
        <v>0</v>
      </c>
      <c r="F74" s="27">
        <f>Residential!G74</f>
        <v>112362.65568292001</v>
      </c>
      <c r="G74" s="19">
        <v>31</v>
      </c>
      <c r="H74" s="19">
        <v>1532</v>
      </c>
      <c r="I74" s="10">
        <f t="shared" si="1"/>
        <v>4318164.660851266</v>
      </c>
      <c r="J74" s="10"/>
      <c r="K74" s="15"/>
    </row>
    <row r="75" spans="1:9" ht="12.75">
      <c r="A75" s="3">
        <v>39448</v>
      </c>
      <c r="B75" s="27">
        <v>4434126</v>
      </c>
      <c r="C75" s="23">
        <f>'Weather Analysis'!R8</f>
        <v>753.1</v>
      </c>
      <c r="D75" s="23">
        <f>'Weather Analysis'!R28</f>
        <v>0</v>
      </c>
      <c r="E75" s="19">
        <v>0</v>
      </c>
      <c r="F75" s="27">
        <f>Residential!G75</f>
        <v>114091.44779339395</v>
      </c>
      <c r="G75" s="19">
        <v>31</v>
      </c>
      <c r="H75" s="19">
        <v>1530</v>
      </c>
      <c r="I75" s="10">
        <f t="shared" si="1"/>
        <v>4296196.872637104</v>
      </c>
    </row>
    <row r="76" spans="1:9" ht="12.75">
      <c r="A76" s="3">
        <v>39479</v>
      </c>
      <c r="B76" s="27">
        <v>4281752</v>
      </c>
      <c r="C76" s="23">
        <f>'Weather Analysis'!R9</f>
        <v>815.6</v>
      </c>
      <c r="D76" s="23">
        <f>'Weather Analysis'!R29</f>
        <v>0</v>
      </c>
      <c r="E76" s="19">
        <v>0</v>
      </c>
      <c r="F76" s="27">
        <f>Residential!G76</f>
        <v>115820.23990386789</v>
      </c>
      <c r="G76" s="19">
        <v>29</v>
      </c>
      <c r="H76" s="19">
        <v>1529</v>
      </c>
      <c r="I76" s="10">
        <f t="shared" si="1"/>
        <v>4387526.706292706</v>
      </c>
    </row>
    <row r="77" spans="1:9" ht="12.75">
      <c r="A77" s="3">
        <v>39508</v>
      </c>
      <c r="B77" s="27">
        <v>4224871</v>
      </c>
      <c r="C77" s="23">
        <f>'Weather Analysis'!R10</f>
        <v>760.5</v>
      </c>
      <c r="D77" s="23">
        <f>'Weather Analysis'!R30</f>
        <v>0</v>
      </c>
      <c r="E77" s="19">
        <v>1</v>
      </c>
      <c r="F77" s="27">
        <f>Residential!G77</f>
        <v>117549.03201434182</v>
      </c>
      <c r="G77" s="19">
        <v>31</v>
      </c>
      <c r="H77" s="19">
        <v>1531</v>
      </c>
      <c r="I77" s="10">
        <f t="shared" si="1"/>
        <v>4048908.291736783</v>
      </c>
    </row>
    <row r="78" spans="1:9" ht="12.75">
      <c r="A78" s="3">
        <v>39539</v>
      </c>
      <c r="B78" s="27">
        <v>3454697</v>
      </c>
      <c r="C78" s="23">
        <f>'Weather Analysis'!R11</f>
        <v>348.6</v>
      </c>
      <c r="D78" s="23">
        <f>'Weather Analysis'!R31</f>
        <v>0</v>
      </c>
      <c r="E78" s="19">
        <v>1</v>
      </c>
      <c r="F78" s="27">
        <f>Residential!G78</f>
        <v>119277.82412481576</v>
      </c>
      <c r="G78" s="19">
        <v>30</v>
      </c>
      <c r="H78" s="19">
        <v>1532</v>
      </c>
      <c r="I78" s="10">
        <f t="shared" si="1"/>
        <v>3429280.5617016945</v>
      </c>
    </row>
    <row r="79" spans="1:9" ht="12.75">
      <c r="A79" s="3">
        <v>39569</v>
      </c>
      <c r="B79" s="27">
        <v>3277392</v>
      </c>
      <c r="C79" s="23">
        <f>'Weather Analysis'!R12</f>
        <v>277.3</v>
      </c>
      <c r="D79" s="23">
        <f>'Weather Analysis'!R32</f>
        <v>0</v>
      </c>
      <c r="E79" s="19">
        <v>1</v>
      </c>
      <c r="F79" s="27">
        <f>Residential!G79</f>
        <v>121006.6162352897</v>
      </c>
      <c r="G79" s="19">
        <v>31</v>
      </c>
      <c r="H79" s="19">
        <v>1535</v>
      </c>
      <c r="I79" s="10">
        <f t="shared" si="1"/>
        <v>3320091.5883973166</v>
      </c>
    </row>
    <row r="80" spans="1:9" ht="12.75">
      <c r="A80" s="3">
        <v>39600</v>
      </c>
      <c r="B80" s="27">
        <v>3387944</v>
      </c>
      <c r="C80" s="23">
        <f>'Weather Analysis'!R13</f>
        <v>48.4</v>
      </c>
      <c r="D80" s="23">
        <f>'Weather Analysis'!R33</f>
        <v>36.4</v>
      </c>
      <c r="E80" s="19">
        <v>0</v>
      </c>
      <c r="F80" s="27">
        <f>Residential!G80</f>
        <v>122735.40834576363</v>
      </c>
      <c r="G80" s="19">
        <v>30</v>
      </c>
      <c r="H80" s="19">
        <v>1535</v>
      </c>
      <c r="I80" s="10">
        <f t="shared" si="1"/>
        <v>3588738.766309655</v>
      </c>
    </row>
    <row r="81" spans="1:9" ht="12.75">
      <c r="A81" s="3">
        <v>39630</v>
      </c>
      <c r="B81" s="27">
        <v>3741127</v>
      </c>
      <c r="C81" s="23">
        <f>'Weather Analysis'!R14</f>
        <v>13.9</v>
      </c>
      <c r="D81" s="23">
        <f>'Weather Analysis'!R34</f>
        <v>54.1</v>
      </c>
      <c r="E81" s="19">
        <v>0</v>
      </c>
      <c r="F81" s="27">
        <f>Residential!G81</f>
        <v>124464.20045623757</v>
      </c>
      <c r="G81" s="19">
        <v>31</v>
      </c>
      <c r="H81" s="19">
        <v>1537</v>
      </c>
      <c r="I81" s="10">
        <f t="shared" si="1"/>
        <v>3709908.1856621145</v>
      </c>
    </row>
    <row r="82" spans="1:9" ht="12.75">
      <c r="A82" s="3">
        <v>39661</v>
      </c>
      <c r="B82" s="27">
        <v>3664688</v>
      </c>
      <c r="C82" s="23">
        <f>'Weather Analysis'!R15</f>
        <v>39.4</v>
      </c>
      <c r="D82" s="23">
        <f>'Weather Analysis'!R35</f>
        <v>26</v>
      </c>
      <c r="E82" s="19">
        <v>0</v>
      </c>
      <c r="F82" s="27">
        <f>Residential!G82</f>
        <v>126192.9925667115</v>
      </c>
      <c r="G82" s="19">
        <v>31</v>
      </c>
      <c r="H82" s="19">
        <v>1543</v>
      </c>
      <c r="I82" s="10">
        <f t="shared" si="1"/>
        <v>3467632.6903756917</v>
      </c>
    </row>
    <row r="83" spans="1:9" ht="12.75">
      <c r="A83" s="3">
        <v>39692</v>
      </c>
      <c r="B83" s="27">
        <v>3261971</v>
      </c>
      <c r="C83" s="23">
        <f>'Weather Analysis'!R16</f>
        <v>132.7</v>
      </c>
      <c r="D83" s="23">
        <f>'Weather Analysis'!R36</f>
        <v>5.1</v>
      </c>
      <c r="E83" s="19">
        <v>1</v>
      </c>
      <c r="F83" s="27">
        <f>Residential!G83</f>
        <v>127921.78467718544</v>
      </c>
      <c r="G83" s="19">
        <v>30</v>
      </c>
      <c r="H83" s="19">
        <v>1543</v>
      </c>
      <c r="I83" s="10">
        <f t="shared" si="1"/>
        <v>3144529.020096693</v>
      </c>
    </row>
    <row r="84" spans="1:9" ht="12.75">
      <c r="A84" s="3">
        <v>39722</v>
      </c>
      <c r="B84" s="27">
        <v>3426380</v>
      </c>
      <c r="C84" s="23">
        <f>'Weather Analysis'!R17</f>
        <v>372.5</v>
      </c>
      <c r="D84" s="23">
        <f>'Weather Analysis'!R37</f>
        <v>0</v>
      </c>
      <c r="E84" s="19">
        <v>1</v>
      </c>
      <c r="F84" s="27">
        <f>Residential!G84</f>
        <v>129650.57678765937</v>
      </c>
      <c r="G84" s="19">
        <v>31</v>
      </c>
      <c r="H84" s="19">
        <v>1543</v>
      </c>
      <c r="I84" s="10">
        <f t="shared" si="1"/>
        <v>3451085.02608935</v>
      </c>
    </row>
    <row r="85" spans="1:9" ht="12.75">
      <c r="A85" s="3">
        <v>39753</v>
      </c>
      <c r="B85" s="27">
        <v>3783852</v>
      </c>
      <c r="C85" s="23">
        <f>'Weather Analysis'!R18</f>
        <v>555.9</v>
      </c>
      <c r="D85" s="23">
        <f>'Weather Analysis'!R38</f>
        <v>0</v>
      </c>
      <c r="E85" s="19">
        <v>1</v>
      </c>
      <c r="F85" s="27">
        <f>Residential!G85</f>
        <v>131379.3688981333</v>
      </c>
      <c r="G85" s="19">
        <v>30</v>
      </c>
      <c r="H85" s="19">
        <v>1543</v>
      </c>
      <c r="I85" s="10">
        <f t="shared" si="1"/>
        <v>3723601.1359890597</v>
      </c>
    </row>
    <row r="86" spans="1:9" ht="12.75">
      <c r="A86" s="3">
        <v>39783</v>
      </c>
      <c r="B86" s="27">
        <v>4473434</v>
      </c>
      <c r="C86" s="23">
        <f>'Weather Analysis'!R19</f>
        <v>782.6</v>
      </c>
      <c r="D86" s="23">
        <f>'Weather Analysis'!R39</f>
        <v>0</v>
      </c>
      <c r="E86" s="19">
        <v>0</v>
      </c>
      <c r="F86" s="27">
        <f>Residential!G86</f>
        <v>133108.16100860725</v>
      </c>
      <c r="G86" s="19">
        <v>31</v>
      </c>
      <c r="H86" s="19">
        <v>1544</v>
      </c>
      <c r="I86" s="10">
        <f t="shared" si="1"/>
        <v>4314716.111760036</v>
      </c>
    </row>
    <row r="87" spans="1:32" s="16" customFormat="1" ht="12.75">
      <c r="A87" s="3">
        <v>39814</v>
      </c>
      <c r="B87" s="27">
        <v>4693029</v>
      </c>
      <c r="C87" s="23">
        <f>'Weather Analysis'!S8</f>
        <v>995.4</v>
      </c>
      <c r="D87" s="23">
        <f>'Weather Analysis'!S28</f>
        <v>0</v>
      </c>
      <c r="E87" s="19">
        <v>0</v>
      </c>
      <c r="F87" s="27">
        <f>Residential!G87</f>
        <v>140636.9675999444</v>
      </c>
      <c r="G87" s="19">
        <v>31</v>
      </c>
      <c r="H87" s="19">
        <v>1544</v>
      </c>
      <c r="I87" s="10">
        <f t="shared" si="1"/>
        <v>4623456.822558948</v>
      </c>
      <c r="J87" s="47"/>
      <c r="K87" s="1"/>
      <c r="L87"/>
      <c r="M87"/>
      <c r="N87"/>
      <c r="O87"/>
      <c r="P87"/>
      <c r="Q87"/>
      <c r="R87"/>
      <c r="S87"/>
      <c r="T87"/>
      <c r="U87"/>
      <c r="V87"/>
      <c r="W87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10" ht="12.75">
      <c r="A88" s="3">
        <v>39845</v>
      </c>
      <c r="B88" s="27">
        <v>3996228</v>
      </c>
      <c r="C88" s="23">
        <f>'Weather Analysis'!S9</f>
        <v>723.7</v>
      </c>
      <c r="D88" s="23">
        <f>'Weather Analysis'!S29</f>
        <v>0</v>
      </c>
      <c r="E88" s="19">
        <v>0</v>
      </c>
      <c r="F88" s="27">
        <f>Residential!G88</f>
        <v>148165.77419128153</v>
      </c>
      <c r="G88" s="19">
        <v>28</v>
      </c>
      <c r="H88" s="19">
        <v>1547</v>
      </c>
      <c r="I88" s="10">
        <f t="shared" si="1"/>
        <v>4206103.647168695</v>
      </c>
      <c r="J88" s="47"/>
    </row>
    <row r="89" spans="1:10" ht="12.75">
      <c r="A89" s="3">
        <v>39873</v>
      </c>
      <c r="B89" s="27">
        <v>4007180</v>
      </c>
      <c r="C89" s="23">
        <f>'Weather Analysis'!S10</f>
        <v>652.3</v>
      </c>
      <c r="D89" s="23">
        <f>'Weather Analysis'!S30</f>
        <v>0</v>
      </c>
      <c r="E89" s="19">
        <v>1</v>
      </c>
      <c r="F89" s="27">
        <f>Residential!G89</f>
        <v>155694.58078261866</v>
      </c>
      <c r="G89" s="19">
        <v>31</v>
      </c>
      <c r="H89" s="19">
        <v>1546</v>
      </c>
      <c r="I89" s="10">
        <f t="shared" si="1"/>
        <v>3835221.7208208605</v>
      </c>
      <c r="J89" s="47"/>
    </row>
    <row r="90" spans="1:10" ht="12.75">
      <c r="A90" s="3">
        <v>39904</v>
      </c>
      <c r="B90" s="27">
        <v>3293116</v>
      </c>
      <c r="C90" s="23">
        <f>'Weather Analysis'!S11</f>
        <v>379.9</v>
      </c>
      <c r="D90" s="23">
        <f>'Weather Analysis'!S31</f>
        <v>0</v>
      </c>
      <c r="E90" s="19">
        <v>1</v>
      </c>
      <c r="F90" s="27">
        <f>Residential!G90</f>
        <v>163223.3873739558</v>
      </c>
      <c r="G90" s="19">
        <v>30</v>
      </c>
      <c r="H90" s="19">
        <v>1544</v>
      </c>
      <c r="I90" s="10">
        <f t="shared" si="1"/>
        <v>3416819.4933762588</v>
      </c>
      <c r="J90" s="47"/>
    </row>
    <row r="91" spans="1:10" ht="12.75">
      <c r="A91" s="3">
        <v>39934</v>
      </c>
      <c r="B91" s="27">
        <v>3160898</v>
      </c>
      <c r="C91" s="23">
        <f>'Weather Analysis'!S12</f>
        <v>231</v>
      </c>
      <c r="D91" s="23">
        <f>'Weather Analysis'!S32</f>
        <v>0</v>
      </c>
      <c r="E91" s="19">
        <v>1</v>
      </c>
      <c r="F91" s="27">
        <f>Residential!G91</f>
        <v>170752.19396529294</v>
      </c>
      <c r="G91" s="19">
        <v>31</v>
      </c>
      <c r="H91" s="19">
        <v>1549</v>
      </c>
      <c r="I91" s="10">
        <f t="shared" si="1"/>
        <v>3183500.0212347764</v>
      </c>
      <c r="J91" s="47"/>
    </row>
    <row r="92" spans="1:10" ht="12.75">
      <c r="A92" s="3">
        <v>39965</v>
      </c>
      <c r="B92" s="27">
        <v>3217533</v>
      </c>
      <c r="C92" s="23">
        <f>'Weather Analysis'!S13</f>
        <v>105.4</v>
      </c>
      <c r="D92" s="23">
        <f>'Weather Analysis'!S33</f>
        <v>19.1</v>
      </c>
      <c r="E92" s="19">
        <v>0</v>
      </c>
      <c r="F92" s="27">
        <f>Residential!G92</f>
        <v>178281.00055663008</v>
      </c>
      <c r="G92" s="19">
        <v>30</v>
      </c>
      <c r="H92" s="19">
        <v>1549</v>
      </c>
      <c r="I92" s="10">
        <f t="shared" si="1"/>
        <v>3427873.0045223366</v>
      </c>
      <c r="J92" s="47"/>
    </row>
    <row r="93" spans="1:10" ht="12.75">
      <c r="A93" s="3">
        <v>39995</v>
      </c>
      <c r="B93" s="27">
        <v>3499748</v>
      </c>
      <c r="C93" s="23">
        <f>'Weather Analysis'!S14</f>
        <v>38.6</v>
      </c>
      <c r="D93" s="23">
        <f>'Weather Analysis'!S34</f>
        <v>10.3</v>
      </c>
      <c r="E93" s="19">
        <v>0</v>
      </c>
      <c r="F93" s="27">
        <f>Residential!G93</f>
        <v>185809.80714796722</v>
      </c>
      <c r="G93" s="19">
        <v>31</v>
      </c>
      <c r="H93" s="19">
        <v>1553</v>
      </c>
      <c r="I93" s="10">
        <f t="shared" si="1"/>
        <v>3230483.1766370116</v>
      </c>
      <c r="J93" s="47"/>
    </row>
    <row r="94" spans="1:10" ht="12.75">
      <c r="A94" s="3">
        <v>40026</v>
      </c>
      <c r="B94" s="27">
        <v>3589014</v>
      </c>
      <c r="C94" s="23">
        <f>'Weather Analysis'!S15</f>
        <v>56.9</v>
      </c>
      <c r="D94" s="23">
        <f>'Weather Analysis'!S35</f>
        <v>39.8</v>
      </c>
      <c r="E94" s="19">
        <v>0</v>
      </c>
      <c r="F94" s="27">
        <f>Residential!G94</f>
        <v>193338.61373930436</v>
      </c>
      <c r="G94" s="19">
        <v>31</v>
      </c>
      <c r="H94" s="19">
        <v>1552</v>
      </c>
      <c r="I94" s="10">
        <f t="shared" si="1"/>
        <v>3539750.993429047</v>
      </c>
      <c r="J94" s="47"/>
    </row>
    <row r="95" spans="1:10" ht="12.75">
      <c r="A95" s="3">
        <v>40057</v>
      </c>
      <c r="B95" s="27">
        <v>3212977</v>
      </c>
      <c r="C95" s="23">
        <f>'Weather Analysis'!S16</f>
        <v>115.6</v>
      </c>
      <c r="D95" s="23">
        <f>'Weather Analysis'!S36</f>
        <v>2.7</v>
      </c>
      <c r="E95" s="19">
        <v>1</v>
      </c>
      <c r="F95" s="27">
        <f>Residential!G95</f>
        <v>200867.4203306415</v>
      </c>
      <c r="G95" s="19">
        <v>30</v>
      </c>
      <c r="H95" s="19">
        <v>1554</v>
      </c>
      <c r="I95" s="10">
        <f t="shared" si="1"/>
        <v>2996598.520726026</v>
      </c>
      <c r="J95" s="47"/>
    </row>
    <row r="96" spans="1:10" ht="12.75">
      <c r="A96" s="3">
        <v>40087</v>
      </c>
      <c r="B96" s="27">
        <v>3302017</v>
      </c>
      <c r="C96" s="23">
        <f>'Weather Analysis'!S17</f>
        <v>341.6</v>
      </c>
      <c r="D96" s="23">
        <f>'Weather Analysis'!S37</f>
        <v>0</v>
      </c>
      <c r="E96" s="19">
        <v>1</v>
      </c>
      <c r="F96" s="27">
        <f>Residential!G96</f>
        <v>208396.22692197864</v>
      </c>
      <c r="G96" s="19">
        <v>31</v>
      </c>
      <c r="H96" s="19">
        <v>1547</v>
      </c>
      <c r="I96" s="10">
        <f t="shared" si="1"/>
        <v>3298394.6772050853</v>
      </c>
      <c r="J96" s="47"/>
    </row>
    <row r="97" spans="1:10" ht="12.75">
      <c r="A97" s="3">
        <v>40118</v>
      </c>
      <c r="B97" s="27">
        <v>3363266</v>
      </c>
      <c r="C97" s="23">
        <f>'Weather Analysis'!S18</f>
        <v>414.1</v>
      </c>
      <c r="D97" s="23">
        <f>'Weather Analysis'!S38</f>
        <v>0</v>
      </c>
      <c r="E97" s="19">
        <v>1</v>
      </c>
      <c r="F97" s="27">
        <f>Residential!G97</f>
        <v>215925.03351331578</v>
      </c>
      <c r="G97" s="19">
        <v>30</v>
      </c>
      <c r="H97" s="19">
        <v>1547</v>
      </c>
      <c r="I97" s="10">
        <f t="shared" si="1"/>
        <v>3396875.3833964844</v>
      </c>
      <c r="J97" s="47"/>
    </row>
    <row r="98" spans="1:32" s="33" customFormat="1" ht="12.75">
      <c r="A98" s="3">
        <v>40148</v>
      </c>
      <c r="B98" s="27">
        <v>4080764</v>
      </c>
      <c r="C98" s="23">
        <f>'Weather Analysis'!S19</f>
        <v>750.2</v>
      </c>
      <c r="D98" s="23">
        <f>'Weather Analysis'!S39</f>
        <v>0</v>
      </c>
      <c r="E98" s="19">
        <v>0</v>
      </c>
      <c r="F98" s="27">
        <f>Residential!G98</f>
        <v>223453.84010465292</v>
      </c>
      <c r="G98" s="19">
        <v>31</v>
      </c>
      <c r="H98" s="19">
        <v>1547</v>
      </c>
      <c r="I98" s="10">
        <f t="shared" si="1"/>
        <v>4144106.6234209114</v>
      </c>
      <c r="J98" s="47"/>
      <c r="K98" s="1"/>
      <c r="L98"/>
      <c r="M98"/>
      <c r="N98"/>
      <c r="O98"/>
      <c r="P98"/>
      <c r="Q98"/>
      <c r="R98"/>
      <c r="S98"/>
      <c r="T98"/>
      <c r="U98"/>
      <c r="V98"/>
      <c r="W98"/>
      <c r="X98" s="27"/>
      <c r="Y98" s="27"/>
      <c r="Z98" s="27"/>
      <c r="AA98" s="27"/>
      <c r="AB98" s="27"/>
      <c r="AC98" s="27"/>
      <c r="AD98" s="27"/>
      <c r="AE98" s="27"/>
      <c r="AF98" s="27"/>
    </row>
    <row r="99" spans="1:26" ht="12.75">
      <c r="A99" s="3">
        <v>40179</v>
      </c>
      <c r="B99" s="27">
        <v>4312532</v>
      </c>
      <c r="C99" s="23">
        <f>'Weather Analysis'!T8</f>
        <v>839.2</v>
      </c>
      <c r="D99" s="23">
        <f>'Weather Analysis'!T28</f>
        <v>0</v>
      </c>
      <c r="E99" s="19">
        <v>0</v>
      </c>
      <c r="F99" s="27">
        <f>Residential!G99</f>
        <v>215982.78044620546</v>
      </c>
      <c r="G99" s="19">
        <v>31</v>
      </c>
      <c r="H99" s="19">
        <v>1549</v>
      </c>
      <c r="I99" s="10">
        <f t="shared" si="1"/>
        <v>4287579.198851145</v>
      </c>
      <c r="J99" s="47"/>
      <c r="X99" s="11"/>
      <c r="Y99" s="11"/>
      <c r="Z99" s="11"/>
    </row>
    <row r="100" spans="1:10" ht="12.75">
      <c r="A100" s="3">
        <v>40210</v>
      </c>
      <c r="B100" s="27">
        <v>3840843</v>
      </c>
      <c r="C100" s="23">
        <f>'Weather Analysis'!T9</f>
        <v>647.5</v>
      </c>
      <c r="D100" s="23">
        <f>'Weather Analysis'!T29</f>
        <v>0</v>
      </c>
      <c r="E100" s="19">
        <v>0</v>
      </c>
      <c r="F100" s="27">
        <f>Residential!G100</f>
        <v>208511.720787758</v>
      </c>
      <c r="G100" s="19">
        <v>28</v>
      </c>
      <c r="H100" s="19">
        <v>1549</v>
      </c>
      <c r="I100" s="10">
        <f t="shared" si="1"/>
        <v>4010381.9004871594</v>
      </c>
      <c r="J100" s="47"/>
    </row>
    <row r="101" spans="1:10" ht="12.75">
      <c r="A101" s="3">
        <v>40238</v>
      </c>
      <c r="B101" s="27">
        <v>3558896</v>
      </c>
      <c r="C101" s="23">
        <f>'Weather Analysis'!T10</f>
        <v>427</v>
      </c>
      <c r="D101" s="23">
        <f>'Weather Analysis'!T30</f>
        <v>0</v>
      </c>
      <c r="E101" s="19">
        <v>1</v>
      </c>
      <c r="F101" s="27">
        <f>Residential!G101</f>
        <v>201040.66112931055</v>
      </c>
      <c r="G101" s="19">
        <v>31</v>
      </c>
      <c r="H101" s="19">
        <v>1547</v>
      </c>
      <c r="I101" s="10">
        <f t="shared" si="1"/>
        <v>3436316.1002348647</v>
      </c>
      <c r="J101" s="47"/>
    </row>
    <row r="102" spans="1:10" ht="12.75">
      <c r="A102" s="3">
        <v>40269</v>
      </c>
      <c r="B102" s="27">
        <v>3045834</v>
      </c>
      <c r="C102" s="23">
        <f>'Weather Analysis'!T11</f>
        <v>287.3</v>
      </c>
      <c r="D102" s="23">
        <f>'Weather Analysis'!T31</f>
        <v>0</v>
      </c>
      <c r="E102" s="19">
        <v>1</v>
      </c>
      <c r="F102" s="27">
        <f>Residential!G102</f>
        <v>193569.6014708631</v>
      </c>
      <c r="G102" s="19">
        <v>30</v>
      </c>
      <c r="H102" s="19">
        <v>1550</v>
      </c>
      <c r="I102" s="10">
        <f t="shared" si="1"/>
        <v>3237048.383051141</v>
      </c>
      <c r="J102" s="47"/>
    </row>
    <row r="103" spans="1:10" ht="12.75">
      <c r="A103" s="3">
        <v>40299</v>
      </c>
      <c r="B103" s="27">
        <v>3221337</v>
      </c>
      <c r="C103" s="23">
        <f>'Weather Analysis'!T12</f>
        <v>151.6</v>
      </c>
      <c r="D103" s="23">
        <f>'Weather Analysis'!T32</f>
        <v>22.9</v>
      </c>
      <c r="E103" s="19">
        <v>1</v>
      </c>
      <c r="F103" s="27">
        <f>Residential!G103</f>
        <v>186098.54181241564</v>
      </c>
      <c r="G103" s="19">
        <v>31</v>
      </c>
      <c r="H103" s="19">
        <v>1554</v>
      </c>
      <c r="I103" s="10">
        <f t="shared" si="1"/>
        <v>3270457.080112413</v>
      </c>
      <c r="J103" s="47"/>
    </row>
    <row r="104" spans="1:10" ht="12.75">
      <c r="A104" s="3">
        <v>40330</v>
      </c>
      <c r="B104" s="27">
        <v>3314646</v>
      </c>
      <c r="C104" s="23">
        <f>'Weather Analysis'!T13</f>
        <v>66.2</v>
      </c>
      <c r="D104" s="23">
        <f>'Weather Analysis'!T33</f>
        <v>12</v>
      </c>
      <c r="E104" s="19">
        <v>0</v>
      </c>
      <c r="F104" s="27">
        <f>Residential!G104</f>
        <v>178627.4821539682</v>
      </c>
      <c r="G104" s="19">
        <v>30</v>
      </c>
      <c r="H104" s="19">
        <v>1553</v>
      </c>
      <c r="I104" s="10">
        <f t="shared" si="1"/>
        <v>3298376.740426345</v>
      </c>
      <c r="J104" s="47"/>
    </row>
    <row r="105" spans="1:10" ht="12.75">
      <c r="A105" s="3">
        <v>40360</v>
      </c>
      <c r="B105" s="27">
        <v>3957008</v>
      </c>
      <c r="C105" s="23">
        <f>'Weather Analysis'!T14</f>
        <v>13.1</v>
      </c>
      <c r="D105" s="23">
        <f>'Weather Analysis'!T34</f>
        <v>95.7</v>
      </c>
      <c r="E105" s="19">
        <v>0</v>
      </c>
      <c r="F105" s="27">
        <f>Residential!G105</f>
        <v>171156.42249552073</v>
      </c>
      <c r="G105" s="19">
        <v>31</v>
      </c>
      <c r="H105" s="19">
        <v>1555</v>
      </c>
      <c r="I105" s="10">
        <f t="shared" si="1"/>
        <v>4057418.790796025</v>
      </c>
      <c r="J105" s="47"/>
    </row>
    <row r="106" spans="1:10" ht="12.75">
      <c r="A106" s="3">
        <v>40391</v>
      </c>
      <c r="B106" s="27">
        <v>3483296</v>
      </c>
      <c r="C106" s="23">
        <f>'Weather Analysis'!T15</f>
        <v>25.9</v>
      </c>
      <c r="D106" s="23">
        <f>'Weather Analysis'!T35</f>
        <v>61.1</v>
      </c>
      <c r="E106" s="19">
        <v>0</v>
      </c>
      <c r="F106" s="27">
        <f>Residential!G106</f>
        <v>163685.36283707328</v>
      </c>
      <c r="G106" s="19">
        <v>31</v>
      </c>
      <c r="H106" s="19">
        <v>1555</v>
      </c>
      <c r="I106" s="10">
        <f t="shared" si="1"/>
        <v>3744197.117786401</v>
      </c>
      <c r="J106" s="47"/>
    </row>
    <row r="107" spans="1:10" ht="12.75">
      <c r="A107" s="3">
        <v>40422</v>
      </c>
      <c r="B107" s="27">
        <v>3090081</v>
      </c>
      <c r="C107" s="23">
        <f>'Weather Analysis'!T16</f>
        <v>143.1</v>
      </c>
      <c r="D107" s="23">
        <f>'Weather Analysis'!T36</f>
        <v>17.5</v>
      </c>
      <c r="E107" s="19">
        <v>1</v>
      </c>
      <c r="F107" s="27">
        <f>Residential!G107</f>
        <v>156214.30317862582</v>
      </c>
      <c r="G107" s="19">
        <v>30</v>
      </c>
      <c r="H107" s="19">
        <v>1555</v>
      </c>
      <c r="I107" s="10">
        <f t="shared" si="1"/>
        <v>3244637.633128944</v>
      </c>
      <c r="J107" s="47"/>
    </row>
    <row r="108" spans="1:10" ht="12.75">
      <c r="A108" s="3">
        <v>40452</v>
      </c>
      <c r="B108" s="27">
        <v>3187753</v>
      </c>
      <c r="C108" s="23">
        <f>'Weather Analysis'!T17</f>
        <v>318.6</v>
      </c>
      <c r="D108" s="23">
        <f>'Weather Analysis'!T37</f>
        <v>0</v>
      </c>
      <c r="E108" s="19">
        <v>1</v>
      </c>
      <c r="F108" s="27">
        <f>Residential!G108</f>
        <v>148743.24352017837</v>
      </c>
      <c r="G108" s="19">
        <v>31</v>
      </c>
      <c r="H108" s="19">
        <v>1552</v>
      </c>
      <c r="I108" s="10">
        <f t="shared" si="1"/>
        <v>3344514.596030282</v>
      </c>
      <c r="J108" s="47"/>
    </row>
    <row r="109" spans="1:10" ht="12.75">
      <c r="A109" s="3">
        <v>40483</v>
      </c>
      <c r="B109" s="27">
        <v>3561988</v>
      </c>
      <c r="C109" s="23">
        <f>'Weather Analysis'!T18</f>
        <v>398.8</v>
      </c>
      <c r="D109" s="23">
        <f>'Weather Analysis'!T38</f>
        <v>0</v>
      </c>
      <c r="E109" s="19">
        <v>1</v>
      </c>
      <c r="F109" s="27">
        <f>Residential!G109</f>
        <v>141272.1838617309</v>
      </c>
      <c r="G109" s="19">
        <v>30</v>
      </c>
      <c r="H109" s="19">
        <v>1556</v>
      </c>
      <c r="I109" s="10">
        <f t="shared" si="1"/>
        <v>3474799.0884915474</v>
      </c>
      <c r="J109" s="47"/>
    </row>
    <row r="110" spans="1:10" ht="12.75">
      <c r="A110" s="3">
        <v>40513</v>
      </c>
      <c r="B110" s="27">
        <v>4413802</v>
      </c>
      <c r="C110" s="23">
        <f>'Weather Analysis'!T19</f>
        <v>776.1</v>
      </c>
      <c r="D110" s="23">
        <f>'Weather Analysis'!T39</f>
        <v>0</v>
      </c>
      <c r="E110" s="19">
        <v>0</v>
      </c>
      <c r="F110" s="27">
        <f>Residential!G110</f>
        <v>133801.12420328346</v>
      </c>
      <c r="G110" s="19">
        <v>31</v>
      </c>
      <c r="H110" s="19">
        <v>1558</v>
      </c>
      <c r="I110" s="10">
        <f t="shared" si="1"/>
        <v>4304038.748815432</v>
      </c>
      <c r="J110" s="47"/>
    </row>
    <row r="111" spans="1:10" ht="12.75">
      <c r="A111" s="3">
        <v>40544</v>
      </c>
      <c r="B111" s="27">
        <v>4266523</v>
      </c>
      <c r="C111" s="23">
        <f>'Weather Analysis'!U8</f>
        <v>891.9</v>
      </c>
      <c r="D111" s="23">
        <f>'Weather Analysis'!U28</f>
        <v>0</v>
      </c>
      <c r="E111" s="19">
        <v>0</v>
      </c>
      <c r="F111" s="27">
        <f>Residential!G111</f>
        <v>143447.48113738885</v>
      </c>
      <c r="G111" s="73">
        <v>31</v>
      </c>
      <c r="H111" s="19">
        <v>1559</v>
      </c>
      <c r="I111" s="10">
        <f t="shared" si="1"/>
        <v>4464550.092782005</v>
      </c>
      <c r="J111" s="47"/>
    </row>
    <row r="112" spans="1:10" ht="12.75">
      <c r="A112" s="3">
        <v>40575</v>
      </c>
      <c r="B112" s="27">
        <v>4101244</v>
      </c>
      <c r="C112" s="23">
        <f>'Weather Analysis'!U9</f>
        <v>650.9</v>
      </c>
      <c r="D112" s="23">
        <f>'Weather Analysis'!U29</f>
        <v>0</v>
      </c>
      <c r="E112" s="19">
        <v>0</v>
      </c>
      <c r="F112" s="27">
        <f>Residential!G112</f>
        <v>153093.83807149425</v>
      </c>
      <c r="G112" s="73">
        <v>28</v>
      </c>
      <c r="H112" s="19">
        <v>1560</v>
      </c>
      <c r="I112" s="10">
        <f t="shared" si="1"/>
        <v>4090344.618188631</v>
      </c>
      <c r="J112" s="47"/>
    </row>
    <row r="113" spans="1:10" ht="12.75">
      <c r="A113" s="3">
        <v>40603</v>
      </c>
      <c r="B113" s="27">
        <v>3999450</v>
      </c>
      <c r="C113" s="23">
        <f>'Weather Analysis'!U10</f>
        <v>574.8</v>
      </c>
      <c r="D113" s="23">
        <f>'Weather Analysis'!U30</f>
        <v>0</v>
      </c>
      <c r="E113" s="19">
        <v>1</v>
      </c>
      <c r="F113" s="27">
        <f>Residential!G113</f>
        <v>162740.19500559964</v>
      </c>
      <c r="G113" s="73">
        <v>31</v>
      </c>
      <c r="H113" s="19">
        <v>1560</v>
      </c>
      <c r="I113" s="10">
        <f t="shared" si="1"/>
        <v>3709558.3316034214</v>
      </c>
      <c r="J113" s="47"/>
    </row>
    <row r="114" spans="1:10" ht="12.75">
      <c r="A114" s="3">
        <v>40634</v>
      </c>
      <c r="B114" s="27">
        <v>3203926</v>
      </c>
      <c r="C114" s="23">
        <f>'Weather Analysis'!U11</f>
        <v>400.5</v>
      </c>
      <c r="D114" s="23">
        <f>'Weather Analysis'!U31</f>
        <v>0</v>
      </c>
      <c r="E114" s="19">
        <v>1</v>
      </c>
      <c r="F114" s="27">
        <f>Residential!G114</f>
        <v>172386.55193970504</v>
      </c>
      <c r="G114" s="73">
        <v>30</v>
      </c>
      <c r="H114" s="19">
        <v>1562</v>
      </c>
      <c r="I114" s="10">
        <f t="shared" si="1"/>
        <v>3435312.5313316523</v>
      </c>
      <c r="J114" s="47"/>
    </row>
    <row r="115" spans="1:10" ht="12.75">
      <c r="A115" s="3">
        <v>40664</v>
      </c>
      <c r="B115" s="27">
        <v>3123674</v>
      </c>
      <c r="C115" s="23">
        <f>'Weather Analysis'!U12</f>
        <v>154.9</v>
      </c>
      <c r="D115" s="23">
        <f>'Weather Analysis'!U32</f>
        <v>10.1</v>
      </c>
      <c r="E115" s="19">
        <v>1</v>
      </c>
      <c r="F115" s="27">
        <f>Residential!G115</f>
        <v>182032.90887381043</v>
      </c>
      <c r="G115" s="73">
        <v>31</v>
      </c>
      <c r="H115" s="19">
        <v>1568</v>
      </c>
      <c r="I115" s="10">
        <f t="shared" si="1"/>
        <v>3154190.862247399</v>
      </c>
      <c r="J115" s="47"/>
    </row>
    <row r="116" spans="1:10" ht="12.75">
      <c r="A116" s="3">
        <v>40695</v>
      </c>
      <c r="B116" s="27">
        <v>3172369.81</v>
      </c>
      <c r="C116" s="23">
        <f>'Weather Analysis'!U13</f>
        <v>57.7</v>
      </c>
      <c r="D116" s="23">
        <f>'Weather Analysis'!U33</f>
        <v>13.4</v>
      </c>
      <c r="E116" s="19">
        <v>0</v>
      </c>
      <c r="F116" s="27">
        <f>Residential!G116</f>
        <v>191679.26580791583</v>
      </c>
      <c r="G116" s="73">
        <v>30</v>
      </c>
      <c r="H116" s="19">
        <v>1568</v>
      </c>
      <c r="I116" s="10">
        <f t="shared" si="1"/>
        <v>3281864.0963369934</v>
      </c>
      <c r="J116" s="47"/>
    </row>
    <row r="117" spans="1:10" ht="12.75">
      <c r="A117" s="3">
        <v>40725</v>
      </c>
      <c r="B117" s="27">
        <v>3772352.37</v>
      </c>
      <c r="C117" s="23">
        <f>'Weather Analysis'!U14</f>
        <v>2</v>
      </c>
      <c r="D117" s="23">
        <f>'Weather Analysis'!U34</f>
        <v>83</v>
      </c>
      <c r="E117" s="19">
        <v>0</v>
      </c>
      <c r="F117" s="27">
        <f>Residential!G117</f>
        <v>201325.62274202122</v>
      </c>
      <c r="G117" s="73">
        <v>31</v>
      </c>
      <c r="H117" s="19">
        <v>1561</v>
      </c>
      <c r="I117" s="10">
        <f t="shared" si="1"/>
        <v>3874312.0731441826</v>
      </c>
      <c r="J117" s="47"/>
    </row>
    <row r="118" spans="1:10" ht="12.75">
      <c r="A118" s="3">
        <v>40756</v>
      </c>
      <c r="B118" s="27">
        <v>3507767.38</v>
      </c>
      <c r="C118" s="23">
        <f>'Weather Analysis'!U15</f>
        <v>15.9</v>
      </c>
      <c r="D118" s="23">
        <f>'Weather Analysis'!U35</f>
        <v>38</v>
      </c>
      <c r="E118" s="19">
        <v>0</v>
      </c>
      <c r="F118" s="27">
        <f>Residential!G118</f>
        <v>210971.97967612662</v>
      </c>
      <c r="G118" s="73">
        <v>31</v>
      </c>
      <c r="H118" s="19">
        <v>1560</v>
      </c>
      <c r="I118" s="10">
        <f t="shared" si="1"/>
        <v>3436666.764691546</v>
      </c>
      <c r="J118" s="47"/>
    </row>
    <row r="119" spans="1:10" ht="12.75">
      <c r="A119" s="3">
        <v>40787</v>
      </c>
      <c r="B119" s="27">
        <v>3061047.88</v>
      </c>
      <c r="C119" s="23">
        <f>'Weather Analysis'!U16</f>
        <v>109.1</v>
      </c>
      <c r="D119" s="23">
        <f>'Weather Analysis'!U36</f>
        <v>17.5</v>
      </c>
      <c r="E119" s="19">
        <v>1</v>
      </c>
      <c r="F119" s="27">
        <f>Residential!G119</f>
        <v>220618.336610232</v>
      </c>
      <c r="G119" s="73">
        <v>30</v>
      </c>
      <c r="H119" s="19">
        <v>1561</v>
      </c>
      <c r="I119" s="10">
        <f t="shared" si="1"/>
        <v>3106676.427400972</v>
      </c>
      <c r="J119" s="47"/>
    </row>
    <row r="120" spans="1:10" ht="12.75">
      <c r="A120" s="3">
        <v>40817</v>
      </c>
      <c r="B120" s="27">
        <v>3145807.11</v>
      </c>
      <c r="C120" s="23">
        <f>'Weather Analysis'!U17</f>
        <v>290</v>
      </c>
      <c r="D120" s="23">
        <f>'Weather Analysis'!U37</f>
        <v>0</v>
      </c>
      <c r="E120" s="19">
        <v>1</v>
      </c>
      <c r="F120" s="27">
        <f>Residential!G120</f>
        <v>230264.6935443374</v>
      </c>
      <c r="G120" s="73">
        <v>31</v>
      </c>
      <c r="H120" s="19">
        <v>1564</v>
      </c>
      <c r="I120" s="10">
        <f t="shared" si="1"/>
        <v>3191521.138891389</v>
      </c>
      <c r="J120" s="47"/>
    </row>
    <row r="121" spans="1:10" ht="12.75">
      <c r="A121" s="3">
        <v>40848</v>
      </c>
      <c r="B121" s="27">
        <v>3347026.4</v>
      </c>
      <c r="C121" s="23">
        <f>'Weather Analysis'!U18</f>
        <v>432.4</v>
      </c>
      <c r="D121" s="23">
        <f>'Weather Analysis'!U38</f>
        <v>0</v>
      </c>
      <c r="E121" s="19">
        <v>1</v>
      </c>
      <c r="F121" s="27">
        <f>Residential!G121</f>
        <v>239911.0504784428</v>
      </c>
      <c r="G121" s="73">
        <v>30</v>
      </c>
      <c r="H121" s="19">
        <v>1567</v>
      </c>
      <c r="I121" s="10">
        <f t="shared" si="1"/>
        <v>3391896.4609232494</v>
      </c>
      <c r="J121" s="47"/>
    </row>
    <row r="122" spans="1:10" ht="12.75">
      <c r="A122" s="3">
        <v>40878</v>
      </c>
      <c r="B122" s="27">
        <v>3980285</v>
      </c>
      <c r="C122" s="23">
        <f>'Weather Analysis'!U19</f>
        <v>636</v>
      </c>
      <c r="D122" s="23">
        <f>'Weather Analysis'!U39</f>
        <v>0</v>
      </c>
      <c r="E122" s="19">
        <v>0</v>
      </c>
      <c r="F122" s="27">
        <f>Residential!G122</f>
        <v>249557.4074125482</v>
      </c>
      <c r="G122" s="73">
        <v>31</v>
      </c>
      <c r="H122" s="19">
        <v>1569</v>
      </c>
      <c r="I122" s="10">
        <f t="shared" si="1"/>
        <v>3937696.4085018896</v>
      </c>
      <c r="J122" s="47"/>
    </row>
    <row r="123" spans="1:10" ht="12.75">
      <c r="A123" s="3">
        <v>40909</v>
      </c>
      <c r="C123" s="74">
        <f aca="true" t="shared" si="2" ref="C123:D134">(C3+C15+C27+C39+C51+C63+C75+C87+C99+C111)/10</f>
        <v>822.55</v>
      </c>
      <c r="D123" s="74">
        <f t="shared" si="2"/>
        <v>0</v>
      </c>
      <c r="E123" s="19">
        <v>0</v>
      </c>
      <c r="F123" s="27">
        <f>Residential!G123</f>
        <v>240638.0250628863</v>
      </c>
      <c r="G123" s="19">
        <v>31</v>
      </c>
      <c r="H123" s="19"/>
      <c r="I123" s="10">
        <f t="shared" si="1"/>
        <v>4229318.506413368</v>
      </c>
      <c r="J123" s="47"/>
    </row>
    <row r="124" spans="1:10" ht="12.75">
      <c r="A124" s="3">
        <v>40940</v>
      </c>
      <c r="C124" s="74">
        <f t="shared" si="2"/>
        <v>744.3</v>
      </c>
      <c r="D124" s="74">
        <f t="shared" si="2"/>
        <v>0</v>
      </c>
      <c r="E124" s="19">
        <v>0</v>
      </c>
      <c r="F124" s="27">
        <f>Residential!G124</f>
        <v>231718.6427132244</v>
      </c>
      <c r="G124" s="19">
        <v>29</v>
      </c>
      <c r="H124" s="19"/>
      <c r="I124" s="10">
        <f t="shared" si="1"/>
        <v>4124099.1986222845</v>
      </c>
      <c r="J124" s="47"/>
    </row>
    <row r="125" spans="1:10" ht="12.75">
      <c r="A125" s="3">
        <v>40969</v>
      </c>
      <c r="C125" s="74">
        <f t="shared" si="2"/>
        <v>645</v>
      </c>
      <c r="D125" s="74">
        <f t="shared" si="2"/>
        <v>0</v>
      </c>
      <c r="E125" s="19">
        <v>1</v>
      </c>
      <c r="F125" s="27">
        <f>Residential!G125</f>
        <v>222799.2603635625</v>
      </c>
      <c r="G125" s="19">
        <v>31</v>
      </c>
      <c r="H125" s="19"/>
      <c r="I125" s="10">
        <f t="shared" si="1"/>
        <v>3733625.893830335</v>
      </c>
      <c r="J125" s="47"/>
    </row>
    <row r="126" spans="1:10" ht="12.75">
      <c r="A126" s="3">
        <v>41000</v>
      </c>
      <c r="C126" s="74">
        <f t="shared" si="2"/>
        <v>384.3</v>
      </c>
      <c r="D126" s="74">
        <f t="shared" si="2"/>
        <v>0.45</v>
      </c>
      <c r="E126" s="19">
        <v>1</v>
      </c>
      <c r="F126" s="27">
        <f>Residential!G126</f>
        <v>213879.8780139006</v>
      </c>
      <c r="G126" s="19">
        <v>30</v>
      </c>
      <c r="H126" s="19"/>
      <c r="I126" s="10">
        <f t="shared" si="1"/>
        <v>3359433.107764187</v>
      </c>
      <c r="J126" s="47"/>
    </row>
    <row r="127" spans="1:10" ht="12.75">
      <c r="A127" s="3">
        <v>41030</v>
      </c>
      <c r="C127" s="74">
        <f t="shared" si="2"/>
        <v>218.67999999999998</v>
      </c>
      <c r="D127" s="74">
        <f t="shared" si="2"/>
        <v>6.38</v>
      </c>
      <c r="E127" s="19">
        <v>1</v>
      </c>
      <c r="F127" s="27">
        <f>Residential!G127</f>
        <v>204960.4956642387</v>
      </c>
      <c r="G127" s="19">
        <v>31</v>
      </c>
      <c r="H127" s="19"/>
      <c r="I127" s="10">
        <f t="shared" si="1"/>
        <v>3181976.8227344546</v>
      </c>
      <c r="J127" s="47"/>
    </row>
    <row r="128" spans="1:10" ht="12.75">
      <c r="A128" s="3">
        <v>41061</v>
      </c>
      <c r="C128" s="74">
        <f t="shared" si="2"/>
        <v>68.25000000000001</v>
      </c>
      <c r="D128" s="74">
        <f t="shared" si="2"/>
        <v>30.23</v>
      </c>
      <c r="E128" s="19">
        <v>0</v>
      </c>
      <c r="F128" s="27">
        <f>Residential!G128</f>
        <v>196041.1133145768</v>
      </c>
      <c r="G128" s="19">
        <v>30</v>
      </c>
      <c r="H128" s="19"/>
      <c r="I128" s="10">
        <f t="shared" si="1"/>
        <v>3458378.427260302</v>
      </c>
      <c r="J128" s="47"/>
    </row>
    <row r="129" spans="1:10" ht="12.75">
      <c r="A129" s="3">
        <v>41091</v>
      </c>
      <c r="C129" s="74">
        <f t="shared" si="2"/>
        <v>18.93</v>
      </c>
      <c r="D129" s="74">
        <f t="shared" si="2"/>
        <v>62.13000000000001</v>
      </c>
      <c r="E129" s="19">
        <v>0</v>
      </c>
      <c r="F129" s="27">
        <f>Residential!G129</f>
        <v>187121.7309649149</v>
      </c>
      <c r="G129" s="19">
        <v>31</v>
      </c>
      <c r="H129" s="19"/>
      <c r="I129" s="10">
        <f t="shared" si="1"/>
        <v>3712285.702551329</v>
      </c>
      <c r="J129" s="47"/>
    </row>
    <row r="130" spans="1:10" ht="12.75">
      <c r="A130" s="3">
        <v>41122</v>
      </c>
      <c r="C130" s="74">
        <f t="shared" si="2"/>
        <v>34.42999999999999</v>
      </c>
      <c r="D130" s="74">
        <f t="shared" si="2"/>
        <v>45.3</v>
      </c>
      <c r="E130" s="19">
        <v>0</v>
      </c>
      <c r="F130" s="27">
        <f>Residential!G130</f>
        <v>178202.348615253</v>
      </c>
      <c r="G130" s="19">
        <v>31</v>
      </c>
      <c r="H130" s="19"/>
      <c r="I130" s="10">
        <f t="shared" si="1"/>
        <v>3580968.140066576</v>
      </c>
      <c r="J130" s="47"/>
    </row>
    <row r="131" spans="1:10" ht="12.75">
      <c r="A131" s="3">
        <v>41153</v>
      </c>
      <c r="C131" s="74">
        <f t="shared" si="2"/>
        <v>112.22</v>
      </c>
      <c r="D131" s="74">
        <f t="shared" si="2"/>
        <v>12.55</v>
      </c>
      <c r="E131" s="19">
        <v>1</v>
      </c>
      <c r="F131" s="27">
        <f>Residential!G131</f>
        <v>169282.9662655911</v>
      </c>
      <c r="G131" s="19">
        <v>30</v>
      </c>
      <c r="H131" s="19"/>
      <c r="I131" s="10">
        <f t="shared" si="1"/>
        <v>3131705.30381691</v>
      </c>
      <c r="J131" s="47"/>
    </row>
    <row r="132" spans="1:10" ht="12.75">
      <c r="A132" s="3">
        <v>41183</v>
      </c>
      <c r="C132" s="74">
        <f t="shared" si="2"/>
        <v>324.71999999999997</v>
      </c>
      <c r="D132" s="74">
        <f t="shared" si="2"/>
        <v>1.04</v>
      </c>
      <c r="E132" s="19">
        <v>1</v>
      </c>
      <c r="F132" s="27">
        <f>Residential!G132</f>
        <v>160363.5839159292</v>
      </c>
      <c r="G132" s="19">
        <v>31</v>
      </c>
      <c r="H132" s="19"/>
      <c r="I132" s="10">
        <f aca="true" t="shared" si="3" ref="I132:I146">$M$18+C132*$M$19+D132*$M$20+E132*$M$21+F132*$M$22</f>
        <v>3348282.4182953173</v>
      </c>
      <c r="J132" s="47"/>
    </row>
    <row r="133" spans="1:10" ht="12.75">
      <c r="A133" s="3">
        <v>41214</v>
      </c>
      <c r="C133" s="74">
        <f t="shared" si="2"/>
        <v>481.85999999999996</v>
      </c>
      <c r="D133" s="74">
        <f t="shared" si="2"/>
        <v>0</v>
      </c>
      <c r="E133" s="19">
        <v>1</v>
      </c>
      <c r="F133" s="27">
        <f>Residential!G133</f>
        <v>151444.2015662673</v>
      </c>
      <c r="G133" s="19">
        <v>30</v>
      </c>
      <c r="H133" s="19"/>
      <c r="I133" s="10">
        <f t="shared" si="3"/>
        <v>3585534.6227535103</v>
      </c>
      <c r="J133" s="47"/>
    </row>
    <row r="134" spans="1:10" ht="12.75">
      <c r="A134" s="3">
        <v>41244</v>
      </c>
      <c r="C134" s="74">
        <f t="shared" si="2"/>
        <v>733.8100000000001</v>
      </c>
      <c r="D134" s="74">
        <f t="shared" si="2"/>
        <v>0</v>
      </c>
      <c r="E134" s="19">
        <v>0</v>
      </c>
      <c r="F134" s="27">
        <f>Residential!G134</f>
        <v>142524.8192166054</v>
      </c>
      <c r="G134" s="19">
        <v>31</v>
      </c>
      <c r="H134" s="19"/>
      <c r="I134" s="10">
        <f t="shared" si="3"/>
        <v>4228875.658537866</v>
      </c>
      <c r="J134" s="47"/>
    </row>
    <row r="135" spans="1:10" ht="12.75">
      <c r="A135" s="3">
        <v>41275</v>
      </c>
      <c r="C135" s="74">
        <f aca="true" t="shared" si="4" ref="C135:D146">C123</f>
        <v>822.55</v>
      </c>
      <c r="D135" s="74">
        <f t="shared" si="4"/>
        <v>0</v>
      </c>
      <c r="E135" s="19">
        <v>0</v>
      </c>
      <c r="F135" s="27">
        <f>Residential!G135</f>
        <v>149714.2658700011</v>
      </c>
      <c r="G135" s="19">
        <v>31</v>
      </c>
      <c r="H135" s="19"/>
      <c r="I135" s="10">
        <f t="shared" si="3"/>
        <v>4352152.833964411</v>
      </c>
      <c r="J135" s="47"/>
    </row>
    <row r="136" spans="1:10" ht="12.75">
      <c r="A136" s="3">
        <v>41306</v>
      </c>
      <c r="C136" s="74">
        <f t="shared" si="4"/>
        <v>744.3</v>
      </c>
      <c r="D136" s="74">
        <f t="shared" si="4"/>
        <v>0</v>
      </c>
      <c r="E136" s="19">
        <v>0</v>
      </c>
      <c r="F136" s="27">
        <f>Residential!G136</f>
        <v>156903.71252339683</v>
      </c>
      <c r="G136" s="19">
        <v>28</v>
      </c>
      <c r="H136" s="19"/>
      <c r="I136" s="10">
        <f t="shared" si="3"/>
        <v>4225171.148596883</v>
      </c>
      <c r="J136" s="47"/>
    </row>
    <row r="137" spans="1:10" ht="12.75">
      <c r="A137" s="3">
        <v>41334</v>
      </c>
      <c r="C137" s="74">
        <f t="shared" si="4"/>
        <v>645</v>
      </c>
      <c r="D137" s="74">
        <f t="shared" si="4"/>
        <v>0</v>
      </c>
      <c r="E137" s="19">
        <v>1</v>
      </c>
      <c r="F137" s="27">
        <f>Residential!G137</f>
        <v>164093.15917679254</v>
      </c>
      <c r="G137" s="19">
        <v>31</v>
      </c>
      <c r="H137" s="19"/>
      <c r="I137" s="10">
        <f t="shared" si="3"/>
        <v>3812935.4662284884</v>
      </c>
      <c r="J137" s="47"/>
    </row>
    <row r="138" spans="1:10" ht="12.75">
      <c r="A138" s="3">
        <v>41365</v>
      </c>
      <c r="C138" s="74">
        <f t="shared" si="4"/>
        <v>384.3</v>
      </c>
      <c r="D138" s="74">
        <f t="shared" si="4"/>
        <v>0.45</v>
      </c>
      <c r="E138" s="19">
        <v>1</v>
      </c>
      <c r="F138" s="27">
        <f>Residential!G138</f>
        <v>171282.60583018826</v>
      </c>
      <c r="G138" s="19">
        <v>30</v>
      </c>
      <c r="H138" s="19"/>
      <c r="I138" s="10">
        <f t="shared" si="3"/>
        <v>3416980.3025858956</v>
      </c>
      <c r="J138" s="47"/>
    </row>
    <row r="139" spans="1:10" ht="12.75">
      <c r="A139" s="3">
        <v>41395</v>
      </c>
      <c r="C139" s="74">
        <f t="shared" si="4"/>
        <v>218.67999999999998</v>
      </c>
      <c r="D139" s="74">
        <f t="shared" si="4"/>
        <v>6.38</v>
      </c>
      <c r="E139" s="19">
        <v>1</v>
      </c>
      <c r="F139" s="27">
        <f>Residential!G139</f>
        <v>178472.05248358398</v>
      </c>
      <c r="G139" s="19">
        <v>31</v>
      </c>
      <c r="H139" s="19"/>
      <c r="I139" s="10">
        <f t="shared" si="3"/>
        <v>3217761.6399797183</v>
      </c>
      <c r="J139" s="47"/>
    </row>
    <row r="140" spans="1:10" ht="12.75">
      <c r="A140" s="3">
        <v>41426</v>
      </c>
      <c r="C140" s="74">
        <f t="shared" si="4"/>
        <v>68.25000000000001</v>
      </c>
      <c r="D140" s="74">
        <f t="shared" si="4"/>
        <v>30.23</v>
      </c>
      <c r="E140" s="19">
        <v>0</v>
      </c>
      <c r="F140" s="27">
        <f>Residential!G140</f>
        <v>185661.4991369797</v>
      </c>
      <c r="G140" s="19">
        <v>30</v>
      </c>
      <c r="H140" s="19"/>
      <c r="I140" s="10">
        <f t="shared" si="3"/>
        <v>3472400.8669291204</v>
      </c>
      <c r="J140" s="47"/>
    </row>
    <row r="141" spans="1:10" ht="12.75">
      <c r="A141" s="3">
        <v>41456</v>
      </c>
      <c r="C141" s="74">
        <f t="shared" si="4"/>
        <v>18.93</v>
      </c>
      <c r="D141" s="74">
        <f t="shared" si="4"/>
        <v>62.13000000000001</v>
      </c>
      <c r="E141" s="19">
        <v>0</v>
      </c>
      <c r="F141" s="27">
        <f>Residential!G141</f>
        <v>192850.9457903754</v>
      </c>
      <c r="G141" s="19">
        <v>31</v>
      </c>
      <c r="H141" s="19"/>
      <c r="I141" s="10">
        <f t="shared" si="3"/>
        <v>3704545.7646437027</v>
      </c>
      <c r="J141" s="47"/>
    </row>
    <row r="142" spans="1:10" ht="12.75">
      <c r="A142" s="3">
        <v>41487</v>
      </c>
      <c r="C142" s="74">
        <f t="shared" si="4"/>
        <v>34.42999999999999</v>
      </c>
      <c r="D142" s="74">
        <f t="shared" si="4"/>
        <v>45.3</v>
      </c>
      <c r="E142" s="19">
        <v>0</v>
      </c>
      <c r="F142" s="27">
        <f>Residential!G142</f>
        <v>200040.39244377112</v>
      </c>
      <c r="G142" s="19">
        <v>31</v>
      </c>
      <c r="H142" s="19"/>
      <c r="I142" s="10">
        <f t="shared" si="3"/>
        <v>3551465.8245825046</v>
      </c>
      <c r="J142" s="47"/>
    </row>
    <row r="143" spans="1:10" ht="12.75">
      <c r="A143" s="3">
        <v>41518</v>
      </c>
      <c r="C143" s="74">
        <f t="shared" si="4"/>
        <v>112.22</v>
      </c>
      <c r="D143" s="74">
        <f t="shared" si="4"/>
        <v>12.55</v>
      </c>
      <c r="E143" s="19">
        <v>1</v>
      </c>
      <c r="F143" s="27">
        <f>Residential!G143</f>
        <v>207229.83909716684</v>
      </c>
      <c r="G143" s="19">
        <v>30</v>
      </c>
      <c r="H143" s="19"/>
      <c r="I143" s="10">
        <f t="shared" si="3"/>
        <v>3080440.610756393</v>
      </c>
      <c r="J143" s="47"/>
    </row>
    <row r="144" spans="1:10" ht="12.75">
      <c r="A144" s="3">
        <v>41548</v>
      </c>
      <c r="C144" s="74">
        <f t="shared" si="4"/>
        <v>324.71999999999997</v>
      </c>
      <c r="D144" s="74">
        <f t="shared" si="4"/>
        <v>1.04</v>
      </c>
      <c r="E144" s="19">
        <v>1</v>
      </c>
      <c r="F144" s="27">
        <f>Residential!G144</f>
        <v>214419.28575056256</v>
      </c>
      <c r="G144" s="19">
        <v>31</v>
      </c>
      <c r="H144" s="19"/>
      <c r="I144" s="10">
        <f t="shared" si="3"/>
        <v>3275255.3476583557</v>
      </c>
      <c r="J144" s="47"/>
    </row>
    <row r="145" spans="1:10" ht="12.75">
      <c r="A145" s="3">
        <v>41579</v>
      </c>
      <c r="C145" s="74">
        <f t="shared" si="4"/>
        <v>481.85999999999996</v>
      </c>
      <c r="D145" s="74">
        <f t="shared" si="4"/>
        <v>0</v>
      </c>
      <c r="E145" s="19">
        <v>1</v>
      </c>
      <c r="F145" s="27">
        <f>Residential!G145</f>
        <v>221608.73240395827</v>
      </c>
      <c r="G145" s="19">
        <v>30</v>
      </c>
      <c r="H145" s="19"/>
      <c r="I145" s="10">
        <f t="shared" si="3"/>
        <v>3490745.1745401034</v>
      </c>
      <c r="J145" s="47"/>
    </row>
    <row r="146" spans="1:10" ht="12.75">
      <c r="A146" s="3">
        <v>41609</v>
      </c>
      <c r="C146" s="74">
        <f t="shared" si="4"/>
        <v>733.8100000000001</v>
      </c>
      <c r="D146" s="74">
        <f t="shared" si="4"/>
        <v>0</v>
      </c>
      <c r="E146" s="19">
        <v>0</v>
      </c>
      <c r="F146" s="27">
        <f>Residential!G146</f>
        <v>228798.179057354</v>
      </c>
      <c r="G146" s="19">
        <v>31</v>
      </c>
      <c r="H146" s="19"/>
      <c r="I146" s="10">
        <f t="shared" si="3"/>
        <v>4112323.832748014</v>
      </c>
      <c r="J146" s="47"/>
    </row>
    <row r="147" spans="1:26" ht="12.75">
      <c r="A147" s="3"/>
      <c r="X147" s="11"/>
      <c r="Y147" s="11"/>
      <c r="Z147" s="11"/>
    </row>
    <row r="148" spans="1:9" ht="12.75">
      <c r="A148" s="3"/>
      <c r="D148" s="23" t="s">
        <v>14</v>
      </c>
      <c r="I148" s="47">
        <f>SUM(I3:I147)</f>
        <v>541382427.2643641</v>
      </c>
    </row>
    <row r="149" ht="12.75">
      <c r="A149" s="3"/>
    </row>
    <row r="150" spans="1:11" ht="12.75">
      <c r="A150" s="18">
        <v>2002</v>
      </c>
      <c r="B150" s="27">
        <f>SUM(B3:B14)</f>
        <v>47266055.88684311</v>
      </c>
      <c r="I150" s="6">
        <f>SUM(I3:I14)</f>
        <v>47286468.904519066</v>
      </c>
      <c r="J150" s="38">
        <f aca="true" t="shared" si="5" ref="J150:J159">I150-B150</f>
        <v>20413.017675958574</v>
      </c>
      <c r="K150" s="5">
        <f aca="true" t="shared" si="6" ref="K150:K159">J150/B150</f>
        <v>0.0004318747839851115</v>
      </c>
    </row>
    <row r="151" spans="1:11" ht="12.75">
      <c r="A151" s="18">
        <v>2003</v>
      </c>
      <c r="B151" s="27">
        <f>SUM(B15:B26)</f>
        <v>46156409.663598016</v>
      </c>
      <c r="I151" s="6">
        <f>SUM(I15:I26)</f>
        <v>46993135.93545321</v>
      </c>
      <c r="J151" s="38">
        <f t="shared" si="5"/>
        <v>836726.2718551904</v>
      </c>
      <c r="K151" s="5">
        <f t="shared" si="6"/>
        <v>0.01812806234179622</v>
      </c>
    </row>
    <row r="152" spans="1:11" ht="12.75">
      <c r="A152">
        <v>2004</v>
      </c>
      <c r="B152" s="27">
        <f>SUM(B27:B38)</f>
        <v>46865416.286536254</v>
      </c>
      <c r="I152" s="6">
        <f>SUM(I27:I38)</f>
        <v>46791707.746877</v>
      </c>
      <c r="J152" s="38">
        <f t="shared" si="5"/>
        <v>-73708.53965925425</v>
      </c>
      <c r="K152" s="5">
        <f t="shared" si="6"/>
        <v>-0.0015727704029896697</v>
      </c>
    </row>
    <row r="153" spans="1:26" ht="12.75">
      <c r="A153" s="18">
        <v>2005</v>
      </c>
      <c r="B153" s="27">
        <f>SUM(B39:B50)</f>
        <v>47637154.86152666</v>
      </c>
      <c r="I153" s="6">
        <f>SUM(I39:I50)</f>
        <v>47197268.83617047</v>
      </c>
      <c r="J153" s="38">
        <f t="shared" si="5"/>
        <v>-439886.0253561884</v>
      </c>
      <c r="K153" s="5">
        <f t="shared" si="6"/>
        <v>-0.009234095248443456</v>
      </c>
      <c r="X153" s="11"/>
      <c r="Y153" s="11"/>
      <c r="Z153" s="11"/>
    </row>
    <row r="154" spans="1:11" ht="12.75">
      <c r="A154">
        <v>2006</v>
      </c>
      <c r="B154" s="27">
        <f>SUM(B51:B62)</f>
        <v>45481306</v>
      </c>
      <c r="I154" s="6">
        <f>SUM(I51:I62)</f>
        <v>45538798.56563162</v>
      </c>
      <c r="J154" s="38">
        <f t="shared" si="5"/>
        <v>57492.565631620586</v>
      </c>
      <c r="K154" s="5">
        <f t="shared" si="6"/>
        <v>0.0012640922323475185</v>
      </c>
    </row>
    <row r="155" spans="1:11" ht="12.75">
      <c r="A155" s="18">
        <v>2007</v>
      </c>
      <c r="B155" s="27">
        <f>SUM(B63:B74)</f>
        <v>46091929</v>
      </c>
      <c r="I155" s="6">
        <f>SUM(I63:I74)</f>
        <v>45222630.434052974</v>
      </c>
      <c r="J155" s="38">
        <f t="shared" si="5"/>
        <v>-869298.565947026</v>
      </c>
      <c r="K155" s="5">
        <f t="shared" si="6"/>
        <v>-0.018860103814423258</v>
      </c>
    </row>
    <row r="156" spans="1:11" ht="12.75">
      <c r="A156">
        <v>2008</v>
      </c>
      <c r="B156" s="27">
        <f>SUM(B75:B86)</f>
        <v>45412234</v>
      </c>
      <c r="I156" s="6">
        <f>SUM(I75:I86)</f>
        <v>44882214.95704821</v>
      </c>
      <c r="J156" s="38">
        <f t="shared" si="5"/>
        <v>-530019.0429517925</v>
      </c>
      <c r="K156" s="5">
        <f t="shared" si="6"/>
        <v>-0.011671283182232182</v>
      </c>
    </row>
    <row r="157" spans="1:11" ht="12.75">
      <c r="A157" s="18">
        <v>2009</v>
      </c>
      <c r="B157" s="27">
        <f>SUM(B87:B98)</f>
        <v>43415770</v>
      </c>
      <c r="I157" s="6">
        <f>SUM(I87:I98)</f>
        <v>43299184.08449644</v>
      </c>
      <c r="J157" s="38">
        <f t="shared" si="5"/>
        <v>-116585.9155035615</v>
      </c>
      <c r="K157" s="5">
        <f t="shared" si="6"/>
        <v>-0.0026853356626765227</v>
      </c>
    </row>
    <row r="158" spans="1:11" ht="12.75">
      <c r="A158">
        <v>2010</v>
      </c>
      <c r="B158" s="27">
        <f>SUM(B99:B110)</f>
        <v>42988016</v>
      </c>
      <c r="I158" s="6">
        <f>SUM(I99:I110)</f>
        <v>43709765.3782117</v>
      </c>
      <c r="J158" s="38">
        <f t="shared" si="5"/>
        <v>721749.3782116994</v>
      </c>
      <c r="K158" s="5">
        <f t="shared" si="6"/>
        <v>0.016789548468850002</v>
      </c>
    </row>
    <row r="159" spans="1:11" ht="12.75">
      <c r="A159" s="18">
        <v>2011</v>
      </c>
      <c r="B159" s="27">
        <f>SUM(B111:B122)</f>
        <v>42681472.949999996</v>
      </c>
      <c r="I159" s="6">
        <f>SUM(I111:I122)</f>
        <v>43074589.80604333</v>
      </c>
      <c r="J159" s="38">
        <f t="shared" si="5"/>
        <v>393116.8560433313</v>
      </c>
      <c r="K159" s="5">
        <f t="shared" si="6"/>
        <v>0.009210480071853551</v>
      </c>
    </row>
    <row r="160" spans="1:9" ht="12.75">
      <c r="A160" s="18">
        <v>2012</v>
      </c>
      <c r="I160" s="6">
        <f>SUM(I123:I134)</f>
        <v>43674483.802646436</v>
      </c>
    </row>
    <row r="161" spans="1:9" ht="12.75">
      <c r="A161" s="18">
        <v>2013</v>
      </c>
      <c r="I161" s="6">
        <f>SUM(I135:I146)</f>
        <v>43712178.81321359</v>
      </c>
    </row>
    <row r="162" ht="12.75">
      <c r="I162" s="6"/>
    </row>
    <row r="163" spans="1:10" ht="12.75">
      <c r="A163" t="s">
        <v>85</v>
      </c>
      <c r="B163" s="27">
        <f>SUM(B150:B159)</f>
        <v>453995764.648504</v>
      </c>
      <c r="I163" s="6">
        <f>SUM(I149:I159)</f>
        <v>453995764.64850396</v>
      </c>
      <c r="J163" s="6">
        <f>I163-B163</f>
        <v>0</v>
      </c>
    </row>
    <row r="165" spans="9:10" ht="12.75">
      <c r="I165" s="6">
        <f>SUM(I150:I161)</f>
        <v>541382427.264364</v>
      </c>
      <c r="J165" s="47">
        <f>I148-I165</f>
        <v>0</v>
      </c>
    </row>
    <row r="166" spans="9:11" ht="12.75">
      <c r="I166" s="23"/>
      <c r="J166" s="23" t="s">
        <v>66</v>
      </c>
      <c r="K166" s="23"/>
    </row>
    <row r="168" spans="24:26" ht="12.75">
      <c r="X168" s="11"/>
      <c r="Y168" s="11"/>
      <c r="Z168" s="11"/>
    </row>
    <row r="180" spans="24:26" ht="12.75">
      <c r="X180" s="11"/>
      <c r="Y180" s="11"/>
      <c r="Z180" s="11"/>
    </row>
    <row r="182" spans="5:7" ht="12.75">
      <c r="E182" s="27"/>
      <c r="G182" s="27"/>
    </row>
  </sheetData>
  <sheetProtection/>
  <printOptions/>
  <pageMargins left="0.38" right="0.75" top="0.73" bottom="0.74" header="0.5" footer="0.5"/>
  <pageSetup fitToHeight="1" fitToWidth="1" horizontalDpi="600" verticalDpi="600" orientation="landscape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2"/>
  <sheetViews>
    <sheetView zoomScale="80" zoomScaleNormal="80" zoomScalePageLayoutView="0" workbookViewId="0" topLeftCell="A1">
      <pane xSplit="1" ySplit="2" topLeftCell="B1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50" sqref="L150"/>
    </sheetView>
  </sheetViews>
  <sheetFormatPr defaultColWidth="9.140625" defaultRowHeight="12.75"/>
  <cols>
    <col min="1" max="1" width="11.8515625" style="0" customWidth="1"/>
    <col min="2" max="2" width="18.00390625" style="27" customWidth="1"/>
    <col min="3" max="3" width="11.7109375" style="23" customWidth="1"/>
    <col min="4" max="4" width="13.421875" style="23" customWidth="1"/>
    <col min="5" max="6" width="10.140625" style="23" customWidth="1"/>
    <col min="7" max="8" width="12.421875" style="23" customWidth="1"/>
    <col min="9" max="9" width="15.421875" style="1" bestFit="1" customWidth="1"/>
    <col min="10" max="10" width="17.00390625" style="1" customWidth="1"/>
    <col min="11" max="11" width="12.421875" style="1" customWidth="1"/>
    <col min="12" max="12" width="25.8515625" style="0" bestFit="1" customWidth="1"/>
    <col min="13" max="15" width="18.00390625" style="0" customWidth="1"/>
    <col min="16" max="16" width="17.140625" style="0" customWidth="1"/>
    <col min="17" max="18" width="15.7109375" style="0" customWidth="1"/>
    <col min="19" max="19" width="15.00390625" style="0" customWidth="1"/>
    <col min="20" max="21" width="14.140625" style="0" bestFit="1" customWidth="1"/>
    <col min="22" max="22" width="11.7109375" style="0" bestFit="1" customWidth="1"/>
    <col min="23" max="23" width="11.8515625" style="0" bestFit="1" customWidth="1"/>
    <col min="24" max="24" width="12.57421875" style="6" customWidth="1"/>
    <col min="25" max="25" width="11.28125" style="6" customWidth="1"/>
    <col min="26" max="26" width="11.57421875" style="6" customWidth="1"/>
    <col min="27" max="27" width="9.28125" style="6" customWidth="1"/>
    <col min="28" max="28" width="9.140625" style="6" customWidth="1"/>
    <col min="29" max="29" width="11.7109375" style="6" bestFit="1" customWidth="1"/>
    <col min="30" max="30" width="10.7109375" style="6" bestFit="1" customWidth="1"/>
    <col min="31" max="32" width="9.140625" style="6" customWidth="1"/>
  </cols>
  <sheetData>
    <row r="1" spans="7:8" ht="12.75">
      <c r="G1" s="161" t="s">
        <v>125</v>
      </c>
      <c r="H1" s="161"/>
    </row>
    <row r="2" spans="2:26" ht="42" customHeight="1">
      <c r="B2" s="71" t="s">
        <v>83</v>
      </c>
      <c r="C2" s="72" t="s">
        <v>3</v>
      </c>
      <c r="D2" s="72" t="s">
        <v>4</v>
      </c>
      <c r="E2" s="72" t="s">
        <v>5</v>
      </c>
      <c r="F2" s="72" t="str">
        <f>'GS &lt; 50 kW'!F2</f>
        <v>CDM Activity</v>
      </c>
      <c r="G2" s="72" t="s">
        <v>20</v>
      </c>
      <c r="H2" s="72" t="s">
        <v>68</v>
      </c>
      <c r="I2" s="12" t="s">
        <v>11</v>
      </c>
      <c r="J2" s="12" t="s">
        <v>12</v>
      </c>
      <c r="K2" s="12" t="s">
        <v>13</v>
      </c>
      <c r="L2" t="s">
        <v>21</v>
      </c>
      <c r="X2" s="9"/>
      <c r="Y2" s="9"/>
      <c r="Z2" s="9"/>
    </row>
    <row r="3" spans="1:9" ht="13.5" thickBot="1">
      <c r="A3" s="3">
        <v>37257</v>
      </c>
      <c r="B3" s="27">
        <v>7984602</v>
      </c>
      <c r="C3" s="23">
        <v>695.8</v>
      </c>
      <c r="D3" s="23">
        <v>0</v>
      </c>
      <c r="E3" s="19">
        <v>31</v>
      </c>
      <c r="F3" s="19">
        <f>'GS &lt; 50 kW'!F3</f>
        <v>0</v>
      </c>
      <c r="G3" s="19">
        <v>0</v>
      </c>
      <c r="H3" s="23">
        <v>89</v>
      </c>
      <c r="I3" s="10">
        <f>$M$18+C3*$M$19+D3*$M$20+E3*$M$21+F3*$M$22+H3*$M$24</f>
        <v>7563287.195987988</v>
      </c>
    </row>
    <row r="4" spans="1:13" ht="12.75">
      <c r="A4" s="3">
        <v>37288</v>
      </c>
      <c r="B4" s="27">
        <v>7264183</v>
      </c>
      <c r="C4" s="23">
        <v>664.9</v>
      </c>
      <c r="D4" s="23">
        <v>0</v>
      </c>
      <c r="E4" s="19">
        <v>28</v>
      </c>
      <c r="F4" s="19">
        <f>'GS &lt; 50 kW'!F4</f>
        <v>0</v>
      </c>
      <c r="G4" s="19">
        <v>0</v>
      </c>
      <c r="H4" s="23">
        <v>89</v>
      </c>
      <c r="I4" s="10">
        <f aca="true" t="shared" si="0" ref="I4:I67">$M$18+C4*$M$19+D4*$M$20+E4*$M$21+F4*$M$22+H4*$M$24</f>
        <v>7222680.761000967</v>
      </c>
      <c r="L4" s="54" t="s">
        <v>22</v>
      </c>
      <c r="M4" s="54"/>
    </row>
    <row r="5" spans="1:13" ht="12.75">
      <c r="A5" s="3">
        <v>37316</v>
      </c>
      <c r="B5" s="27">
        <v>7254440</v>
      </c>
      <c r="C5" s="23">
        <v>674.7</v>
      </c>
      <c r="D5" s="23">
        <v>0</v>
      </c>
      <c r="E5" s="19">
        <v>31</v>
      </c>
      <c r="F5" s="19">
        <f>'GS &lt; 50 kW'!F5</f>
        <v>0</v>
      </c>
      <c r="G5" s="19">
        <v>1</v>
      </c>
      <c r="H5" s="19">
        <v>90</v>
      </c>
      <c r="I5" s="10">
        <f t="shared" si="0"/>
        <v>7554119.134770362</v>
      </c>
      <c r="J5" s="10"/>
      <c r="K5" s="15"/>
      <c r="L5" s="37" t="s">
        <v>23</v>
      </c>
      <c r="M5" s="55">
        <v>0.553377095850591</v>
      </c>
    </row>
    <row r="6" spans="1:13" ht="12.75">
      <c r="A6" s="3">
        <v>37347</v>
      </c>
      <c r="B6" s="27">
        <v>6325293</v>
      </c>
      <c r="C6" s="23">
        <v>399.4</v>
      </c>
      <c r="D6" s="23">
        <v>4.5</v>
      </c>
      <c r="E6" s="19">
        <v>30</v>
      </c>
      <c r="F6" s="19">
        <f>'GS &lt; 50 kW'!F6</f>
        <v>0</v>
      </c>
      <c r="G6" s="19">
        <v>1</v>
      </c>
      <c r="H6" s="19">
        <v>93</v>
      </c>
      <c r="I6" s="10">
        <f t="shared" si="0"/>
        <v>7361139.1479418</v>
      </c>
      <c r="J6" s="10"/>
      <c r="K6" s="15"/>
      <c r="L6" s="37" t="s">
        <v>24</v>
      </c>
      <c r="M6" s="55">
        <v>0.30622621021203417</v>
      </c>
    </row>
    <row r="7" spans="1:13" ht="12.75">
      <c r="A7" s="3">
        <v>37377</v>
      </c>
      <c r="B7" s="27">
        <v>7145325.8</v>
      </c>
      <c r="C7" s="23">
        <v>285.9</v>
      </c>
      <c r="D7" s="23">
        <v>1.8</v>
      </c>
      <c r="E7" s="19">
        <v>31</v>
      </c>
      <c r="F7" s="19">
        <f>'GS &lt; 50 kW'!F7</f>
        <v>0</v>
      </c>
      <c r="G7" s="19">
        <v>1</v>
      </c>
      <c r="H7" s="19">
        <v>93</v>
      </c>
      <c r="I7" s="10">
        <f t="shared" si="0"/>
        <v>7399463.2407380715</v>
      </c>
      <c r="J7" s="10"/>
      <c r="K7" s="15"/>
      <c r="L7" s="37" t="s">
        <v>25</v>
      </c>
      <c r="M7" s="55">
        <v>0.28209494795853973</v>
      </c>
    </row>
    <row r="8" spans="1:13" ht="12.75">
      <c r="A8" s="3">
        <v>37408</v>
      </c>
      <c r="B8" s="27">
        <v>7207837</v>
      </c>
      <c r="C8" s="23">
        <v>65</v>
      </c>
      <c r="D8" s="23">
        <v>39.3</v>
      </c>
      <c r="E8" s="19">
        <v>30</v>
      </c>
      <c r="F8" s="19">
        <f>'GS &lt; 50 kW'!F8</f>
        <v>0</v>
      </c>
      <c r="G8" s="19">
        <v>0</v>
      </c>
      <c r="H8" s="19">
        <v>93</v>
      </c>
      <c r="I8" s="10">
        <f t="shared" si="0"/>
        <v>7491915.854920457</v>
      </c>
      <c r="J8" s="10"/>
      <c r="K8" s="15"/>
      <c r="L8" s="37" t="s">
        <v>26</v>
      </c>
      <c r="M8" s="37">
        <v>361081.14558345487</v>
      </c>
    </row>
    <row r="9" spans="1:13" ht="13.5" thickBot="1">
      <c r="A9" s="3">
        <v>37438</v>
      </c>
      <c r="B9" s="27">
        <v>7415465</v>
      </c>
      <c r="C9" s="23">
        <v>19.1</v>
      </c>
      <c r="D9" s="23">
        <v>79.2</v>
      </c>
      <c r="E9" s="19">
        <v>31</v>
      </c>
      <c r="F9" s="19">
        <f>'GS &lt; 50 kW'!F9</f>
        <v>0</v>
      </c>
      <c r="G9" s="19">
        <v>0</v>
      </c>
      <c r="H9" s="19">
        <v>93</v>
      </c>
      <c r="I9" s="10">
        <f t="shared" si="0"/>
        <v>7897566.713364876</v>
      </c>
      <c r="J9" s="10"/>
      <c r="K9" s="15"/>
      <c r="L9" s="52" t="s">
        <v>27</v>
      </c>
      <c r="M9" s="52">
        <v>120</v>
      </c>
    </row>
    <row r="10" spans="1:11" ht="12.75">
      <c r="A10" s="3">
        <v>37469</v>
      </c>
      <c r="B10" s="27">
        <v>7046351</v>
      </c>
      <c r="C10" s="23">
        <v>25.4</v>
      </c>
      <c r="D10" s="23">
        <v>46.8</v>
      </c>
      <c r="E10" s="19">
        <v>31</v>
      </c>
      <c r="F10" s="19">
        <f>'GS &lt; 50 kW'!F10</f>
        <v>0</v>
      </c>
      <c r="G10" s="19">
        <v>0</v>
      </c>
      <c r="H10" s="19">
        <v>94</v>
      </c>
      <c r="I10" s="10">
        <f t="shared" si="0"/>
        <v>7643268.500743538</v>
      </c>
      <c r="J10" s="10"/>
      <c r="K10" s="15"/>
    </row>
    <row r="11" spans="1:12" ht="13.5" thickBot="1">
      <c r="A11" s="3">
        <v>37500</v>
      </c>
      <c r="B11" s="27">
        <v>7843671</v>
      </c>
      <c r="C11" s="23">
        <v>78</v>
      </c>
      <c r="D11" s="23">
        <v>31.5</v>
      </c>
      <c r="E11" s="19">
        <v>30</v>
      </c>
      <c r="F11" s="19">
        <f>'GS &lt; 50 kW'!F11</f>
        <v>0</v>
      </c>
      <c r="G11" s="19">
        <v>1</v>
      </c>
      <c r="H11" s="19">
        <v>94</v>
      </c>
      <c r="I11" s="10">
        <f t="shared" si="0"/>
        <v>7435685.483706676</v>
      </c>
      <c r="J11" s="10"/>
      <c r="K11" s="15"/>
      <c r="L11" t="s">
        <v>28</v>
      </c>
    </row>
    <row r="12" spans="1:17" ht="12.75">
      <c r="A12" s="3">
        <v>37530</v>
      </c>
      <c r="B12" s="27">
        <v>7279178</v>
      </c>
      <c r="C12" s="23">
        <v>391.4</v>
      </c>
      <c r="D12" s="23">
        <v>2.2</v>
      </c>
      <c r="E12" s="19">
        <v>31</v>
      </c>
      <c r="F12" s="19">
        <f>'GS &lt; 50 kW'!F12</f>
        <v>0</v>
      </c>
      <c r="G12" s="19">
        <v>1</v>
      </c>
      <c r="H12" s="19">
        <v>94</v>
      </c>
      <c r="I12" s="10">
        <f t="shared" si="0"/>
        <v>7448476.825787054</v>
      </c>
      <c r="J12" s="10"/>
      <c r="K12" s="15"/>
      <c r="L12" s="53"/>
      <c r="M12" s="53" t="s">
        <v>32</v>
      </c>
      <c r="N12" s="53" t="s">
        <v>33</v>
      </c>
      <c r="O12" s="53" t="s">
        <v>34</v>
      </c>
      <c r="P12" s="53" t="s">
        <v>35</v>
      </c>
      <c r="Q12" s="53" t="s">
        <v>36</v>
      </c>
    </row>
    <row r="13" spans="1:17" ht="12.75">
      <c r="A13" s="3">
        <v>37561</v>
      </c>
      <c r="B13" s="27">
        <v>7385903</v>
      </c>
      <c r="C13" s="23">
        <v>561.6</v>
      </c>
      <c r="D13" s="23">
        <v>0</v>
      </c>
      <c r="E13" s="19">
        <v>30</v>
      </c>
      <c r="F13" s="19">
        <f>'GS &lt; 50 kW'!F13</f>
        <v>0</v>
      </c>
      <c r="G13" s="19">
        <v>1</v>
      </c>
      <c r="H13" s="19">
        <v>95</v>
      </c>
      <c r="I13" s="10">
        <f t="shared" si="0"/>
        <v>7395916.514584855</v>
      </c>
      <c r="J13" s="10"/>
      <c r="K13" s="15"/>
      <c r="L13" s="37" t="s">
        <v>29</v>
      </c>
      <c r="M13" s="37">
        <v>4</v>
      </c>
      <c r="N13" s="37">
        <v>6618078813624.664</v>
      </c>
      <c r="O13" s="37">
        <v>1654519703406.166</v>
      </c>
      <c r="P13" s="37">
        <v>12.69002039740749</v>
      </c>
      <c r="Q13" s="37">
        <v>1.3795214347371045E-08</v>
      </c>
    </row>
    <row r="14" spans="1:17" ht="12.75">
      <c r="A14" s="3">
        <v>37591</v>
      </c>
      <c r="B14" s="27">
        <v>7241303</v>
      </c>
      <c r="C14" s="23">
        <v>753.7</v>
      </c>
      <c r="D14" s="23">
        <v>0</v>
      </c>
      <c r="E14" s="19">
        <v>31</v>
      </c>
      <c r="F14" s="19">
        <f>'GS &lt; 50 kW'!F14</f>
        <v>0</v>
      </c>
      <c r="G14" s="19">
        <v>0</v>
      </c>
      <c r="H14" s="19">
        <v>96</v>
      </c>
      <c r="I14" s="10">
        <f t="shared" si="0"/>
        <v>7588445.051177593</v>
      </c>
      <c r="J14" s="10"/>
      <c r="K14" s="15"/>
      <c r="L14" s="37" t="s">
        <v>30</v>
      </c>
      <c r="M14" s="37">
        <v>115</v>
      </c>
      <c r="N14" s="37">
        <v>14993653275023.914</v>
      </c>
      <c r="O14" s="37">
        <v>130379593695.86012</v>
      </c>
      <c r="P14" s="37"/>
      <c r="Q14" s="37"/>
    </row>
    <row r="15" spans="1:17" ht="13.5" thickBot="1">
      <c r="A15" s="3">
        <v>37622</v>
      </c>
      <c r="B15" s="27">
        <v>7894686</v>
      </c>
      <c r="C15" s="23">
        <v>990.4</v>
      </c>
      <c r="D15" s="23">
        <v>0</v>
      </c>
      <c r="E15" s="19">
        <v>31</v>
      </c>
      <c r="F15" s="19">
        <f>'GS &lt; 50 kW'!F15</f>
        <v>0</v>
      </c>
      <c r="G15" s="19">
        <v>0</v>
      </c>
      <c r="H15" s="19">
        <v>97</v>
      </c>
      <c r="I15" s="10">
        <f t="shared" si="0"/>
        <v>7691292.4488179935</v>
      </c>
      <c r="J15" s="10"/>
      <c r="K15" s="15"/>
      <c r="L15" s="52" t="s">
        <v>10</v>
      </c>
      <c r="M15" s="52">
        <v>119</v>
      </c>
      <c r="N15" s="52">
        <v>21611732088648.58</v>
      </c>
      <c r="O15" s="52"/>
      <c r="P15" s="52"/>
      <c r="Q15" s="52"/>
    </row>
    <row r="16" spans="1:11" ht="13.5" thickBot="1">
      <c r="A16" s="3">
        <v>37653</v>
      </c>
      <c r="B16" s="27">
        <v>7781308</v>
      </c>
      <c r="C16" s="23">
        <v>857.5</v>
      </c>
      <c r="D16" s="23">
        <v>0</v>
      </c>
      <c r="E16" s="19">
        <v>28</v>
      </c>
      <c r="F16" s="19">
        <f>'GS &lt; 50 kW'!F16</f>
        <v>0</v>
      </c>
      <c r="G16" s="19">
        <v>0</v>
      </c>
      <c r="H16" s="19">
        <v>97</v>
      </c>
      <c r="I16" s="10">
        <f t="shared" si="0"/>
        <v>7306366.476191254</v>
      </c>
      <c r="J16" s="10"/>
      <c r="K16" s="15"/>
    </row>
    <row r="17" spans="1:20" ht="12.75">
      <c r="A17" s="3">
        <v>37681</v>
      </c>
      <c r="B17" s="27">
        <v>7466346</v>
      </c>
      <c r="C17" s="23">
        <v>705</v>
      </c>
      <c r="D17" s="23">
        <v>0</v>
      </c>
      <c r="E17" s="19">
        <v>31</v>
      </c>
      <c r="F17" s="19">
        <f>'GS &lt; 50 kW'!F17</f>
        <v>0</v>
      </c>
      <c r="G17" s="19">
        <v>1</v>
      </c>
      <c r="H17" s="19">
        <v>96</v>
      </c>
      <c r="I17" s="10">
        <f t="shared" si="0"/>
        <v>7567284.644480983</v>
      </c>
      <c r="J17" s="10"/>
      <c r="K17" s="15"/>
      <c r="L17" s="53"/>
      <c r="M17" s="53" t="s">
        <v>37</v>
      </c>
      <c r="N17" s="53" t="s">
        <v>26</v>
      </c>
      <c r="O17" s="53" t="s">
        <v>38</v>
      </c>
      <c r="P17" s="53" t="s">
        <v>39</v>
      </c>
      <c r="Q17" s="53" t="s">
        <v>40</v>
      </c>
      <c r="R17" s="53" t="s">
        <v>41</v>
      </c>
      <c r="S17" s="53" t="s">
        <v>127</v>
      </c>
      <c r="T17" s="53" t="s">
        <v>128</v>
      </c>
    </row>
    <row r="18" spans="1:20" ht="12.75">
      <c r="A18" s="3">
        <v>37712</v>
      </c>
      <c r="B18" s="27">
        <v>6857135</v>
      </c>
      <c r="C18" s="23">
        <v>460.9</v>
      </c>
      <c r="D18" s="23">
        <v>0</v>
      </c>
      <c r="E18" s="19">
        <v>30</v>
      </c>
      <c r="F18" s="19">
        <f>'GS &lt; 50 kW'!F18</f>
        <v>0</v>
      </c>
      <c r="G18" s="19">
        <v>1</v>
      </c>
      <c r="H18" s="19">
        <v>96</v>
      </c>
      <c r="I18" s="10">
        <f t="shared" si="0"/>
        <v>7352161.83379741</v>
      </c>
      <c r="J18" s="10"/>
      <c r="K18" s="15"/>
      <c r="L18" s="37" t="s">
        <v>31</v>
      </c>
      <c r="M18" s="55">
        <v>3880096.133265687</v>
      </c>
      <c r="N18" s="37">
        <v>1249578.7071617537</v>
      </c>
      <c r="O18" s="55">
        <v>3.105123439626138</v>
      </c>
      <c r="P18" s="37">
        <v>0.002395212760737295</v>
      </c>
      <c r="Q18" s="37">
        <v>1404921.288026987</v>
      </c>
      <c r="R18" s="37">
        <v>6355270.978504388</v>
      </c>
      <c r="S18" s="37">
        <v>1404921.288026987</v>
      </c>
      <c r="T18" s="37">
        <v>6355270.978504388</v>
      </c>
    </row>
    <row r="19" spans="1:20" ht="12.75">
      <c r="A19" s="3">
        <v>37742</v>
      </c>
      <c r="B19" s="27">
        <v>7288276</v>
      </c>
      <c r="C19" s="23">
        <v>212.7</v>
      </c>
      <c r="D19" s="23">
        <v>0</v>
      </c>
      <c r="E19" s="19">
        <v>31</v>
      </c>
      <c r="F19" s="19">
        <f>'GS &lt; 50 kW'!F19</f>
        <v>0</v>
      </c>
      <c r="G19" s="19">
        <v>1</v>
      </c>
      <c r="H19" s="19">
        <v>98</v>
      </c>
      <c r="I19" s="10">
        <f t="shared" si="0"/>
        <v>7353377.699578704</v>
      </c>
      <c r="J19" s="10"/>
      <c r="K19" s="15"/>
      <c r="L19" s="37" t="s">
        <v>3</v>
      </c>
      <c r="M19" s="55">
        <v>434.50527097761176</v>
      </c>
      <c r="N19" s="37">
        <v>150.86011151574135</v>
      </c>
      <c r="O19" s="55">
        <v>2.8801865954624706</v>
      </c>
      <c r="P19" s="37">
        <v>0.0047417691628689335</v>
      </c>
      <c r="Q19" s="37">
        <v>135.68043422778698</v>
      </c>
      <c r="R19" s="37">
        <v>733.3301077274366</v>
      </c>
      <c r="S19" s="37">
        <v>135.68043422778698</v>
      </c>
      <c r="T19" s="37">
        <v>733.3301077274366</v>
      </c>
    </row>
    <row r="20" spans="1:20" ht="12.75">
      <c r="A20" s="3">
        <v>37773</v>
      </c>
      <c r="B20" s="27">
        <v>7267126</v>
      </c>
      <c r="C20" s="23">
        <v>74.8</v>
      </c>
      <c r="D20" s="23">
        <v>15.8</v>
      </c>
      <c r="E20" s="19">
        <v>30</v>
      </c>
      <c r="F20" s="19">
        <f>'GS &lt; 50 kW'!F20</f>
        <v>0</v>
      </c>
      <c r="G20" s="19">
        <v>0</v>
      </c>
      <c r="H20" s="19">
        <v>97</v>
      </c>
      <c r="I20" s="10">
        <f t="shared" si="0"/>
        <v>7309743.867626356</v>
      </c>
      <c r="J20" s="10"/>
      <c r="K20" s="15"/>
      <c r="L20" s="37" t="s">
        <v>4</v>
      </c>
      <c r="M20" s="55">
        <v>7933.1974021141</v>
      </c>
      <c r="N20" s="37">
        <v>1945.4735250600274</v>
      </c>
      <c r="O20" s="55">
        <v>4.077771966528982</v>
      </c>
      <c r="P20" s="37">
        <v>8.408922004016462E-05</v>
      </c>
      <c r="Q20" s="37">
        <v>4079.5888989379123</v>
      </c>
      <c r="R20" s="37">
        <v>11786.805905290288</v>
      </c>
      <c r="S20" s="37">
        <v>4079.5888989379123</v>
      </c>
      <c r="T20" s="37">
        <v>11786.805905290288</v>
      </c>
    </row>
    <row r="21" spans="1:20" ht="12.75">
      <c r="A21" s="3">
        <v>37803</v>
      </c>
      <c r="B21" s="27">
        <v>7566881.53</v>
      </c>
      <c r="C21" s="23">
        <v>21.9</v>
      </c>
      <c r="D21" s="23">
        <v>39</v>
      </c>
      <c r="E21" s="19">
        <v>31</v>
      </c>
      <c r="F21" s="19">
        <f>'GS &lt; 50 kW'!F21</f>
        <v>0</v>
      </c>
      <c r="G21" s="19">
        <v>0</v>
      </c>
      <c r="H21" s="19">
        <v>97</v>
      </c>
      <c r="I21" s="10">
        <f t="shared" si="0"/>
        <v>7579868.792558626</v>
      </c>
      <c r="J21" s="10"/>
      <c r="K21" s="15"/>
      <c r="L21" s="37" t="s">
        <v>5</v>
      </c>
      <c r="M21" s="55">
        <v>109060.07403793804</v>
      </c>
      <c r="N21" s="37">
        <v>40953.84449468856</v>
      </c>
      <c r="O21" s="55">
        <v>2.6629996617797973</v>
      </c>
      <c r="P21" s="37">
        <v>0.00885519486287009</v>
      </c>
      <c r="Q21" s="37">
        <v>27938.39268397687</v>
      </c>
      <c r="R21" s="37">
        <v>190181.7553918992</v>
      </c>
      <c r="S21" s="37">
        <v>27938.39268397687</v>
      </c>
      <c r="T21" s="37">
        <v>190181.7553918992</v>
      </c>
    </row>
    <row r="22" spans="1:20" ht="13.5" thickBot="1">
      <c r="A22" s="3">
        <v>37834</v>
      </c>
      <c r="B22" s="27">
        <v>7148835</v>
      </c>
      <c r="C22" s="23">
        <v>27.4</v>
      </c>
      <c r="D22" s="23">
        <v>60.9</v>
      </c>
      <c r="E22" s="19">
        <v>31</v>
      </c>
      <c r="F22" s="19">
        <f>'GS &lt; 50 kW'!F22</f>
        <v>0</v>
      </c>
      <c r="G22" s="19">
        <v>0</v>
      </c>
      <c r="H22" s="19">
        <v>96</v>
      </c>
      <c r="I22" s="10">
        <f t="shared" si="0"/>
        <v>7755995.594655302</v>
      </c>
      <c r="J22" s="10"/>
      <c r="K22" s="15"/>
      <c r="L22" s="52" t="s">
        <v>84</v>
      </c>
      <c r="M22" s="56">
        <v>-1.8413106886152635</v>
      </c>
      <c r="N22" s="52">
        <v>0.41128639375382037</v>
      </c>
      <c r="O22" s="56">
        <v>-4.476955028367407</v>
      </c>
      <c r="P22" s="52">
        <v>1.7933487802070065E-05</v>
      </c>
      <c r="Q22" s="52">
        <v>-2.6559898522196557</v>
      </c>
      <c r="R22" s="52">
        <v>-1.0266315250108713</v>
      </c>
      <c r="S22" s="52">
        <v>-2.6559898522196557</v>
      </c>
      <c r="T22" s="52">
        <v>-1.0266315250108713</v>
      </c>
    </row>
    <row r="23" spans="1:11" ht="12.75">
      <c r="A23" s="3">
        <v>37865</v>
      </c>
      <c r="B23" s="27">
        <v>6802882</v>
      </c>
      <c r="C23" s="23">
        <v>113.7</v>
      </c>
      <c r="D23" s="23">
        <v>5.6</v>
      </c>
      <c r="E23" s="19">
        <v>30</v>
      </c>
      <c r="F23" s="19">
        <f>'GS &lt; 50 kW'!F23</f>
        <v>0</v>
      </c>
      <c r="G23" s="19">
        <v>1</v>
      </c>
      <c r="H23" s="19">
        <v>95</v>
      </c>
      <c r="I23" s="10">
        <f t="shared" si="0"/>
        <v>7245727.509165822</v>
      </c>
      <c r="J23" s="10"/>
      <c r="K23" s="15"/>
    </row>
    <row r="24" spans="1:11" ht="12.75">
      <c r="A24" s="3">
        <v>37895</v>
      </c>
      <c r="B24" s="27">
        <v>7503098</v>
      </c>
      <c r="C24" s="23">
        <v>349.8</v>
      </c>
      <c r="D24" s="23">
        <v>0</v>
      </c>
      <c r="E24" s="19">
        <v>31</v>
      </c>
      <c r="F24" s="19">
        <f>'GS &lt; 50 kW'!F24</f>
        <v>0</v>
      </c>
      <c r="G24" s="19">
        <v>1</v>
      </c>
      <c r="H24" s="19">
        <v>95</v>
      </c>
      <c r="I24" s="10">
        <f t="shared" si="0"/>
        <v>7412948.372229735</v>
      </c>
      <c r="J24" s="10"/>
      <c r="K24" s="15"/>
    </row>
    <row r="25" spans="1:11" ht="12.75">
      <c r="A25" s="3">
        <v>37926</v>
      </c>
      <c r="B25" s="27">
        <v>7474749</v>
      </c>
      <c r="C25" s="23">
        <v>483.2</v>
      </c>
      <c r="D25" s="23">
        <v>0</v>
      </c>
      <c r="E25" s="19">
        <v>30</v>
      </c>
      <c r="F25" s="19">
        <f>'GS &lt; 50 kW'!F25</f>
        <v>0</v>
      </c>
      <c r="G25" s="19">
        <v>1</v>
      </c>
      <c r="H25" s="19">
        <v>95</v>
      </c>
      <c r="I25" s="10">
        <f t="shared" si="0"/>
        <v>7361851.30134021</v>
      </c>
      <c r="J25" s="10"/>
      <c r="K25" s="15"/>
    </row>
    <row r="26" spans="1:11" ht="12.75">
      <c r="A26" s="3">
        <v>37956</v>
      </c>
      <c r="B26" s="27">
        <v>7172946</v>
      </c>
      <c r="C26" s="23">
        <v>676.7</v>
      </c>
      <c r="D26" s="23">
        <v>0</v>
      </c>
      <c r="E26" s="19">
        <v>31</v>
      </c>
      <c r="F26" s="19">
        <f>'GS &lt; 50 kW'!F26</f>
        <v>0</v>
      </c>
      <c r="G26" s="19">
        <v>0</v>
      </c>
      <c r="H26" s="19">
        <v>95</v>
      </c>
      <c r="I26" s="10">
        <f t="shared" si="0"/>
        <v>7554988.145312317</v>
      </c>
      <c r="J26" s="10"/>
      <c r="K26" s="15"/>
    </row>
    <row r="27" spans="1:11" ht="12.75">
      <c r="A27" s="3">
        <v>37987</v>
      </c>
      <c r="B27" s="27">
        <v>8201918</v>
      </c>
      <c r="C27" s="23">
        <v>1041.1</v>
      </c>
      <c r="D27" s="23">
        <v>0</v>
      </c>
      <c r="E27" s="19">
        <v>31</v>
      </c>
      <c r="F27" s="19">
        <f>'GS &lt; 50 kW'!F27</f>
        <v>0</v>
      </c>
      <c r="G27" s="19">
        <v>0</v>
      </c>
      <c r="H27" s="19">
        <v>96</v>
      </c>
      <c r="I27" s="10">
        <f t="shared" si="0"/>
        <v>7713321.866056558</v>
      </c>
      <c r="J27" s="10"/>
      <c r="K27" s="15"/>
    </row>
    <row r="28" spans="1:11" ht="12.75">
      <c r="A28" s="3">
        <v>38018</v>
      </c>
      <c r="B28" s="27">
        <v>7652991</v>
      </c>
      <c r="C28" s="23">
        <v>746.8</v>
      </c>
      <c r="D28" s="23">
        <v>0</v>
      </c>
      <c r="E28" s="19">
        <v>29</v>
      </c>
      <c r="F28" s="19">
        <f>'GS &lt; 50 kW'!F28</f>
        <v>0</v>
      </c>
      <c r="G28" s="19">
        <v>0</v>
      </c>
      <c r="H28" s="19">
        <v>96</v>
      </c>
      <c r="I28" s="10">
        <f t="shared" si="0"/>
        <v>7367326.816731971</v>
      </c>
      <c r="J28" s="10"/>
      <c r="K28" s="15"/>
    </row>
    <row r="29" spans="1:11" ht="12.75">
      <c r="A29" s="3">
        <v>38047</v>
      </c>
      <c r="B29" s="27">
        <v>7652076</v>
      </c>
      <c r="C29" s="23">
        <v>592.8</v>
      </c>
      <c r="D29" s="23">
        <v>0</v>
      </c>
      <c r="E29" s="19">
        <v>31</v>
      </c>
      <c r="F29" s="19">
        <f>'GS &lt; 50 kW'!F29</f>
        <v>0</v>
      </c>
      <c r="G29" s="19">
        <v>1</v>
      </c>
      <c r="H29" s="19">
        <v>96</v>
      </c>
      <c r="I29" s="10">
        <f t="shared" si="0"/>
        <v>7518533.153077295</v>
      </c>
      <c r="J29" s="10"/>
      <c r="K29" s="15"/>
    </row>
    <row r="30" spans="1:11" ht="12.75">
      <c r="A30" s="3">
        <v>38078</v>
      </c>
      <c r="B30" s="27">
        <v>7290925</v>
      </c>
      <c r="C30" s="23">
        <v>395.9</v>
      </c>
      <c r="D30" s="23">
        <v>0</v>
      </c>
      <c r="E30" s="19">
        <v>30</v>
      </c>
      <c r="F30" s="19">
        <f>'GS &lt; 50 kW'!F30</f>
        <v>0</v>
      </c>
      <c r="G30" s="19">
        <v>1</v>
      </c>
      <c r="H30" s="19">
        <v>96</v>
      </c>
      <c r="I30" s="10">
        <f t="shared" si="0"/>
        <v>7323918.991183865</v>
      </c>
      <c r="J30" s="10"/>
      <c r="K30" s="15"/>
    </row>
    <row r="31" spans="1:11" ht="12.75">
      <c r="A31" s="3">
        <v>38108</v>
      </c>
      <c r="B31" s="27">
        <v>7158332</v>
      </c>
      <c r="C31" s="23">
        <v>236</v>
      </c>
      <c r="D31" s="23">
        <v>5.5</v>
      </c>
      <c r="E31" s="19">
        <v>31</v>
      </c>
      <c r="F31" s="19">
        <f>'GS &lt; 50 kW'!F31</f>
        <v>0</v>
      </c>
      <c r="G31" s="19">
        <v>1</v>
      </c>
      <c r="H31" s="19">
        <v>95</v>
      </c>
      <c r="I31" s="10">
        <f t="shared" si="0"/>
        <v>7407134.25810411</v>
      </c>
      <c r="J31" s="10"/>
      <c r="K31" s="15"/>
    </row>
    <row r="32" spans="1:11" ht="12.75">
      <c r="A32" s="3">
        <v>38139</v>
      </c>
      <c r="B32" s="27">
        <v>7240943</v>
      </c>
      <c r="C32" s="23">
        <v>110.4</v>
      </c>
      <c r="D32" s="23">
        <v>15.2</v>
      </c>
      <c r="E32" s="19">
        <v>30</v>
      </c>
      <c r="F32" s="19">
        <f>'GS &lt; 50 kW'!F32</f>
        <v>0</v>
      </c>
      <c r="G32" s="19">
        <v>0</v>
      </c>
      <c r="H32" s="19">
        <v>95</v>
      </c>
      <c r="I32" s="10">
        <f t="shared" si="0"/>
        <v>7320452.336831891</v>
      </c>
      <c r="J32" s="10"/>
      <c r="K32" s="15"/>
    </row>
    <row r="33" spans="1:11" ht="12.75">
      <c r="A33" s="3">
        <v>38169</v>
      </c>
      <c r="B33" s="27">
        <v>7713073</v>
      </c>
      <c r="C33" s="23">
        <v>21.5</v>
      </c>
      <c r="D33" s="23">
        <v>45.2</v>
      </c>
      <c r="E33" s="19">
        <v>31</v>
      </c>
      <c r="F33" s="19">
        <f>'GS &lt; 50 kW'!F33</f>
        <v>0</v>
      </c>
      <c r="G33" s="19">
        <v>0</v>
      </c>
      <c r="H33" s="19">
        <v>94</v>
      </c>
      <c r="I33" s="10">
        <f t="shared" si="0"/>
        <v>7628880.814343343</v>
      </c>
      <c r="J33" s="10"/>
      <c r="K33" s="15"/>
    </row>
    <row r="34" spans="1:11" ht="12.75">
      <c r="A34" s="3">
        <v>38200</v>
      </c>
      <c r="B34" s="27">
        <v>7290529</v>
      </c>
      <c r="C34" s="23">
        <v>69.8</v>
      </c>
      <c r="D34" s="23">
        <v>28.4</v>
      </c>
      <c r="E34" s="19">
        <v>31</v>
      </c>
      <c r="F34" s="19">
        <f>'GS &lt; 50 kW'!F34</f>
        <v>0</v>
      </c>
      <c r="G34" s="19">
        <v>0</v>
      </c>
      <c r="H34" s="19">
        <v>94</v>
      </c>
      <c r="I34" s="10">
        <f t="shared" si="0"/>
        <v>7516589.702576045</v>
      </c>
      <c r="J34" s="10"/>
      <c r="K34" s="15"/>
    </row>
    <row r="35" spans="1:11" ht="12.75">
      <c r="A35" s="3">
        <v>38231</v>
      </c>
      <c r="B35" s="27">
        <v>7532953</v>
      </c>
      <c r="C35" s="23">
        <v>88.4</v>
      </c>
      <c r="D35" s="23">
        <v>17.9</v>
      </c>
      <c r="E35" s="19">
        <v>30</v>
      </c>
      <c r="F35" s="19">
        <f>'GS &lt; 50 kW'!F35</f>
        <v>0</v>
      </c>
      <c r="G35" s="19">
        <v>1</v>
      </c>
      <c r="H35" s="19">
        <v>94</v>
      </c>
      <c r="I35" s="10">
        <f t="shared" si="0"/>
        <v>7332312.853856091</v>
      </c>
      <c r="J35" s="10"/>
      <c r="K35" s="15"/>
    </row>
    <row r="36" spans="1:11" ht="12.75">
      <c r="A36" s="3">
        <v>38261</v>
      </c>
      <c r="B36" s="27">
        <v>7357704</v>
      </c>
      <c r="C36" s="23">
        <v>310.8</v>
      </c>
      <c r="D36" s="23">
        <v>0</v>
      </c>
      <c r="E36" s="19">
        <v>31</v>
      </c>
      <c r="F36" s="19">
        <f>'GS &lt; 50 kW'!F36</f>
        <v>0</v>
      </c>
      <c r="G36" s="19">
        <v>1</v>
      </c>
      <c r="H36" s="19">
        <v>94</v>
      </c>
      <c r="I36" s="10">
        <f t="shared" si="0"/>
        <v>7396002.666661609</v>
      </c>
      <c r="J36" s="10"/>
      <c r="K36" s="15"/>
    </row>
    <row r="37" spans="1:11" ht="12.75">
      <c r="A37" s="3">
        <v>38292</v>
      </c>
      <c r="B37" s="27">
        <v>7148923</v>
      </c>
      <c r="C37" s="23">
        <v>485.2</v>
      </c>
      <c r="D37" s="23">
        <v>0</v>
      </c>
      <c r="E37" s="19">
        <v>30</v>
      </c>
      <c r="F37" s="19">
        <f>'GS &lt; 50 kW'!F37</f>
        <v>0</v>
      </c>
      <c r="G37" s="19">
        <v>1</v>
      </c>
      <c r="H37" s="19">
        <v>93</v>
      </c>
      <c r="I37" s="10">
        <f t="shared" si="0"/>
        <v>7362720.311882165</v>
      </c>
      <c r="J37" s="10"/>
      <c r="K37" s="15"/>
    </row>
    <row r="38" spans="1:11" ht="12.75">
      <c r="A38" s="3">
        <v>38322</v>
      </c>
      <c r="B38" s="27">
        <v>7462848</v>
      </c>
      <c r="C38" s="23">
        <v>801</v>
      </c>
      <c r="D38" s="23">
        <v>0</v>
      </c>
      <c r="E38" s="19">
        <v>31</v>
      </c>
      <c r="F38" s="19">
        <f>'GS &lt; 50 kW'!F38</f>
        <v>0</v>
      </c>
      <c r="G38" s="19">
        <v>0</v>
      </c>
      <c r="H38" s="19">
        <v>94</v>
      </c>
      <c r="I38" s="10">
        <f t="shared" si="0"/>
        <v>7608997.1504948335</v>
      </c>
      <c r="J38" s="10"/>
      <c r="K38" s="15"/>
    </row>
    <row r="39" spans="1:11" ht="12.75">
      <c r="A39" s="3">
        <v>38353</v>
      </c>
      <c r="B39" s="27">
        <v>8128873</v>
      </c>
      <c r="C39" s="23">
        <v>486</v>
      </c>
      <c r="D39" s="23">
        <v>0</v>
      </c>
      <c r="E39" s="19">
        <v>31</v>
      </c>
      <c r="F39" s="19">
        <f>'GS &lt; 50 kW'!F39</f>
        <v>0</v>
      </c>
      <c r="G39" s="19">
        <v>0</v>
      </c>
      <c r="H39" s="19">
        <v>94</v>
      </c>
      <c r="I39" s="10">
        <f t="shared" si="0"/>
        <v>7472127.990136886</v>
      </c>
      <c r="J39" s="10"/>
      <c r="K39" s="15"/>
    </row>
    <row r="40" spans="1:11" ht="12.75">
      <c r="A40" s="3">
        <v>38384</v>
      </c>
      <c r="B40" s="27">
        <v>7388133</v>
      </c>
      <c r="C40" s="23">
        <v>737.4</v>
      </c>
      <c r="D40" s="23">
        <v>0</v>
      </c>
      <c r="E40" s="19">
        <v>28</v>
      </c>
      <c r="F40" s="19">
        <f>'GS &lt; 50 kW'!F40</f>
        <v>0</v>
      </c>
      <c r="G40" s="19">
        <v>0</v>
      </c>
      <c r="H40" s="19">
        <v>94</v>
      </c>
      <c r="I40" s="10">
        <f t="shared" si="0"/>
        <v>7254182.393146844</v>
      </c>
      <c r="J40" s="10"/>
      <c r="K40" s="15"/>
    </row>
    <row r="41" spans="1:11" ht="12.75">
      <c r="A41" s="3">
        <v>38412</v>
      </c>
      <c r="B41" s="27">
        <v>7849828</v>
      </c>
      <c r="C41" s="23">
        <v>746.4</v>
      </c>
      <c r="D41" s="23">
        <v>0</v>
      </c>
      <c r="E41" s="19">
        <v>31</v>
      </c>
      <c r="F41" s="19">
        <f>'GS &lt; 50 kW'!F41</f>
        <v>0</v>
      </c>
      <c r="G41" s="19">
        <v>1</v>
      </c>
      <c r="H41" s="19">
        <v>95</v>
      </c>
      <c r="I41" s="10">
        <f t="shared" si="0"/>
        <v>7585273.162699456</v>
      </c>
      <c r="J41" s="10"/>
      <c r="K41" s="15"/>
    </row>
    <row r="42" spans="1:11" ht="12.75">
      <c r="A42" s="3">
        <v>38443</v>
      </c>
      <c r="B42" s="27">
        <v>6974704</v>
      </c>
      <c r="C42" s="23">
        <v>381.2</v>
      </c>
      <c r="D42" s="23">
        <v>0</v>
      </c>
      <c r="E42" s="19">
        <v>30</v>
      </c>
      <c r="F42" s="19">
        <f>'GS &lt; 50 kW'!F42</f>
        <v>0</v>
      </c>
      <c r="G42" s="19">
        <v>1</v>
      </c>
      <c r="H42" s="19">
        <v>96</v>
      </c>
      <c r="I42" s="10">
        <f t="shared" si="0"/>
        <v>7317531.763700495</v>
      </c>
      <c r="J42" s="10"/>
      <c r="K42" s="15"/>
    </row>
    <row r="43" spans="1:11" ht="12.75">
      <c r="A43" s="3">
        <v>38473</v>
      </c>
      <c r="B43" s="27">
        <v>7031142</v>
      </c>
      <c r="C43" s="23">
        <v>252.2</v>
      </c>
      <c r="D43" s="23">
        <v>0.4</v>
      </c>
      <c r="E43" s="19">
        <v>31</v>
      </c>
      <c r="F43" s="19">
        <f>'GS &lt; 50 kW'!F43</f>
        <v>0</v>
      </c>
      <c r="G43" s="19">
        <v>1</v>
      </c>
      <c r="H43" s="19">
        <v>97</v>
      </c>
      <c r="I43" s="10">
        <f t="shared" si="0"/>
        <v>7373713.936743166</v>
      </c>
      <c r="J43" s="10"/>
      <c r="K43" s="15"/>
    </row>
    <row r="44" spans="1:11" ht="12.75">
      <c r="A44" s="3">
        <v>38504</v>
      </c>
      <c r="B44" s="27">
        <v>7488053</v>
      </c>
      <c r="C44" s="23">
        <v>33.5</v>
      </c>
      <c r="D44" s="23">
        <v>76.8</v>
      </c>
      <c r="E44" s="19">
        <v>30</v>
      </c>
      <c r="F44" s="19">
        <f>'GS &lt; 50 kW'!F44</f>
        <v>0</v>
      </c>
      <c r="G44" s="19">
        <v>0</v>
      </c>
      <c r="H44" s="19">
        <v>98</v>
      </c>
      <c r="I44" s="10">
        <f t="shared" si="0"/>
        <v>7775723.841463941</v>
      </c>
      <c r="J44" s="10"/>
      <c r="K44" s="15"/>
    </row>
    <row r="45" spans="1:11" ht="12.75">
      <c r="A45" s="3">
        <v>38534</v>
      </c>
      <c r="B45" s="27">
        <v>7690411</v>
      </c>
      <c r="C45" s="23">
        <v>14.8</v>
      </c>
      <c r="D45" s="23">
        <v>87.8</v>
      </c>
      <c r="E45" s="19">
        <v>31</v>
      </c>
      <c r="F45" s="19">
        <f>'GS &lt; 50 kW'!F45</f>
        <v>0</v>
      </c>
      <c r="G45" s="19">
        <v>0</v>
      </c>
      <c r="H45" s="19">
        <v>97</v>
      </c>
      <c r="I45" s="10">
        <f t="shared" si="0"/>
        <v>7963923.838357854</v>
      </c>
      <c r="J45" s="10"/>
      <c r="K45" s="15"/>
    </row>
    <row r="46" spans="1:11" ht="12.75">
      <c r="A46" s="3">
        <v>38565</v>
      </c>
      <c r="B46" s="27">
        <v>7828805</v>
      </c>
      <c r="C46" s="23">
        <v>13.2</v>
      </c>
      <c r="D46" s="23">
        <v>59.8</v>
      </c>
      <c r="E46" s="19">
        <v>31</v>
      </c>
      <c r="F46" s="19">
        <f>'GS &lt; 50 kW'!F46</f>
        <v>0</v>
      </c>
      <c r="G46" s="19">
        <v>0</v>
      </c>
      <c r="H46" s="19">
        <v>97</v>
      </c>
      <c r="I46" s="10">
        <f t="shared" si="0"/>
        <v>7741099.102665095</v>
      </c>
      <c r="J46" s="10"/>
      <c r="K46" s="15"/>
    </row>
    <row r="47" spans="1:11" ht="12.75">
      <c r="A47" s="3">
        <v>38596</v>
      </c>
      <c r="B47" s="27">
        <v>7541197</v>
      </c>
      <c r="C47" s="23">
        <v>78</v>
      </c>
      <c r="D47" s="23">
        <v>12.6</v>
      </c>
      <c r="E47" s="19">
        <v>30</v>
      </c>
      <c r="F47" s="19">
        <f>'GS &lt; 50 kW'!F47</f>
        <v>0</v>
      </c>
      <c r="G47" s="19">
        <v>1</v>
      </c>
      <c r="H47" s="19">
        <v>97</v>
      </c>
      <c r="I47" s="10">
        <f t="shared" si="0"/>
        <v>7285748.05280672</v>
      </c>
      <c r="J47" s="10"/>
      <c r="K47" s="15"/>
    </row>
    <row r="48" spans="1:11" ht="12.75">
      <c r="A48" s="3">
        <v>38626</v>
      </c>
      <c r="B48" s="27">
        <v>7407605</v>
      </c>
      <c r="C48" s="23">
        <v>279.7</v>
      </c>
      <c r="D48" s="23">
        <v>6.7</v>
      </c>
      <c r="E48" s="19">
        <v>31</v>
      </c>
      <c r="F48" s="19">
        <f>'GS &lt; 50 kW'!F48</f>
        <v>0</v>
      </c>
      <c r="G48" s="19">
        <v>1</v>
      </c>
      <c r="H48" s="19">
        <v>96</v>
      </c>
      <c r="I48" s="10">
        <f t="shared" si="0"/>
        <v>7435641.975328369</v>
      </c>
      <c r="J48" s="10"/>
      <c r="K48" s="15"/>
    </row>
    <row r="49" spans="1:11" ht="12.75">
      <c r="A49" s="3">
        <v>38657</v>
      </c>
      <c r="B49" s="27">
        <v>7348826</v>
      </c>
      <c r="C49" s="23">
        <v>491.1</v>
      </c>
      <c r="D49" s="23">
        <v>0</v>
      </c>
      <c r="E49" s="19">
        <v>30</v>
      </c>
      <c r="F49" s="19">
        <f>'GS &lt; 50 kW'!F49</f>
        <v>0</v>
      </c>
      <c r="G49" s="19">
        <v>1</v>
      </c>
      <c r="H49" s="19">
        <v>96</v>
      </c>
      <c r="I49" s="10">
        <f t="shared" si="0"/>
        <v>7365283.892980933</v>
      </c>
      <c r="J49" s="10"/>
      <c r="K49" s="15"/>
    </row>
    <row r="50" spans="1:11" ht="12.75">
      <c r="A50" s="3">
        <v>38687</v>
      </c>
      <c r="B50" s="27">
        <v>7610639</v>
      </c>
      <c r="C50" s="23">
        <v>785.6</v>
      </c>
      <c r="D50" s="23">
        <v>0</v>
      </c>
      <c r="E50" s="19">
        <v>31</v>
      </c>
      <c r="F50" s="19">
        <f>'GS &lt; 50 kW'!F50</f>
        <v>0</v>
      </c>
      <c r="G50" s="19">
        <v>0</v>
      </c>
      <c r="H50" s="19">
        <v>96</v>
      </c>
      <c r="I50" s="10">
        <f t="shared" si="0"/>
        <v>7602305.769321779</v>
      </c>
      <c r="J50" s="10"/>
      <c r="K50" s="15"/>
    </row>
    <row r="51" spans="1:11" ht="12.75">
      <c r="A51" s="3">
        <v>38718</v>
      </c>
      <c r="B51" s="27">
        <v>7916694</v>
      </c>
      <c r="C51" s="23">
        <v>706.5</v>
      </c>
      <c r="D51" s="23">
        <v>0</v>
      </c>
      <c r="E51" s="19">
        <v>31</v>
      </c>
      <c r="F51" s="19">
        <f>'GS &lt; 50 kW'!F51</f>
        <v>9482.992158121597</v>
      </c>
      <c r="G51" s="19">
        <v>0</v>
      </c>
      <c r="H51" s="19">
        <v>95</v>
      </c>
      <c r="I51" s="10">
        <f t="shared" si="0"/>
        <v>7550475.2675666455</v>
      </c>
      <c r="J51" s="10"/>
      <c r="K51" s="15"/>
    </row>
    <row r="52" spans="1:11" ht="12.75">
      <c r="A52" s="3">
        <v>38749</v>
      </c>
      <c r="B52" s="27">
        <v>7191167</v>
      </c>
      <c r="C52" s="23">
        <v>751.2</v>
      </c>
      <c r="D52" s="23">
        <v>0</v>
      </c>
      <c r="E52" s="19">
        <v>28</v>
      </c>
      <c r="F52" s="19">
        <f>'GS &lt; 50 kW'!F52</f>
        <v>18965.984316243193</v>
      </c>
      <c r="G52" s="19">
        <v>0</v>
      </c>
      <c r="H52" s="19">
        <v>95</v>
      </c>
      <c r="I52" s="10">
        <f t="shared" si="0"/>
        <v>7225256.2962447265</v>
      </c>
      <c r="J52" s="10"/>
      <c r="K52" s="15"/>
    </row>
    <row r="53" spans="1:11" ht="12.75">
      <c r="A53" s="3">
        <v>38777</v>
      </c>
      <c r="B53" s="27">
        <v>7844227</v>
      </c>
      <c r="C53" s="23">
        <v>663.4</v>
      </c>
      <c r="D53" s="23">
        <v>0</v>
      </c>
      <c r="E53" s="19">
        <v>31</v>
      </c>
      <c r="F53" s="19">
        <f>'GS &lt; 50 kW'!F53</f>
        <v>28448.97647436479</v>
      </c>
      <c r="G53" s="19">
        <v>1</v>
      </c>
      <c r="H53" s="19">
        <v>95</v>
      </c>
      <c r="I53" s="10">
        <f t="shared" si="0"/>
        <v>7496825.820745902</v>
      </c>
      <c r="J53" s="10"/>
      <c r="K53" s="15"/>
    </row>
    <row r="54" spans="1:11" ht="12.75">
      <c r="A54" s="3">
        <v>38808</v>
      </c>
      <c r="B54" s="27">
        <v>7015219</v>
      </c>
      <c r="C54" s="23">
        <v>362.7</v>
      </c>
      <c r="D54" s="23">
        <v>0</v>
      </c>
      <c r="E54" s="19">
        <v>30</v>
      </c>
      <c r="F54" s="19">
        <f>'GS &lt; 50 kW'!F54</f>
        <v>37931.96863248639</v>
      </c>
      <c r="G54" s="19">
        <v>1</v>
      </c>
      <c r="H54" s="19">
        <v>92</v>
      </c>
      <c r="I54" s="10">
        <f t="shared" si="0"/>
        <v>7239648.876904191</v>
      </c>
      <c r="J54" s="10"/>
      <c r="K54" s="15"/>
    </row>
    <row r="55" spans="1:11" ht="12.75">
      <c r="A55" s="3">
        <v>38838</v>
      </c>
      <c r="B55" s="27">
        <v>7536366</v>
      </c>
      <c r="C55" s="23">
        <v>181.7</v>
      </c>
      <c r="D55" s="23">
        <v>14</v>
      </c>
      <c r="E55" s="19">
        <v>31</v>
      </c>
      <c r="F55" s="19">
        <f>'GS &lt; 50 kW'!F55</f>
        <v>47414.960790607984</v>
      </c>
      <c r="G55" s="19">
        <v>1</v>
      </c>
      <c r="H55" s="19">
        <v>92</v>
      </c>
      <c r="I55" s="10">
        <f t="shared" si="0"/>
        <v>7363667.1257039765</v>
      </c>
      <c r="J55" s="10"/>
      <c r="K55" s="15"/>
    </row>
    <row r="56" spans="1:11" ht="12.75">
      <c r="A56" s="3">
        <v>38869</v>
      </c>
      <c r="B56" s="27">
        <v>7474927</v>
      </c>
      <c r="C56" s="23">
        <v>58.5</v>
      </c>
      <c r="D56" s="23">
        <v>31.3</v>
      </c>
      <c r="E56" s="19">
        <v>30</v>
      </c>
      <c r="F56" s="19">
        <f>'GS &lt; 50 kW'!F56</f>
        <v>56897.95294872958</v>
      </c>
      <c r="G56" s="19">
        <v>0</v>
      </c>
      <c r="H56" s="19">
        <v>92</v>
      </c>
      <c r="I56" s="10">
        <f t="shared" si="0"/>
        <v>7320859.182517366</v>
      </c>
      <c r="J56" s="10"/>
      <c r="K56" s="15"/>
    </row>
    <row r="57" spans="1:11" ht="12.75">
      <c r="A57" s="3">
        <v>38899</v>
      </c>
      <c r="B57" s="27">
        <v>7876777</v>
      </c>
      <c r="C57" s="23">
        <v>4.9</v>
      </c>
      <c r="D57" s="23">
        <v>83.4</v>
      </c>
      <c r="E57" s="19">
        <v>31</v>
      </c>
      <c r="F57" s="19">
        <f>'GS &lt; 50 kW'!F57</f>
        <v>66380.94510685117</v>
      </c>
      <c r="G57" s="19">
        <v>0</v>
      </c>
      <c r="H57" s="19">
        <v>92</v>
      </c>
      <c r="I57" s="10">
        <f t="shared" si="0"/>
        <v>7802488.223860245</v>
      </c>
      <c r="J57" s="10"/>
      <c r="K57" s="15"/>
    </row>
    <row r="58" spans="1:11" ht="12.75">
      <c r="A58" s="3">
        <v>38930</v>
      </c>
      <c r="B58" s="27">
        <v>7864500</v>
      </c>
      <c r="C58" s="23">
        <v>43.7</v>
      </c>
      <c r="D58" s="23">
        <v>39.9</v>
      </c>
      <c r="E58" s="19">
        <v>31</v>
      </c>
      <c r="F58" s="19">
        <f>'GS &lt; 50 kW'!F58</f>
        <v>75863.93726497277</v>
      </c>
      <c r="G58" s="19">
        <v>0</v>
      </c>
      <c r="H58" s="19">
        <v>92</v>
      </c>
      <c r="I58" s="10">
        <f t="shared" si="0"/>
        <v>7456791.806561409</v>
      </c>
      <c r="J58" s="10"/>
      <c r="K58" s="15"/>
    </row>
    <row r="59" spans="1:11" ht="12.75">
      <c r="A59" s="3">
        <v>38961</v>
      </c>
      <c r="B59" s="27">
        <v>7168963</v>
      </c>
      <c r="C59" s="23">
        <v>163.5</v>
      </c>
      <c r="D59" s="23">
        <v>0.7</v>
      </c>
      <c r="E59" s="19">
        <v>30</v>
      </c>
      <c r="F59" s="19">
        <f>'GS &lt; 50 kW'!F59</f>
        <v>85346.92942309438</v>
      </c>
      <c r="G59" s="19">
        <v>1</v>
      </c>
      <c r="H59" s="19">
        <v>93</v>
      </c>
      <c r="I59" s="10">
        <f t="shared" si="0"/>
        <v>7071342.991002912</v>
      </c>
      <c r="J59" s="10"/>
      <c r="K59" s="15"/>
    </row>
    <row r="60" spans="1:11" ht="12.75">
      <c r="A60" s="3">
        <v>38991</v>
      </c>
      <c r="B60" s="27">
        <v>7644103</v>
      </c>
      <c r="C60" s="23">
        <v>366.1</v>
      </c>
      <c r="D60" s="23">
        <v>0</v>
      </c>
      <c r="E60" s="19">
        <v>31</v>
      </c>
      <c r="F60" s="19">
        <f>'GS &lt; 50 kW'!F60</f>
        <v>94829.92158121598</v>
      </c>
      <c r="G60" s="19">
        <v>1</v>
      </c>
      <c r="H60" s="19">
        <v>93</v>
      </c>
      <c r="I60" s="10">
        <f t="shared" si="0"/>
        <v>7245419.45993863</v>
      </c>
      <c r="J60" s="10"/>
      <c r="K60" s="15"/>
    </row>
    <row r="61" spans="1:11" ht="12.75">
      <c r="A61" s="3">
        <v>39022</v>
      </c>
      <c r="B61" s="27">
        <v>7462471</v>
      </c>
      <c r="C61" s="23">
        <v>441.1</v>
      </c>
      <c r="D61" s="23">
        <v>0</v>
      </c>
      <c r="E61" s="19">
        <v>30</v>
      </c>
      <c r="F61" s="19">
        <f>'GS &lt; 50 kW'!F61</f>
        <v>104312.91373933759</v>
      </c>
      <c r="G61" s="19">
        <v>1</v>
      </c>
      <c r="H61" s="19">
        <v>93</v>
      </c>
      <c r="I61" s="10">
        <f t="shared" si="0"/>
        <v>7151486.146403208</v>
      </c>
      <c r="J61" s="10"/>
      <c r="K61" s="15"/>
    </row>
    <row r="62" spans="1:11" ht="12.75">
      <c r="A62" s="3">
        <v>39052</v>
      </c>
      <c r="B62" s="27">
        <v>7038592</v>
      </c>
      <c r="C62" s="23">
        <v>610</v>
      </c>
      <c r="D62" s="23">
        <v>0</v>
      </c>
      <c r="E62" s="19">
        <v>31</v>
      </c>
      <c r="F62" s="19">
        <f>'GS &lt; 50 kW'!F62</f>
        <v>113795.90589745919</v>
      </c>
      <c r="G62" s="19">
        <v>0</v>
      </c>
      <c r="H62" s="19">
        <v>94</v>
      </c>
      <c r="I62" s="10">
        <f t="shared" si="0"/>
        <v>7316473.025888462</v>
      </c>
      <c r="J62" s="10"/>
      <c r="K62" s="15"/>
    </row>
    <row r="63" spans="1:11" ht="12.75">
      <c r="A63" s="3">
        <v>39083</v>
      </c>
      <c r="B63" s="27">
        <v>7955353</v>
      </c>
      <c r="C63" s="23">
        <v>826.1</v>
      </c>
      <c r="D63" s="23">
        <v>0</v>
      </c>
      <c r="E63" s="19">
        <v>31</v>
      </c>
      <c r="F63" s="19">
        <f>'GS &lt; 50 kW'!F63</f>
        <v>113676.46837958093</v>
      </c>
      <c r="G63" s="19">
        <v>0</v>
      </c>
      <c r="H63" s="19">
        <v>94</v>
      </c>
      <c r="I63" s="10">
        <f t="shared" si="0"/>
        <v>7410589.536525015</v>
      </c>
      <c r="J63" s="10"/>
      <c r="K63" s="15"/>
    </row>
    <row r="64" spans="1:11" ht="12.75">
      <c r="A64" s="3">
        <v>39114</v>
      </c>
      <c r="B64" s="27">
        <v>7485238</v>
      </c>
      <c r="C64" s="23">
        <v>847.5</v>
      </c>
      <c r="D64" s="23">
        <v>0</v>
      </c>
      <c r="E64" s="19">
        <v>28</v>
      </c>
      <c r="F64" s="19">
        <f>'GS &lt; 50 kW'!F64</f>
        <v>113557.03086170266</v>
      </c>
      <c r="G64" s="19">
        <v>0</v>
      </c>
      <c r="H64" s="19">
        <v>94</v>
      </c>
      <c r="I64" s="10">
        <f t="shared" si="0"/>
        <v>7092927.648788412</v>
      </c>
      <c r="J64" s="10"/>
      <c r="K64" s="15"/>
    </row>
    <row r="65" spans="1:11" ht="12.75">
      <c r="A65" s="3">
        <v>39142</v>
      </c>
      <c r="B65" s="27">
        <v>7839345</v>
      </c>
      <c r="C65" s="23">
        <v>653.1</v>
      </c>
      <c r="D65" s="23">
        <v>0</v>
      </c>
      <c r="E65" s="19">
        <v>31</v>
      </c>
      <c r="F65" s="19">
        <f>'GS &lt; 50 kW'!F65</f>
        <v>113437.5933438244</v>
      </c>
      <c r="G65" s="19">
        <v>1</v>
      </c>
      <c r="H65" s="19">
        <v>94</v>
      </c>
      <c r="I65" s="10">
        <f t="shared" si="0"/>
        <v>7335859.96780247</v>
      </c>
      <c r="J65" s="10"/>
      <c r="K65" s="15"/>
    </row>
    <row r="66" spans="1:11" ht="12.75">
      <c r="A66" s="3">
        <v>39173</v>
      </c>
      <c r="B66" s="27">
        <v>7214990</v>
      </c>
      <c r="C66" s="23">
        <v>426.6</v>
      </c>
      <c r="D66" s="23">
        <v>0</v>
      </c>
      <c r="E66" s="19">
        <v>30</v>
      </c>
      <c r="F66" s="19">
        <f>'GS &lt; 50 kW'!F66</f>
        <v>113318.15582594613</v>
      </c>
      <c r="G66" s="19">
        <v>1</v>
      </c>
      <c r="H66" s="19">
        <v>95</v>
      </c>
      <c r="I66" s="10">
        <f t="shared" si="0"/>
        <v>7128604.371466393</v>
      </c>
      <c r="J66" s="10"/>
      <c r="K66" s="15"/>
    </row>
    <row r="67" spans="1:11" ht="12.75">
      <c r="A67" s="3">
        <v>39203</v>
      </c>
      <c r="B67" s="27">
        <v>7438447</v>
      </c>
      <c r="C67" s="23">
        <v>203.5</v>
      </c>
      <c r="D67" s="23">
        <v>9.1</v>
      </c>
      <c r="E67" s="19">
        <v>31</v>
      </c>
      <c r="F67" s="19">
        <f>'GS &lt; 50 kW'!F67</f>
        <v>113198.71830806787</v>
      </c>
      <c r="G67" s="19">
        <v>1</v>
      </c>
      <c r="H67" s="19">
        <v>96</v>
      </c>
      <c r="I67" s="10">
        <f t="shared" si="0"/>
        <v>7213138.337486756</v>
      </c>
      <c r="J67" s="10"/>
      <c r="K67" s="15"/>
    </row>
    <row r="68" spans="1:11" ht="12.75">
      <c r="A68" s="3">
        <v>39234</v>
      </c>
      <c r="B68" s="27">
        <v>7683898</v>
      </c>
      <c r="C68" s="23">
        <v>62.6</v>
      </c>
      <c r="D68" s="23">
        <v>43</v>
      </c>
      <c r="E68" s="19">
        <v>30</v>
      </c>
      <c r="F68" s="19">
        <f>'GS &lt; 50 kW'!F68</f>
        <v>113079.2807901896</v>
      </c>
      <c r="G68" s="19">
        <v>0</v>
      </c>
      <c r="H68" s="19">
        <v>96</v>
      </c>
      <c r="I68" s="10">
        <f aca="true" t="shared" si="1" ref="I68:I131">$M$18+C68*$M$19+D68*$M$20+E68*$M$21+F68*$M$22+H68*$M$24</f>
        <v>7312011.7842780305</v>
      </c>
      <c r="J68" s="10"/>
      <c r="K68" s="15"/>
    </row>
    <row r="69" spans="1:11" ht="12.75">
      <c r="A69" s="3">
        <v>39264</v>
      </c>
      <c r="B69" s="27">
        <v>7749475</v>
      </c>
      <c r="C69" s="23">
        <v>39.5</v>
      </c>
      <c r="D69" s="23">
        <v>43.6</v>
      </c>
      <c r="E69" s="19">
        <v>31</v>
      </c>
      <c r="F69" s="19">
        <f>'GS &lt; 50 kW'!F69</f>
        <v>112959.84327231134</v>
      </c>
      <c r="G69" s="19">
        <v>0</v>
      </c>
      <c r="H69" s="19">
        <v>96</v>
      </c>
      <c r="I69" s="10">
        <f t="shared" si="1"/>
        <v>7416014.626575945</v>
      </c>
      <c r="J69" s="10"/>
      <c r="K69" s="15"/>
    </row>
    <row r="70" spans="1:11" ht="12.75">
      <c r="A70" s="3">
        <v>39295</v>
      </c>
      <c r="B70" s="27">
        <v>7754043</v>
      </c>
      <c r="C70" s="23">
        <v>26.7</v>
      </c>
      <c r="D70" s="23">
        <v>52.3</v>
      </c>
      <c r="E70" s="19">
        <v>31</v>
      </c>
      <c r="F70" s="19">
        <f>'GS &lt; 50 kW'!F70</f>
        <v>112840.40575443307</v>
      </c>
      <c r="G70" s="19">
        <v>0</v>
      </c>
      <c r="H70" s="19">
        <v>96</v>
      </c>
      <c r="I70" s="10">
        <f t="shared" si="1"/>
        <v>7479691.698084115</v>
      </c>
      <c r="J70" s="10"/>
      <c r="K70" s="15"/>
    </row>
    <row r="71" spans="1:11" ht="12.75">
      <c r="A71" s="3">
        <v>39326</v>
      </c>
      <c r="B71" s="27">
        <v>7651890</v>
      </c>
      <c r="C71" s="23">
        <v>100.1</v>
      </c>
      <c r="D71" s="23">
        <v>14.4</v>
      </c>
      <c r="E71" s="19">
        <v>30</v>
      </c>
      <c r="F71" s="19">
        <f>'GS &lt; 50 kW'!F71</f>
        <v>112720.9682365548</v>
      </c>
      <c r="G71" s="19">
        <v>1</v>
      </c>
      <c r="H71" s="19">
        <v>96</v>
      </c>
      <c r="I71" s="10">
        <f t="shared" si="1"/>
        <v>7102076.0509741</v>
      </c>
      <c r="J71" s="10"/>
      <c r="K71" s="15"/>
    </row>
    <row r="72" spans="1:11" ht="12.75">
      <c r="A72" s="3">
        <v>39356</v>
      </c>
      <c r="B72" s="27">
        <v>7715966</v>
      </c>
      <c r="C72" s="23">
        <v>226.7</v>
      </c>
      <c r="D72" s="23">
        <v>1.5</v>
      </c>
      <c r="E72" s="19">
        <v>31</v>
      </c>
      <c r="F72" s="19">
        <f>'GS &lt; 50 kW'!F72</f>
        <v>112601.53071867654</v>
      </c>
      <c r="G72" s="19">
        <v>1</v>
      </c>
      <c r="H72" s="19">
        <v>97</v>
      </c>
      <c r="I72" s="10">
        <f t="shared" si="1"/>
        <v>7164026.167408823</v>
      </c>
      <c r="J72" s="10"/>
      <c r="K72" s="15"/>
    </row>
    <row r="73" spans="1:11" ht="12.75">
      <c r="A73" s="3">
        <v>39387</v>
      </c>
      <c r="B73" s="27">
        <v>7458739</v>
      </c>
      <c r="C73" s="23">
        <v>555.2</v>
      </c>
      <c r="D73" s="23">
        <v>0</v>
      </c>
      <c r="E73" s="19">
        <v>30</v>
      </c>
      <c r="F73" s="19">
        <f>'GS &lt; 50 kW'!F73</f>
        <v>112482.09320079828</v>
      </c>
      <c r="G73" s="19">
        <v>1</v>
      </c>
      <c r="H73" s="19">
        <v>97</v>
      </c>
      <c r="I73" s="10">
        <f t="shared" si="1"/>
        <v>7186021.200362151</v>
      </c>
      <c r="J73" s="10"/>
      <c r="K73" s="15"/>
    </row>
    <row r="74" spans="1:11" ht="12.75">
      <c r="A74" s="3">
        <v>39417</v>
      </c>
      <c r="B74" s="27">
        <v>6964171</v>
      </c>
      <c r="C74" s="23">
        <v>766.2</v>
      </c>
      <c r="D74" s="23">
        <v>0</v>
      </c>
      <c r="E74" s="19">
        <v>31</v>
      </c>
      <c r="F74" s="19">
        <f>'GS &lt; 50 kW'!F74</f>
        <v>112362.65568292001</v>
      </c>
      <c r="G74" s="19">
        <v>0</v>
      </c>
      <c r="H74" s="19">
        <v>97</v>
      </c>
      <c r="I74" s="10">
        <f t="shared" si="1"/>
        <v>7386981.808154656</v>
      </c>
      <c r="J74" s="10"/>
      <c r="K74" s="15"/>
    </row>
    <row r="75" spans="1:9" ht="12.75">
      <c r="A75" s="3">
        <v>39448</v>
      </c>
      <c r="B75" s="27">
        <v>7742740</v>
      </c>
      <c r="C75" s="23">
        <f>'Weather Analysis'!R8</f>
        <v>753.1</v>
      </c>
      <c r="D75" s="23">
        <f>'Weather Analysis'!R28</f>
        <v>0</v>
      </c>
      <c r="E75" s="19">
        <v>31</v>
      </c>
      <c r="F75" s="19">
        <f>'GS &lt; 50 kW'!F75</f>
        <v>114091.44779339395</v>
      </c>
      <c r="G75" s="19">
        <v>0</v>
      </c>
      <c r="H75" s="19">
        <v>98</v>
      </c>
      <c r="I75" s="10">
        <f t="shared" si="1"/>
        <v>7378106.54571344</v>
      </c>
    </row>
    <row r="76" spans="1:9" ht="12.75">
      <c r="A76" s="3">
        <v>39479</v>
      </c>
      <c r="B76" s="27">
        <v>7299184</v>
      </c>
      <c r="C76" s="23">
        <f>'Weather Analysis'!R9</f>
        <v>815.6</v>
      </c>
      <c r="D76" s="23">
        <f>'Weather Analysis'!R29</f>
        <v>0</v>
      </c>
      <c r="E76" s="19">
        <v>29</v>
      </c>
      <c r="F76" s="19">
        <f>'GS &lt; 50 kW'!F76</f>
        <v>115820.23990386789</v>
      </c>
      <c r="G76" s="19">
        <v>0</v>
      </c>
      <c r="H76" s="19">
        <v>98</v>
      </c>
      <c r="I76" s="10">
        <f t="shared" si="1"/>
        <v>7183959.733682255</v>
      </c>
    </row>
    <row r="77" spans="1:9" ht="12.75">
      <c r="A77" s="3">
        <v>39508</v>
      </c>
      <c r="B77" s="27">
        <v>7696846</v>
      </c>
      <c r="C77" s="23">
        <f>'Weather Analysis'!R10</f>
        <v>760.5</v>
      </c>
      <c r="D77" s="23">
        <f>'Weather Analysis'!R30</f>
        <v>0</v>
      </c>
      <c r="E77" s="19">
        <v>31</v>
      </c>
      <c r="F77" s="19">
        <f>'GS &lt; 50 kW'!F77</f>
        <v>117549.03201434182</v>
      </c>
      <c r="G77" s="19">
        <v>1</v>
      </c>
      <c r="H77" s="19">
        <v>98</v>
      </c>
      <c r="I77" s="10">
        <f t="shared" si="1"/>
        <v>7374955.397935855</v>
      </c>
    </row>
    <row r="78" spans="1:9" ht="12.75">
      <c r="A78" s="3">
        <v>39539</v>
      </c>
      <c r="B78" s="27">
        <v>7194725</v>
      </c>
      <c r="C78" s="23">
        <f>'Weather Analysis'!R11</f>
        <v>348.6</v>
      </c>
      <c r="D78" s="23">
        <f>'Weather Analysis'!R31</f>
        <v>0</v>
      </c>
      <c r="E78" s="19">
        <v>30</v>
      </c>
      <c r="F78" s="19">
        <f>'GS &lt; 50 kW'!F78</f>
        <v>119277.82412481576</v>
      </c>
      <c r="G78" s="19">
        <v>1</v>
      </c>
      <c r="H78" s="19">
        <v>98</v>
      </c>
      <c r="I78" s="10">
        <f t="shared" si="1"/>
        <v>7083739.35939083</v>
      </c>
    </row>
    <row r="79" spans="1:9" ht="12.75">
      <c r="A79" s="3">
        <v>39569</v>
      </c>
      <c r="B79" s="27">
        <v>7295057</v>
      </c>
      <c r="C79" s="23">
        <f>'Weather Analysis'!R12</f>
        <v>277.3</v>
      </c>
      <c r="D79" s="23">
        <f>'Weather Analysis'!R32</f>
        <v>0</v>
      </c>
      <c r="E79" s="19">
        <v>31</v>
      </c>
      <c r="F79" s="19">
        <f>'GS &lt; 50 kW'!F79</f>
        <v>121006.6162352897</v>
      </c>
      <c r="G79" s="19">
        <v>1</v>
      </c>
      <c r="H79" s="19">
        <v>98</v>
      </c>
      <c r="I79" s="10">
        <f t="shared" si="1"/>
        <v>7158635.964216654</v>
      </c>
    </row>
    <row r="80" spans="1:9" ht="12.75">
      <c r="A80" s="3">
        <v>39600</v>
      </c>
      <c r="B80" s="27">
        <v>7369958</v>
      </c>
      <c r="C80" s="23">
        <f>'Weather Analysis'!R13</f>
        <v>48.4</v>
      </c>
      <c r="D80" s="23">
        <f>'Weather Analysis'!R33</f>
        <v>36.4</v>
      </c>
      <c r="E80" s="19">
        <v>30</v>
      </c>
      <c r="F80" s="19">
        <f>'GS &lt; 50 kW'!F80</f>
        <v>122735.40834576363</v>
      </c>
      <c r="G80" s="19">
        <v>0</v>
      </c>
      <c r="H80" s="19">
        <v>98</v>
      </c>
      <c r="I80" s="10">
        <f t="shared" si="1"/>
        <v>7235702.775697484</v>
      </c>
    </row>
    <row r="81" spans="1:9" ht="12.75">
      <c r="A81" s="3">
        <v>39630</v>
      </c>
      <c r="B81" s="27">
        <v>7957407</v>
      </c>
      <c r="C81" s="23">
        <f>'Weather Analysis'!R14</f>
        <v>13.9</v>
      </c>
      <c r="D81" s="23">
        <f>'Weather Analysis'!R34</f>
        <v>54.1</v>
      </c>
      <c r="E81" s="19">
        <v>31</v>
      </c>
      <c r="F81" s="19">
        <f>'GS &lt; 50 kW'!F81</f>
        <v>124464.20045623757</v>
      </c>
      <c r="G81" s="19">
        <v>0</v>
      </c>
      <c r="H81" s="19">
        <v>100</v>
      </c>
      <c r="I81" s="10">
        <f t="shared" si="1"/>
        <v>7467006.768512705</v>
      </c>
    </row>
    <row r="82" spans="1:9" ht="12.75">
      <c r="A82" s="3">
        <v>39661</v>
      </c>
      <c r="B82" s="27">
        <v>7982839</v>
      </c>
      <c r="C82" s="23">
        <f>'Weather Analysis'!R15</f>
        <v>39.4</v>
      </c>
      <c r="D82" s="23">
        <f>'Weather Analysis'!R35</f>
        <v>26</v>
      </c>
      <c r="E82" s="19">
        <v>31</v>
      </c>
      <c r="F82" s="19">
        <f>'GS &lt; 50 kW'!F82</f>
        <v>126192.9925667115</v>
      </c>
      <c r="G82" s="19">
        <v>0</v>
      </c>
      <c r="H82" s="19">
        <v>100</v>
      </c>
      <c r="I82" s="10">
        <f t="shared" si="1"/>
        <v>7251980.562531819</v>
      </c>
    </row>
    <row r="83" spans="1:9" ht="12.75">
      <c r="A83" s="3">
        <v>39692</v>
      </c>
      <c r="B83" s="27">
        <v>7676849</v>
      </c>
      <c r="C83" s="23">
        <f>'Weather Analysis'!R16</f>
        <v>132.7</v>
      </c>
      <c r="D83" s="23">
        <f>'Weather Analysis'!R36</f>
        <v>5.1</v>
      </c>
      <c r="E83" s="19">
        <v>30</v>
      </c>
      <c r="F83" s="19">
        <f>'GS &lt; 50 kW'!F83</f>
        <v>127921.78467718544</v>
      </c>
      <c r="G83" s="19">
        <v>1</v>
      </c>
      <c r="H83" s="19">
        <v>100</v>
      </c>
      <c r="I83" s="10">
        <f t="shared" si="1"/>
        <v>7014472.761180498</v>
      </c>
    </row>
    <row r="84" spans="1:9" ht="12.75">
      <c r="A84" s="3">
        <v>39722</v>
      </c>
      <c r="B84" s="27">
        <v>7836210</v>
      </c>
      <c r="C84" s="23">
        <f>'Weather Analysis'!R17</f>
        <v>372.5</v>
      </c>
      <c r="D84" s="23">
        <f>'Weather Analysis'!R37</f>
        <v>0</v>
      </c>
      <c r="E84" s="19">
        <v>31</v>
      </c>
      <c r="F84" s="19">
        <f>'GS &lt; 50 kW'!F84</f>
        <v>129650.57678765937</v>
      </c>
      <c r="G84" s="19">
        <v>1</v>
      </c>
      <c r="H84" s="19">
        <v>100</v>
      </c>
      <c r="I84" s="10">
        <f t="shared" si="1"/>
        <v>7184084.649056677</v>
      </c>
    </row>
    <row r="85" spans="1:9" ht="12.75">
      <c r="A85" s="3">
        <v>39753</v>
      </c>
      <c r="B85" s="27">
        <v>7514998</v>
      </c>
      <c r="C85" s="23">
        <f>'Weather Analysis'!R18</f>
        <v>555.9</v>
      </c>
      <c r="D85" s="23">
        <f>'Weather Analysis'!R38</f>
        <v>0</v>
      </c>
      <c r="E85" s="19">
        <v>30</v>
      </c>
      <c r="F85" s="19">
        <f>'GS &lt; 50 kW'!F85</f>
        <v>131379.3688981333</v>
      </c>
      <c r="G85" s="19">
        <v>1</v>
      </c>
      <c r="H85" s="19">
        <v>100</v>
      </c>
      <c r="I85" s="10">
        <f t="shared" si="1"/>
        <v>7151529.598324623</v>
      </c>
    </row>
    <row r="86" spans="1:9" ht="12.75">
      <c r="A86" s="3">
        <v>39783</v>
      </c>
      <c r="B86" s="27">
        <v>7179055</v>
      </c>
      <c r="C86" s="23">
        <f>'Weather Analysis'!R19</f>
        <v>782.6</v>
      </c>
      <c r="D86" s="23">
        <f>'Weather Analysis'!R39</f>
        <v>0</v>
      </c>
      <c r="E86" s="19">
        <v>31</v>
      </c>
      <c r="F86" s="19">
        <f>'GS &lt; 50 kW'!F86</f>
        <v>133108.16100860725</v>
      </c>
      <c r="G86" s="19">
        <v>0</v>
      </c>
      <c r="H86" s="19">
        <v>100</v>
      </c>
      <c r="I86" s="10">
        <f t="shared" si="1"/>
        <v>7355908.7739017755</v>
      </c>
    </row>
    <row r="87" spans="1:32" s="16" customFormat="1" ht="12.75">
      <c r="A87" s="3">
        <v>39814</v>
      </c>
      <c r="B87" s="27">
        <v>7653225</v>
      </c>
      <c r="C87" s="23">
        <f>'Weather Analysis'!S8</f>
        <v>995.4</v>
      </c>
      <c r="D87" s="23">
        <f>'Weather Analysis'!S28</f>
        <v>0</v>
      </c>
      <c r="E87" s="19">
        <v>31</v>
      </c>
      <c r="F87" s="19">
        <f>'GS &lt; 50 kW'!F87</f>
        <v>140636.9675999444</v>
      </c>
      <c r="G87" s="19">
        <v>0</v>
      </c>
      <c r="H87" s="19">
        <v>100</v>
      </c>
      <c r="I87" s="10">
        <f t="shared" si="1"/>
        <v>7434508.623516665</v>
      </c>
      <c r="J87" s="47"/>
      <c r="K87" s="1"/>
      <c r="L87"/>
      <c r="M87"/>
      <c r="N87"/>
      <c r="O87"/>
      <c r="P87"/>
      <c r="Q87"/>
      <c r="R87"/>
      <c r="S87"/>
      <c r="T87"/>
      <c r="U87"/>
      <c r="V87"/>
      <c r="W87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10" ht="12.75">
      <c r="A88" s="3">
        <v>39845</v>
      </c>
      <c r="B88" s="27">
        <v>6921984</v>
      </c>
      <c r="C88" s="23">
        <f>'Weather Analysis'!S9</f>
        <v>723.7</v>
      </c>
      <c r="D88" s="23">
        <f>'Weather Analysis'!S29</f>
        <v>0</v>
      </c>
      <c r="E88" s="19">
        <v>28</v>
      </c>
      <c r="F88" s="19">
        <f>'GS &lt; 50 kW'!F88</f>
        <v>148165.77419128153</v>
      </c>
      <c r="G88" s="19">
        <v>0</v>
      </c>
      <c r="H88" s="19">
        <v>100</v>
      </c>
      <c r="I88" s="10">
        <f t="shared" si="1"/>
        <v>6975410.447229087</v>
      </c>
      <c r="J88" s="47"/>
    </row>
    <row r="89" spans="1:10" ht="12.75">
      <c r="A89" s="3">
        <v>39873</v>
      </c>
      <c r="B89" s="27">
        <v>7304138</v>
      </c>
      <c r="C89" s="23">
        <f>'Weather Analysis'!S10</f>
        <v>652.3</v>
      </c>
      <c r="D89" s="23">
        <f>'Weather Analysis'!S30</f>
        <v>0</v>
      </c>
      <c r="E89" s="19">
        <v>31</v>
      </c>
      <c r="F89" s="19">
        <f>'GS &lt; 50 kW'!F89</f>
        <v>155694.58078261866</v>
      </c>
      <c r="G89" s="19">
        <v>1</v>
      </c>
      <c r="H89" s="19">
        <v>100</v>
      </c>
      <c r="I89" s="10">
        <f t="shared" si="1"/>
        <v>7257704.120945955</v>
      </c>
      <c r="J89" s="47"/>
    </row>
    <row r="90" spans="1:10" ht="12.75">
      <c r="A90" s="3">
        <v>39904</v>
      </c>
      <c r="B90" s="27">
        <v>6677986</v>
      </c>
      <c r="C90" s="23">
        <f>'Weather Analysis'!S11</f>
        <v>379.9</v>
      </c>
      <c r="D90" s="23">
        <f>'Weather Analysis'!S31</f>
        <v>0</v>
      </c>
      <c r="E90" s="19">
        <v>30</v>
      </c>
      <c r="F90" s="19">
        <f>'GS &lt; 50 kW'!F90</f>
        <v>163223.3873739558</v>
      </c>
      <c r="G90" s="19">
        <v>1</v>
      </c>
      <c r="H90" s="19">
        <v>100</v>
      </c>
      <c r="I90" s="10">
        <f t="shared" si="1"/>
        <v>7016421.939044569</v>
      </c>
      <c r="J90" s="47"/>
    </row>
    <row r="91" spans="1:10" ht="12.75">
      <c r="A91" s="3">
        <v>39934</v>
      </c>
      <c r="B91" s="27">
        <v>6789033</v>
      </c>
      <c r="C91" s="23">
        <f>'Weather Analysis'!S12</f>
        <v>231</v>
      </c>
      <c r="D91" s="23">
        <f>'Weather Analysis'!S32</f>
        <v>0</v>
      </c>
      <c r="E91" s="19">
        <v>31</v>
      </c>
      <c r="F91" s="19">
        <f>'GS &lt; 50 kW'!F91</f>
        <v>170752.19396529294</v>
      </c>
      <c r="G91" s="19">
        <v>1</v>
      </c>
      <c r="H91" s="19">
        <v>100</v>
      </c>
      <c r="I91" s="10">
        <f t="shared" si="1"/>
        <v>7046921.306184795</v>
      </c>
      <c r="J91" s="47"/>
    </row>
    <row r="92" spans="1:10" ht="12.75">
      <c r="A92" s="3">
        <v>39965</v>
      </c>
      <c r="B92" s="27">
        <v>6875806</v>
      </c>
      <c r="C92" s="23">
        <f>'Weather Analysis'!S13</f>
        <v>105.4</v>
      </c>
      <c r="D92" s="23">
        <f>'Weather Analysis'!S33</f>
        <v>19.1</v>
      </c>
      <c r="E92" s="19">
        <v>30</v>
      </c>
      <c r="F92" s="19">
        <f>'GS &lt; 50 kW'!F92</f>
        <v>178281.00055663008</v>
      </c>
      <c r="G92" s="19">
        <v>0</v>
      </c>
      <c r="H92" s="19">
        <v>100</v>
      </c>
      <c r="I92" s="10">
        <f t="shared" si="1"/>
        <v>7020948.568443301</v>
      </c>
      <c r="J92" s="47"/>
    </row>
    <row r="93" spans="1:10" ht="12.75">
      <c r="A93" s="3">
        <v>39995</v>
      </c>
      <c r="B93" s="27">
        <v>7376292</v>
      </c>
      <c r="C93" s="23">
        <f>'Weather Analysis'!S14</f>
        <v>38.6</v>
      </c>
      <c r="D93" s="23">
        <f>'Weather Analysis'!S34</f>
        <v>10.3</v>
      </c>
      <c r="E93" s="19">
        <v>31</v>
      </c>
      <c r="F93" s="19">
        <f>'GS &lt; 50 kW'!F93</f>
        <v>185809.80714796722</v>
      </c>
      <c r="G93" s="19">
        <v>0</v>
      </c>
      <c r="H93" s="19">
        <v>100</v>
      </c>
      <c r="I93" s="10">
        <f t="shared" si="1"/>
        <v>7017308.681192184</v>
      </c>
      <c r="J93" s="47"/>
    </row>
    <row r="94" spans="1:10" ht="12.75">
      <c r="A94" s="3">
        <v>40026</v>
      </c>
      <c r="B94" s="27">
        <v>7372559</v>
      </c>
      <c r="C94" s="23">
        <f>'Weather Analysis'!S15</f>
        <v>56.9</v>
      </c>
      <c r="D94" s="23">
        <f>'Weather Analysis'!S35</f>
        <v>39.8</v>
      </c>
      <c r="E94" s="19">
        <v>31</v>
      </c>
      <c r="F94" s="19">
        <f>'GS &lt; 50 kW'!F94</f>
        <v>193338.61373930436</v>
      </c>
      <c r="G94" s="19">
        <v>0</v>
      </c>
      <c r="H94" s="19">
        <v>100</v>
      </c>
      <c r="I94" s="10">
        <f t="shared" si="1"/>
        <v>7245426.578964296</v>
      </c>
      <c r="J94" s="47"/>
    </row>
    <row r="95" spans="1:10" ht="12.75">
      <c r="A95" s="3">
        <v>40057</v>
      </c>
      <c r="B95" s="27">
        <v>7002480</v>
      </c>
      <c r="C95" s="23">
        <f>'Weather Analysis'!S16</f>
        <v>115.6</v>
      </c>
      <c r="D95" s="23">
        <f>'Weather Analysis'!S36</f>
        <v>2.7</v>
      </c>
      <c r="E95" s="19">
        <v>30</v>
      </c>
      <c r="F95" s="19">
        <f>'GS &lt; 50 kW'!F95</f>
        <v>200867.4203306415</v>
      </c>
      <c r="G95" s="19">
        <v>1</v>
      </c>
      <c r="H95" s="19">
        <v>100</v>
      </c>
      <c r="I95" s="10">
        <f t="shared" si="1"/>
        <v>6853687.468665163</v>
      </c>
      <c r="J95" s="47"/>
    </row>
    <row r="96" spans="1:10" ht="12.75">
      <c r="A96" s="3">
        <v>40087</v>
      </c>
      <c r="B96" s="27">
        <v>6877714</v>
      </c>
      <c r="C96" s="23">
        <f>'Weather Analysis'!S17</f>
        <v>341.6</v>
      </c>
      <c r="D96" s="23">
        <f>'Weather Analysis'!S37</f>
        <v>0</v>
      </c>
      <c r="E96" s="19">
        <v>31</v>
      </c>
      <c r="F96" s="19">
        <f>'GS &lt; 50 kW'!F96</f>
        <v>208396.22692197864</v>
      </c>
      <c r="G96" s="19">
        <v>1</v>
      </c>
      <c r="H96" s="19">
        <v>101</v>
      </c>
      <c r="I96" s="10">
        <f t="shared" si="1"/>
        <v>7025663.228909187</v>
      </c>
      <c r="J96" s="47"/>
    </row>
    <row r="97" spans="1:10" ht="12.75">
      <c r="A97" s="3">
        <v>40118</v>
      </c>
      <c r="B97" s="27">
        <v>6783876</v>
      </c>
      <c r="C97" s="23">
        <f>'Weather Analysis'!S18</f>
        <v>414.1</v>
      </c>
      <c r="D97" s="23">
        <f>'Weather Analysis'!S38</f>
        <v>0</v>
      </c>
      <c r="E97" s="19">
        <v>30</v>
      </c>
      <c r="F97" s="19">
        <f>'GS &lt; 50 kW'!F97</f>
        <v>215925.03351331578</v>
      </c>
      <c r="G97" s="19">
        <v>1</v>
      </c>
      <c r="H97" s="19">
        <v>100</v>
      </c>
      <c r="I97" s="10">
        <f t="shared" si="1"/>
        <v>6934241.914967979</v>
      </c>
      <c r="J97" s="47"/>
    </row>
    <row r="98" spans="1:32" s="33" customFormat="1" ht="12.75">
      <c r="A98" s="3">
        <v>40148</v>
      </c>
      <c r="B98" s="27">
        <v>6420151</v>
      </c>
      <c r="C98" s="23">
        <f>'Weather Analysis'!S19</f>
        <v>750.2</v>
      </c>
      <c r="D98" s="23">
        <f>'Weather Analysis'!S39</f>
        <v>0</v>
      </c>
      <c r="E98" s="19">
        <v>31</v>
      </c>
      <c r="F98" s="19">
        <f>'GS &lt; 50 kW'!F98</f>
        <v>223453.84010465292</v>
      </c>
      <c r="G98" s="19">
        <v>0</v>
      </c>
      <c r="H98" s="19">
        <v>99</v>
      </c>
      <c r="I98" s="10">
        <f t="shared" si="1"/>
        <v>7175476.338532348</v>
      </c>
      <c r="J98" s="47"/>
      <c r="K98" s="1"/>
      <c r="L98"/>
      <c r="M98"/>
      <c r="N98"/>
      <c r="O98"/>
      <c r="P98"/>
      <c r="Q98"/>
      <c r="R98"/>
      <c r="S98"/>
      <c r="T98"/>
      <c r="U98"/>
      <c r="V98"/>
      <c r="W98"/>
      <c r="X98" s="27"/>
      <c r="Y98" s="27"/>
      <c r="Z98" s="27"/>
      <c r="AA98" s="27"/>
      <c r="AB98" s="27"/>
      <c r="AC98" s="27"/>
      <c r="AD98" s="27"/>
      <c r="AE98" s="27"/>
      <c r="AF98" s="27"/>
    </row>
    <row r="99" spans="1:26" ht="12.75">
      <c r="A99" s="3">
        <v>40179</v>
      </c>
      <c r="B99" s="27">
        <v>7696133</v>
      </c>
      <c r="C99" s="23">
        <f>'Weather Analysis'!T8</f>
        <v>839.2</v>
      </c>
      <c r="D99" s="23">
        <f>'Weather Analysis'!T28</f>
        <v>0</v>
      </c>
      <c r="E99" s="19">
        <v>31</v>
      </c>
      <c r="F99" s="19">
        <f>'GS &lt; 50 kW'!F99</f>
        <v>215982.78044620546</v>
      </c>
      <c r="G99" s="19">
        <v>0</v>
      </c>
      <c r="H99" s="19">
        <v>100</v>
      </c>
      <c r="I99" s="10">
        <f t="shared" si="1"/>
        <v>7227903.849653737</v>
      </c>
      <c r="J99" s="47"/>
      <c r="X99" s="11"/>
      <c r="Y99" s="11"/>
      <c r="Z99" s="11"/>
    </row>
    <row r="100" spans="1:10" ht="12.75">
      <c r="A100" s="3">
        <v>40210</v>
      </c>
      <c r="B100" s="27">
        <v>6198986</v>
      </c>
      <c r="C100" s="23">
        <f>'Weather Analysis'!T9</f>
        <v>647.5</v>
      </c>
      <c r="D100" s="23">
        <f>'Weather Analysis'!T29</f>
        <v>0</v>
      </c>
      <c r="E100" s="19">
        <v>28</v>
      </c>
      <c r="F100" s="19">
        <f>'GS &lt; 50 kW'!F100</f>
        <v>208511.720787758</v>
      </c>
      <c r="G100" s="19">
        <v>0</v>
      </c>
      <c r="H100" s="19">
        <v>99</v>
      </c>
      <c r="I100" s="10">
        <f t="shared" si="1"/>
        <v>6831185.509097896</v>
      </c>
      <c r="J100" s="47"/>
    </row>
    <row r="101" spans="1:10" ht="12.75">
      <c r="A101" s="3">
        <v>40238</v>
      </c>
      <c r="B101" s="27">
        <v>6497245</v>
      </c>
      <c r="C101" s="23">
        <f>'Weather Analysis'!T10</f>
        <v>427</v>
      </c>
      <c r="D101" s="23">
        <f>'Weather Analysis'!T30</f>
        <v>0</v>
      </c>
      <c r="E101" s="19">
        <v>31</v>
      </c>
      <c r="F101" s="19">
        <f>'GS &lt; 50 kW'!F101</f>
        <v>201040.66112931055</v>
      </c>
      <c r="G101" s="19">
        <v>1</v>
      </c>
      <c r="H101" s="19">
        <v>99</v>
      </c>
      <c r="I101" s="10">
        <f t="shared" si="1"/>
        <v>7076313.860965528</v>
      </c>
      <c r="J101" s="47"/>
    </row>
    <row r="102" spans="1:10" ht="12.75">
      <c r="A102" s="3">
        <v>40269</v>
      </c>
      <c r="B102" s="27">
        <v>6046098</v>
      </c>
      <c r="C102" s="23">
        <f>'Weather Analysis'!T11</f>
        <v>287.3</v>
      </c>
      <c r="D102" s="23">
        <f>'Weather Analysis'!T31</f>
        <v>0</v>
      </c>
      <c r="E102" s="19">
        <v>30</v>
      </c>
      <c r="F102" s="19">
        <f>'GS &lt; 50 kW'!F102</f>
        <v>193569.6014708631</v>
      </c>
      <c r="G102" s="19">
        <v>1</v>
      </c>
      <c r="H102" s="19">
        <v>99</v>
      </c>
      <c r="I102" s="10">
        <f t="shared" si="1"/>
        <v>6920309.942576399</v>
      </c>
      <c r="J102" s="47"/>
    </row>
    <row r="103" spans="1:10" ht="12.75">
      <c r="A103" s="3">
        <v>40299</v>
      </c>
      <c r="B103" s="27">
        <v>6965887</v>
      </c>
      <c r="C103" s="23">
        <f>'Weather Analysis'!T12</f>
        <v>151.6</v>
      </c>
      <c r="D103" s="23">
        <f>'Weather Analysis'!T32</f>
        <v>22.9</v>
      </c>
      <c r="E103" s="19">
        <v>31</v>
      </c>
      <c r="F103" s="19">
        <f>'GS &lt; 50 kW'!F103</f>
        <v>186098.54181241564</v>
      </c>
      <c r="G103" s="19">
        <v>1</v>
      </c>
      <c r="H103" s="19">
        <v>100</v>
      </c>
      <c r="I103" s="10">
        <f t="shared" si="1"/>
        <v>7165834.41385547</v>
      </c>
      <c r="J103" s="47"/>
    </row>
    <row r="104" spans="1:10" ht="12.75">
      <c r="A104" s="3">
        <v>40330</v>
      </c>
      <c r="B104" s="27">
        <v>6770764</v>
      </c>
      <c r="C104" s="23">
        <f>'Weather Analysis'!T13</f>
        <v>66.2</v>
      </c>
      <c r="D104" s="23">
        <f>'Weather Analysis'!T33</f>
        <v>12</v>
      </c>
      <c r="E104" s="19">
        <v>30</v>
      </c>
      <c r="F104" s="19">
        <f>'GS &lt; 50 kW'!F104</f>
        <v>178627.4821539682</v>
      </c>
      <c r="G104" s="19">
        <v>0</v>
      </c>
      <c r="H104" s="19">
        <v>100</v>
      </c>
      <c r="I104" s="10">
        <f t="shared" si="1"/>
        <v>6946952.27999738</v>
      </c>
      <c r="J104" s="47"/>
    </row>
    <row r="105" spans="1:10" ht="12.75">
      <c r="A105" s="3">
        <v>40360</v>
      </c>
      <c r="B105" s="27">
        <v>7551793</v>
      </c>
      <c r="C105" s="23">
        <f>'Weather Analysis'!T14</f>
        <v>13.1</v>
      </c>
      <c r="D105" s="23">
        <f>'Weather Analysis'!T34</f>
        <v>95.7</v>
      </c>
      <c r="E105" s="19">
        <v>31</v>
      </c>
      <c r="F105" s="19">
        <f>'GS &lt; 50 kW'!F105</f>
        <v>171156.42249552073</v>
      </c>
      <c r="G105" s="19">
        <v>0</v>
      </c>
      <c r="H105" s="19">
        <v>100</v>
      </c>
      <c r="I105" s="10">
        <f t="shared" si="1"/>
        <v>7710705.288707741</v>
      </c>
      <c r="J105" s="47"/>
    </row>
    <row r="106" spans="1:10" ht="12.75">
      <c r="A106" s="3">
        <v>40391</v>
      </c>
      <c r="B106" s="27">
        <v>7521522</v>
      </c>
      <c r="C106" s="23">
        <f>'Weather Analysis'!T15</f>
        <v>25.9</v>
      </c>
      <c r="D106" s="23">
        <f>'Weather Analysis'!T35</f>
        <v>61.1</v>
      </c>
      <c r="E106" s="19">
        <v>31</v>
      </c>
      <c r="F106" s="19">
        <f>'GS &lt; 50 kW'!F106</f>
        <v>163685.36283707328</v>
      </c>
      <c r="G106" s="19">
        <v>0</v>
      </c>
      <c r="H106" s="19">
        <v>100</v>
      </c>
      <c r="I106" s="10">
        <f t="shared" si="1"/>
        <v>7455534.868067488</v>
      </c>
      <c r="J106" s="47"/>
    </row>
    <row r="107" spans="1:10" ht="12.75">
      <c r="A107" s="3">
        <v>40422</v>
      </c>
      <c r="B107" s="27">
        <v>7130382</v>
      </c>
      <c r="C107" s="23">
        <f>'Weather Analysis'!T16</f>
        <v>143.1</v>
      </c>
      <c r="D107" s="23">
        <f>'Weather Analysis'!T36</f>
        <v>17.5</v>
      </c>
      <c r="E107" s="19">
        <v>30</v>
      </c>
      <c r="F107" s="19">
        <f>'GS &lt; 50 kW'!F107</f>
        <v>156214.30317862582</v>
      </c>
      <c r="G107" s="19">
        <v>1</v>
      </c>
      <c r="H107" s="19">
        <v>100</v>
      </c>
      <c r="I107" s="10">
        <f t="shared" si="1"/>
        <v>7065267.947060332</v>
      </c>
      <c r="J107" s="47"/>
    </row>
    <row r="108" spans="1:10" ht="12.75">
      <c r="A108" s="3">
        <v>40452</v>
      </c>
      <c r="B108" s="27">
        <v>6790065</v>
      </c>
      <c r="C108" s="23">
        <f>'Weather Analysis'!T17</f>
        <v>318.6</v>
      </c>
      <c r="D108" s="23">
        <f>'Weather Analysis'!T37</f>
        <v>0</v>
      </c>
      <c r="E108" s="19">
        <v>31</v>
      </c>
      <c r="F108" s="19">
        <f>'GS &lt; 50 kW'!F108</f>
        <v>148743.24352017837</v>
      </c>
      <c r="G108" s="19">
        <v>1</v>
      </c>
      <c r="H108" s="19">
        <v>100</v>
      </c>
      <c r="I108" s="10">
        <f t="shared" si="1"/>
        <v>7125509.283622227</v>
      </c>
      <c r="J108" s="47"/>
    </row>
    <row r="109" spans="1:10" ht="12.75">
      <c r="A109" s="3">
        <v>40483</v>
      </c>
      <c r="B109" s="27">
        <v>6636045</v>
      </c>
      <c r="C109" s="23">
        <f>'Weather Analysis'!T18</f>
        <v>398.8</v>
      </c>
      <c r="D109" s="23">
        <f>'Weather Analysis'!T38</f>
        <v>0</v>
      </c>
      <c r="E109" s="19">
        <v>30</v>
      </c>
      <c r="F109" s="19">
        <f>'GS &lt; 50 kW'!F109</f>
        <v>141272.1838617309</v>
      </c>
      <c r="G109" s="19">
        <v>1</v>
      </c>
      <c r="H109" s="19">
        <v>101</v>
      </c>
      <c r="I109" s="10">
        <f t="shared" si="1"/>
        <v>7065053.0743210735</v>
      </c>
      <c r="J109" s="47"/>
    </row>
    <row r="110" spans="1:10" ht="12.75">
      <c r="A110" s="3">
        <v>40513</v>
      </c>
      <c r="B110" s="27">
        <v>6803019</v>
      </c>
      <c r="C110" s="23">
        <f>'Weather Analysis'!T19</f>
        <v>776.1</v>
      </c>
      <c r="D110" s="23">
        <f>'Weather Analysis'!T39</f>
        <v>0</v>
      </c>
      <c r="E110" s="19">
        <v>31</v>
      </c>
      <c r="F110" s="19">
        <f>'GS &lt; 50 kW'!F110</f>
        <v>133801.12420328346</v>
      </c>
      <c r="G110" s="19">
        <v>0</v>
      </c>
      <c r="H110" s="19">
        <v>100</v>
      </c>
      <c r="I110" s="10">
        <f t="shared" si="1"/>
        <v>7351808.5291032465</v>
      </c>
      <c r="J110" s="47"/>
    </row>
    <row r="111" spans="1:10" ht="12.75">
      <c r="A111" s="3">
        <v>40544</v>
      </c>
      <c r="B111" s="27">
        <v>6743014</v>
      </c>
      <c r="C111" s="23">
        <f>'Weather Analysis'!U8</f>
        <v>891.9</v>
      </c>
      <c r="D111" s="23">
        <f>'Weather Analysis'!U28</f>
        <v>0</v>
      </c>
      <c r="E111" s="73">
        <v>31</v>
      </c>
      <c r="F111" s="19">
        <f>'GS &lt; 50 kW'!F111</f>
        <v>143447.48113738885</v>
      </c>
      <c r="G111" s="19">
        <v>0</v>
      </c>
      <c r="H111" s="19">
        <v>100</v>
      </c>
      <c r="I111" s="10">
        <f t="shared" si="1"/>
        <v>7384362.299353488</v>
      </c>
      <c r="J111" s="47"/>
    </row>
    <row r="112" spans="1:10" ht="12.75">
      <c r="A112" s="3">
        <v>40575</v>
      </c>
      <c r="B112" s="27">
        <v>6792956</v>
      </c>
      <c r="C112" s="23">
        <f>'Weather Analysis'!U9</f>
        <v>650.9</v>
      </c>
      <c r="D112" s="23">
        <f>'Weather Analysis'!U29</f>
        <v>0</v>
      </c>
      <c r="E112" s="73">
        <v>28</v>
      </c>
      <c r="F112" s="19">
        <f>'GS &lt; 50 kW'!F112</f>
        <v>153093.83807149425</v>
      </c>
      <c r="G112" s="19">
        <v>0</v>
      </c>
      <c r="H112" s="19">
        <v>100</v>
      </c>
      <c r="I112" s="10">
        <f t="shared" si="1"/>
        <v>6934704.366805103</v>
      </c>
      <c r="J112" s="47"/>
    </row>
    <row r="113" spans="1:10" ht="12.75">
      <c r="A113" s="3">
        <v>40603</v>
      </c>
      <c r="B113" s="27">
        <v>6541365.95</v>
      </c>
      <c r="C113" s="23">
        <f>'Weather Analysis'!U10</f>
        <v>574.8</v>
      </c>
      <c r="D113" s="23">
        <f>'Weather Analysis'!U30</f>
        <v>0</v>
      </c>
      <c r="E113" s="73">
        <v>31</v>
      </c>
      <c r="F113" s="19">
        <f>'GS &lt; 50 kW'!F113</f>
        <v>162740.19500559964</v>
      </c>
      <c r="G113" s="19">
        <v>1</v>
      </c>
      <c r="H113" s="19">
        <v>100</v>
      </c>
      <c r="I113" s="10">
        <f t="shared" si="1"/>
        <v>7211056.797668555</v>
      </c>
      <c r="J113" s="47"/>
    </row>
    <row r="114" spans="1:10" ht="12.75">
      <c r="A114" s="3">
        <v>40634</v>
      </c>
      <c r="B114" s="27">
        <v>6650049</v>
      </c>
      <c r="C114" s="23">
        <f>'Weather Analysis'!U11</f>
        <v>400.5</v>
      </c>
      <c r="D114" s="23">
        <f>'Weather Analysis'!U31</f>
        <v>0</v>
      </c>
      <c r="E114" s="73">
        <v>30</v>
      </c>
      <c r="F114" s="19">
        <f>'GS &lt; 50 kW'!F114</f>
        <v>172386.55193970504</v>
      </c>
      <c r="G114" s="19">
        <v>1</v>
      </c>
      <c r="H114" s="19">
        <v>100</v>
      </c>
      <c r="I114" s="10">
        <f t="shared" si="1"/>
        <v>7008500.514770253</v>
      </c>
      <c r="J114" s="47"/>
    </row>
    <row r="115" spans="1:10" ht="12.75">
      <c r="A115" s="3">
        <v>40664</v>
      </c>
      <c r="B115" s="27">
        <v>6963741</v>
      </c>
      <c r="C115" s="23">
        <f>'Weather Analysis'!U12</f>
        <v>154.9</v>
      </c>
      <c r="D115" s="23">
        <f>'Weather Analysis'!U32</f>
        <v>10.1</v>
      </c>
      <c r="E115" s="73">
        <v>31</v>
      </c>
      <c r="F115" s="19">
        <f>'GS &lt; 50 kW'!F115</f>
        <v>182032.90887381043</v>
      </c>
      <c r="G115" s="19">
        <v>1</v>
      </c>
      <c r="H115" s="19">
        <v>101</v>
      </c>
      <c r="I115" s="10">
        <f t="shared" si="1"/>
        <v>7073209.447888476</v>
      </c>
      <c r="J115" s="47"/>
    </row>
    <row r="116" spans="1:10" ht="12.75">
      <c r="A116" s="3">
        <v>40695</v>
      </c>
      <c r="B116" s="27">
        <v>6724924.5</v>
      </c>
      <c r="C116" s="23">
        <f>'Weather Analysis'!U13</f>
        <v>57.7</v>
      </c>
      <c r="D116" s="23">
        <f>'Weather Analysis'!U33</f>
        <v>13.4</v>
      </c>
      <c r="E116" s="73">
        <v>30</v>
      </c>
      <c r="F116" s="19">
        <f>'GS &lt; 50 kW'!F116</f>
        <v>191679.26580791583</v>
      </c>
      <c r="G116" s="19">
        <v>0</v>
      </c>
      <c r="H116" s="19">
        <v>101</v>
      </c>
      <c r="I116" s="10">
        <f t="shared" si="1"/>
        <v>6930333.072809523</v>
      </c>
      <c r="J116" s="47"/>
    </row>
    <row r="117" spans="1:10" ht="12.75">
      <c r="A117" s="3">
        <v>40725</v>
      </c>
      <c r="B117" s="27">
        <v>7711766.640000001</v>
      </c>
      <c r="C117" s="23">
        <f>'Weather Analysis'!U14</f>
        <v>2</v>
      </c>
      <c r="D117" s="23">
        <f>'Weather Analysis'!U34</f>
        <v>83</v>
      </c>
      <c r="E117" s="73">
        <v>31</v>
      </c>
      <c r="F117" s="19">
        <f>'GS &lt; 50 kW'!F117</f>
        <v>201325.62274202122</v>
      </c>
      <c r="G117" s="19">
        <v>0</v>
      </c>
      <c r="H117" s="19">
        <v>101</v>
      </c>
      <c r="I117" s="10">
        <f t="shared" si="1"/>
        <v>7549579.802312184</v>
      </c>
      <c r="J117" s="47"/>
    </row>
    <row r="118" spans="1:10" ht="12.75">
      <c r="A118" s="3">
        <v>40756</v>
      </c>
      <c r="B118" s="27">
        <v>7368943.859999999</v>
      </c>
      <c r="C118" s="23">
        <f>'Weather Analysis'!U15</f>
        <v>15.9</v>
      </c>
      <c r="D118" s="23">
        <f>'Weather Analysis'!U35</f>
        <v>38</v>
      </c>
      <c r="E118" s="73">
        <v>31</v>
      </c>
      <c r="F118" s="19">
        <f>'GS &lt; 50 kW'!F118</f>
        <v>210971.97967612662</v>
      </c>
      <c r="G118" s="19">
        <v>0</v>
      </c>
      <c r="H118" s="19">
        <v>101</v>
      </c>
      <c r="I118" s="10">
        <f t="shared" si="1"/>
        <v>7180863.602354672</v>
      </c>
      <c r="J118" s="47"/>
    </row>
    <row r="119" spans="1:10" ht="12.75">
      <c r="A119" s="3">
        <v>40787</v>
      </c>
      <c r="B119" s="27">
        <v>7187659</v>
      </c>
      <c r="C119" s="23">
        <f>'Weather Analysis'!U16</f>
        <v>109.1</v>
      </c>
      <c r="D119" s="23">
        <f>'Weather Analysis'!U36</f>
        <v>17.5</v>
      </c>
      <c r="E119" s="73">
        <v>30</v>
      </c>
      <c r="F119" s="19">
        <f>'GS &lt; 50 kW'!F119</f>
        <v>220618.336610232</v>
      </c>
      <c r="G119" s="19">
        <v>1</v>
      </c>
      <c r="H119" s="19">
        <v>101</v>
      </c>
      <c r="I119" s="10">
        <f t="shared" si="1"/>
        <v>6931906.932699542</v>
      </c>
      <c r="J119" s="47"/>
    </row>
    <row r="120" spans="1:10" ht="12.75">
      <c r="A120" s="3">
        <v>40817</v>
      </c>
      <c r="B120" s="27">
        <v>7019453.25</v>
      </c>
      <c r="C120" s="23">
        <f>'Weather Analysis'!U17</f>
        <v>290</v>
      </c>
      <c r="D120" s="23">
        <f>'Weather Analysis'!U37</f>
        <v>0</v>
      </c>
      <c r="E120" s="73">
        <v>31</v>
      </c>
      <c r="F120" s="19">
        <f>'GS &lt; 50 kW'!F120</f>
        <v>230264.6935443374</v>
      </c>
      <c r="G120" s="19">
        <v>1</v>
      </c>
      <c r="H120" s="19">
        <v>101</v>
      </c>
      <c r="I120" s="10">
        <f t="shared" si="1"/>
        <v>6962976.115591368</v>
      </c>
      <c r="J120" s="47"/>
    </row>
    <row r="121" spans="1:10" ht="12.75">
      <c r="A121" s="3">
        <v>40848</v>
      </c>
      <c r="B121" s="27">
        <v>7176663.26</v>
      </c>
      <c r="C121" s="23">
        <f>'Weather Analysis'!U18</f>
        <v>432.4</v>
      </c>
      <c r="D121" s="23">
        <f>'Weather Analysis'!U38</f>
        <v>0</v>
      </c>
      <c r="E121" s="73">
        <v>30</v>
      </c>
      <c r="F121" s="19">
        <f>'GS &lt; 50 kW'!F121</f>
        <v>239911.0504784428</v>
      </c>
      <c r="G121" s="19">
        <v>1</v>
      </c>
      <c r="H121" s="19">
        <v>101</v>
      </c>
      <c r="I121" s="10">
        <f t="shared" si="1"/>
        <v>6898027.652011675</v>
      </c>
      <c r="J121" s="47"/>
    </row>
    <row r="122" spans="1:10" ht="12.75">
      <c r="A122" s="3">
        <v>40878</v>
      </c>
      <c r="B122" s="27">
        <v>6716088</v>
      </c>
      <c r="C122" s="23">
        <f>'Weather Analysis'!U19</f>
        <v>636</v>
      </c>
      <c r="D122" s="23">
        <f>'Weather Analysis'!U39</f>
        <v>0</v>
      </c>
      <c r="E122" s="73">
        <v>31</v>
      </c>
      <c r="F122" s="19">
        <f>'GS &lt; 50 kW'!F122</f>
        <v>249557.4074125482</v>
      </c>
      <c r="G122" s="19">
        <v>0</v>
      </c>
      <c r="H122" s="19">
        <v>101</v>
      </c>
      <c r="I122" s="10">
        <f t="shared" si="1"/>
        <v>7077791.059091688</v>
      </c>
      <c r="J122" s="47"/>
    </row>
    <row r="123" spans="1:10" ht="12.75">
      <c r="A123" s="3">
        <v>40909</v>
      </c>
      <c r="C123" s="74">
        <f aca="true" t="shared" si="2" ref="C123:D134">(C3+C15+C27+C39+C51+C63+C75+C87+C99+C111)/10</f>
        <v>822.55</v>
      </c>
      <c r="D123" s="74">
        <f t="shared" si="2"/>
        <v>0</v>
      </c>
      <c r="E123" s="19">
        <v>31</v>
      </c>
      <c r="F123" s="19">
        <f>'GS &lt; 50 kW'!F123</f>
        <v>240638.0250628863</v>
      </c>
      <c r="G123" s="19">
        <v>0</v>
      </c>
      <c r="H123" s="19"/>
      <c r="I123" s="10">
        <f t="shared" si="1"/>
        <v>7175271.371448841</v>
      </c>
      <c r="J123" s="47"/>
    </row>
    <row r="124" spans="1:10" ht="12.75">
      <c r="A124" s="3">
        <v>40940</v>
      </c>
      <c r="C124" s="74">
        <f t="shared" si="2"/>
        <v>744.3</v>
      </c>
      <c r="D124" s="74">
        <f t="shared" si="2"/>
        <v>0</v>
      </c>
      <c r="E124" s="19">
        <v>29</v>
      </c>
      <c r="F124" s="19">
        <f>'GS &lt; 50 kW'!F124</f>
        <v>231718.6427132244</v>
      </c>
      <c r="G124" s="19">
        <v>0</v>
      </c>
      <c r="H124" s="19"/>
      <c r="I124" s="10">
        <f t="shared" si="1"/>
        <v>6939574.539975246</v>
      </c>
      <c r="J124" s="47"/>
    </row>
    <row r="125" spans="1:10" ht="12.75">
      <c r="A125" s="3">
        <v>40969</v>
      </c>
      <c r="C125" s="74">
        <f t="shared" si="2"/>
        <v>645</v>
      </c>
      <c r="D125" s="74">
        <f t="shared" si="2"/>
        <v>0</v>
      </c>
      <c r="E125" s="19">
        <v>31</v>
      </c>
      <c r="F125" s="19">
        <f>'GS &lt; 50 kW'!F125</f>
        <v>222799.2603635625</v>
      </c>
      <c r="G125" s="19">
        <v>1</v>
      </c>
      <c r="H125" s="19"/>
      <c r="I125" s="10">
        <f t="shared" si="1"/>
        <v>7130971.668699323</v>
      </c>
      <c r="J125" s="47"/>
    </row>
    <row r="126" spans="1:10" ht="12.75">
      <c r="A126" s="3">
        <v>41000</v>
      </c>
      <c r="C126" s="74">
        <f t="shared" si="2"/>
        <v>384.3</v>
      </c>
      <c r="D126" s="74">
        <f t="shared" si="2"/>
        <v>0.45</v>
      </c>
      <c r="E126" s="19">
        <v>30</v>
      </c>
      <c r="F126" s="19">
        <f>'GS &lt; 50 kW'!F126</f>
        <v>213879.8780139006</v>
      </c>
      <c r="G126" s="19">
        <v>1</v>
      </c>
      <c r="H126" s="19"/>
      <c r="I126" s="10">
        <f t="shared" si="1"/>
        <v>6928629.363404752</v>
      </c>
      <c r="J126" s="47"/>
    </row>
    <row r="127" spans="1:10" ht="12.75">
      <c r="A127" s="3">
        <v>41030</v>
      </c>
      <c r="C127" s="74">
        <f t="shared" si="2"/>
        <v>218.67999999999998</v>
      </c>
      <c r="D127" s="74">
        <f t="shared" si="2"/>
        <v>6.38</v>
      </c>
      <c r="E127" s="19">
        <v>31</v>
      </c>
      <c r="F127" s="19">
        <f>'GS &lt; 50 kW'!F127</f>
        <v>204960.4956642387</v>
      </c>
      <c r="G127" s="19">
        <v>1</v>
      </c>
      <c r="H127" s="19"/>
      <c r="I127" s="10">
        <f t="shared" si="1"/>
        <v>7029193.889114193</v>
      </c>
      <c r="J127" s="47"/>
    </row>
    <row r="128" spans="1:10" ht="12.75">
      <c r="A128" s="3">
        <v>41061</v>
      </c>
      <c r="C128" s="74">
        <f t="shared" si="2"/>
        <v>68.25000000000001</v>
      </c>
      <c r="D128" s="74">
        <f t="shared" si="2"/>
        <v>30.23</v>
      </c>
      <c r="E128" s="19">
        <v>30</v>
      </c>
      <c r="F128" s="19">
        <f>'GS &lt; 50 kW'!F128</f>
        <v>196041.1133145768</v>
      </c>
      <c r="G128" s="19">
        <v>0</v>
      </c>
      <c r="H128" s="19"/>
      <c r="I128" s="10">
        <f t="shared" si="1"/>
        <v>7060401.299259793</v>
      </c>
      <c r="J128" s="47"/>
    </row>
    <row r="129" spans="1:10" ht="12.75">
      <c r="A129" s="3">
        <v>41091</v>
      </c>
      <c r="C129" s="74">
        <f t="shared" si="2"/>
        <v>18.93</v>
      </c>
      <c r="D129" s="74">
        <f t="shared" si="2"/>
        <v>62.13000000000001</v>
      </c>
      <c r="E129" s="19">
        <v>31</v>
      </c>
      <c r="F129" s="19">
        <f>'GS &lt; 50 kW'!F129</f>
        <v>187121.7309649149</v>
      </c>
      <c r="G129" s="19">
        <v>0</v>
      </c>
      <c r="H129" s="19"/>
      <c r="I129" s="10">
        <f t="shared" si="1"/>
        <v>7417523.924516834</v>
      </c>
      <c r="J129" s="47"/>
    </row>
    <row r="130" spans="1:10" ht="12.75">
      <c r="A130" s="3">
        <v>41122</v>
      </c>
      <c r="C130" s="74">
        <f t="shared" si="2"/>
        <v>34.42999999999999</v>
      </c>
      <c r="D130" s="74">
        <f t="shared" si="2"/>
        <v>45.3</v>
      </c>
      <c r="E130" s="19">
        <v>31</v>
      </c>
      <c r="F130" s="19">
        <f>'GS &lt; 50 kW'!F130</f>
        <v>178202.348615253</v>
      </c>
      <c r="G130" s="19">
        <v>0</v>
      </c>
      <c r="H130" s="19"/>
      <c r="I130" s="10">
        <f t="shared" si="1"/>
        <v>7307166.397995685</v>
      </c>
      <c r="J130" s="47"/>
    </row>
    <row r="131" spans="1:10" ht="12.75">
      <c r="A131" s="3">
        <v>41153</v>
      </c>
      <c r="C131" s="74">
        <f t="shared" si="2"/>
        <v>112.22</v>
      </c>
      <c r="D131" s="74">
        <f t="shared" si="2"/>
        <v>12.55</v>
      </c>
      <c r="E131" s="19">
        <v>30</v>
      </c>
      <c r="F131" s="19">
        <f>'GS &lt; 50 kW'!F131</f>
        <v>169282.9662655911</v>
      </c>
      <c r="G131" s="19">
        <v>1</v>
      </c>
      <c r="H131" s="19"/>
      <c r="I131" s="10">
        <f t="shared" si="1"/>
        <v>6988517.628124138</v>
      </c>
      <c r="J131" s="47"/>
    </row>
    <row r="132" spans="1:10" ht="12.75">
      <c r="A132" s="3">
        <v>41183</v>
      </c>
      <c r="C132" s="74">
        <f t="shared" si="2"/>
        <v>324.71999999999997</v>
      </c>
      <c r="D132" s="74">
        <f t="shared" si="2"/>
        <v>1.04</v>
      </c>
      <c r="E132" s="19">
        <v>31</v>
      </c>
      <c r="F132" s="19">
        <f>'GS &lt; 50 kW'!F132</f>
        <v>160363.5839159292</v>
      </c>
      <c r="G132" s="19">
        <v>1</v>
      </c>
      <c r="H132" s="19"/>
      <c r="I132" s="10">
        <f aca="true" t="shared" si="3" ref="I132:I146">$M$18+C132*$M$19+D132*$M$20+E132*$M$21+F132*$M$22+H132*$M$24</f>
        <v>7115022.324202764</v>
      </c>
      <c r="J132" s="47"/>
    </row>
    <row r="133" spans="1:10" ht="12.75">
      <c r="A133" s="3">
        <v>41214</v>
      </c>
      <c r="C133" s="74">
        <f t="shared" si="2"/>
        <v>481.85999999999996</v>
      </c>
      <c r="D133" s="74">
        <f t="shared" si="2"/>
        <v>0</v>
      </c>
      <c r="E133" s="19">
        <v>30</v>
      </c>
      <c r="F133" s="19">
        <f>'GS &lt; 50 kW'!F133</f>
        <v>151444.2015662673</v>
      </c>
      <c r="G133" s="19">
        <v>1</v>
      </c>
      <c r="H133" s="19"/>
      <c r="I133" s="10">
        <f t="shared" si="3"/>
        <v>7082413.237204328</v>
      </c>
      <c r="J133" s="47"/>
    </row>
    <row r="134" spans="1:10" ht="12.75">
      <c r="A134" s="3">
        <v>41244</v>
      </c>
      <c r="C134" s="74">
        <f t="shared" si="2"/>
        <v>733.8100000000001</v>
      </c>
      <c r="D134" s="74">
        <f t="shared" si="2"/>
        <v>0</v>
      </c>
      <c r="E134" s="19">
        <v>31</v>
      </c>
      <c r="F134" s="19">
        <f>'GS &lt; 50 kW'!F134</f>
        <v>142524.8192166054</v>
      </c>
      <c r="G134" s="19">
        <v>0</v>
      </c>
      <c r="H134" s="19"/>
      <c r="I134" s="10">
        <f t="shared" si="3"/>
        <v>7317370.268321354</v>
      </c>
      <c r="J134" s="47"/>
    </row>
    <row r="135" spans="1:10" ht="12.75">
      <c r="A135" s="3">
        <v>41275</v>
      </c>
      <c r="C135" s="74">
        <f aca="true" t="shared" si="4" ref="C135:D146">C123</f>
        <v>822.55</v>
      </c>
      <c r="D135" s="74">
        <f t="shared" si="4"/>
        <v>0</v>
      </c>
      <c r="E135" s="19">
        <v>31</v>
      </c>
      <c r="F135" s="19">
        <f>'GS &lt; 50 kW'!F135</f>
        <v>149714.2658700011</v>
      </c>
      <c r="G135" s="19">
        <v>0</v>
      </c>
      <c r="H135" s="19"/>
      <c r="I135" s="10">
        <f t="shared" si="3"/>
        <v>7342690.261099781</v>
      </c>
      <c r="J135" s="47"/>
    </row>
    <row r="136" spans="1:10" ht="12.75">
      <c r="A136" s="3">
        <v>41306</v>
      </c>
      <c r="C136" s="74">
        <f t="shared" si="4"/>
        <v>744.3</v>
      </c>
      <c r="D136" s="74">
        <f t="shared" si="4"/>
        <v>0</v>
      </c>
      <c r="E136" s="19">
        <v>28</v>
      </c>
      <c r="F136" s="19">
        <f>'GS &lt; 50 kW'!F136</f>
        <v>156903.71252339683</v>
      </c>
      <c r="G136" s="19">
        <v>0</v>
      </c>
      <c r="H136" s="19"/>
      <c r="I136" s="10">
        <f t="shared" si="3"/>
        <v>6968271.996563842</v>
      </c>
      <c r="J136" s="47"/>
    </row>
    <row r="137" spans="1:10" ht="12.75">
      <c r="A137" s="3">
        <v>41334</v>
      </c>
      <c r="C137" s="74">
        <f t="shared" si="4"/>
        <v>645</v>
      </c>
      <c r="D137" s="74">
        <f t="shared" si="4"/>
        <v>0</v>
      </c>
      <c r="E137" s="19">
        <v>31</v>
      </c>
      <c r="F137" s="19">
        <f>'GS &lt; 50 kW'!F137</f>
        <v>164093.15917679254</v>
      </c>
      <c r="G137" s="19">
        <v>1</v>
      </c>
      <c r="H137" s="19"/>
      <c r="I137" s="10">
        <f t="shared" si="3"/>
        <v>7239067.840301452</v>
      </c>
      <c r="J137" s="47"/>
    </row>
    <row r="138" spans="1:10" ht="12.75">
      <c r="A138" s="3">
        <v>41365</v>
      </c>
      <c r="C138" s="74">
        <f t="shared" si="4"/>
        <v>384.3</v>
      </c>
      <c r="D138" s="74">
        <f t="shared" si="4"/>
        <v>0.45</v>
      </c>
      <c r="E138" s="19">
        <v>30</v>
      </c>
      <c r="F138" s="19">
        <f>'GS &lt; 50 kW'!F138</f>
        <v>171282.60583018826</v>
      </c>
      <c r="G138" s="19">
        <v>1</v>
      </c>
      <c r="H138" s="19"/>
      <c r="I138" s="10">
        <f t="shared" si="3"/>
        <v>7007064.175982474</v>
      </c>
      <c r="J138" s="47"/>
    </row>
    <row r="139" spans="1:10" ht="12.75">
      <c r="A139" s="3">
        <v>41395</v>
      </c>
      <c r="C139" s="74">
        <f t="shared" si="4"/>
        <v>218.67999999999998</v>
      </c>
      <c r="D139" s="74">
        <f t="shared" si="4"/>
        <v>6.38</v>
      </c>
      <c r="E139" s="19">
        <v>31</v>
      </c>
      <c r="F139" s="19">
        <f>'GS &lt; 50 kW'!F139</f>
        <v>178472.05248358398</v>
      </c>
      <c r="G139" s="19">
        <v>1</v>
      </c>
      <c r="H139" s="19"/>
      <c r="I139" s="10">
        <f t="shared" si="3"/>
        <v>7077967.342667511</v>
      </c>
      <c r="J139" s="47"/>
    </row>
    <row r="140" spans="1:10" ht="12.75">
      <c r="A140" s="3">
        <v>41426</v>
      </c>
      <c r="C140" s="74">
        <f t="shared" si="4"/>
        <v>68.25000000000001</v>
      </c>
      <c r="D140" s="74">
        <f t="shared" si="4"/>
        <v>30.23</v>
      </c>
      <c r="E140" s="19">
        <v>30</v>
      </c>
      <c r="F140" s="19">
        <f>'GS &lt; 50 kW'!F140</f>
        <v>185661.4991369797</v>
      </c>
      <c r="G140" s="19">
        <v>0</v>
      </c>
      <c r="H140" s="19"/>
      <c r="I140" s="10">
        <f t="shared" si="3"/>
        <v>7079513.393788705</v>
      </c>
      <c r="J140" s="47"/>
    </row>
    <row r="141" spans="1:10" ht="12.75">
      <c r="A141" s="3">
        <v>41456</v>
      </c>
      <c r="C141" s="74">
        <f t="shared" si="4"/>
        <v>18.93</v>
      </c>
      <c r="D141" s="74">
        <f t="shared" si="4"/>
        <v>62.13000000000001</v>
      </c>
      <c r="E141" s="19">
        <v>31</v>
      </c>
      <c r="F141" s="19">
        <f>'GS &lt; 50 kW'!F141</f>
        <v>192850.9457903754</v>
      </c>
      <c r="G141" s="19">
        <v>0</v>
      </c>
      <c r="H141" s="19"/>
      <c r="I141" s="10">
        <f t="shared" si="3"/>
        <v>7406974.660021341</v>
      </c>
      <c r="J141" s="47"/>
    </row>
    <row r="142" spans="1:10" ht="12.75">
      <c r="A142" s="3">
        <v>41487</v>
      </c>
      <c r="C142" s="74">
        <f t="shared" si="4"/>
        <v>34.42999999999999</v>
      </c>
      <c r="D142" s="74">
        <f t="shared" si="4"/>
        <v>45.3</v>
      </c>
      <c r="E142" s="19">
        <v>31</v>
      </c>
      <c r="F142" s="19">
        <f>'GS &lt; 50 kW'!F142</f>
        <v>200040.39244377112</v>
      </c>
      <c r="G142" s="19">
        <v>0</v>
      </c>
      <c r="H142" s="19"/>
      <c r="I142" s="10">
        <f t="shared" si="3"/>
        <v>7266955.774475786</v>
      </c>
      <c r="J142" s="47"/>
    </row>
    <row r="143" spans="1:10" ht="12.75">
      <c r="A143" s="3">
        <v>41518</v>
      </c>
      <c r="C143" s="74">
        <f t="shared" si="4"/>
        <v>112.22</v>
      </c>
      <c r="D143" s="74">
        <f t="shared" si="4"/>
        <v>12.55</v>
      </c>
      <c r="E143" s="19">
        <v>30</v>
      </c>
      <c r="F143" s="19">
        <f>'GS &lt; 50 kW'!F143</f>
        <v>207229.83909716684</v>
      </c>
      <c r="G143" s="19">
        <v>1</v>
      </c>
      <c r="H143" s="19"/>
      <c r="I143" s="10">
        <f t="shared" si="3"/>
        <v>6918645.645579834</v>
      </c>
      <c r="J143" s="47"/>
    </row>
    <row r="144" spans="1:10" ht="12.75">
      <c r="A144" s="3">
        <v>41548</v>
      </c>
      <c r="C144" s="74">
        <f t="shared" si="4"/>
        <v>324.71999999999997</v>
      </c>
      <c r="D144" s="74">
        <f t="shared" si="4"/>
        <v>1.04</v>
      </c>
      <c r="E144" s="19">
        <v>31</v>
      </c>
      <c r="F144" s="19">
        <f>'GS &lt; 50 kW'!F144</f>
        <v>214419.28575056256</v>
      </c>
      <c r="G144" s="19">
        <v>1</v>
      </c>
      <c r="H144" s="19"/>
      <c r="I144" s="10">
        <f t="shared" si="3"/>
        <v>7015488.982634054</v>
      </c>
      <c r="J144" s="47"/>
    </row>
    <row r="145" spans="1:10" ht="12.75">
      <c r="A145" s="3">
        <v>41579</v>
      </c>
      <c r="C145" s="74">
        <f t="shared" si="4"/>
        <v>481.85999999999996</v>
      </c>
      <c r="D145" s="74">
        <f t="shared" si="4"/>
        <v>0</v>
      </c>
      <c r="E145" s="19">
        <v>30</v>
      </c>
      <c r="F145" s="19">
        <f>'GS &lt; 50 kW'!F145</f>
        <v>221608.73240395827</v>
      </c>
      <c r="G145" s="19">
        <v>1</v>
      </c>
      <c r="H145" s="19"/>
      <c r="I145" s="10">
        <f t="shared" si="3"/>
        <v>6953218.536611212</v>
      </c>
      <c r="J145" s="47"/>
    </row>
    <row r="146" spans="1:10" ht="12.75">
      <c r="A146" s="3">
        <v>41609</v>
      </c>
      <c r="C146" s="74">
        <f t="shared" si="4"/>
        <v>733.8100000000001</v>
      </c>
      <c r="D146" s="74">
        <f t="shared" si="4"/>
        <v>0</v>
      </c>
      <c r="E146" s="19">
        <v>31</v>
      </c>
      <c r="F146" s="19">
        <f>'GS &lt; 50 kW'!F146</f>
        <v>228798.179057354</v>
      </c>
      <c r="G146" s="19">
        <v>0</v>
      </c>
      <c r="H146" s="19"/>
      <c r="I146" s="10">
        <f t="shared" si="3"/>
        <v>7158514.208703833</v>
      </c>
      <c r="J146" s="47"/>
    </row>
    <row r="147" spans="1:26" ht="12.75">
      <c r="A147" s="3"/>
      <c r="X147" s="11"/>
      <c r="Y147" s="11"/>
      <c r="Z147" s="11"/>
    </row>
    <row r="148" spans="1:9" ht="12.75">
      <c r="A148" s="3"/>
      <c r="D148" s="23" t="s">
        <v>14</v>
      </c>
      <c r="I148" s="47">
        <f>SUM(I3:I147)</f>
        <v>1048486916.5206971</v>
      </c>
    </row>
    <row r="149" ht="12.75">
      <c r="A149" s="3"/>
    </row>
    <row r="150" spans="1:11" ht="12.75">
      <c r="A150" s="18">
        <v>2002</v>
      </c>
      <c r="B150" s="27">
        <f>SUM(B3:B14)</f>
        <v>87393551.8</v>
      </c>
      <c r="I150" s="6">
        <f>SUM(I3:I14)</f>
        <v>90001964.42472424</v>
      </c>
      <c r="J150" s="38">
        <f aca="true" t="shared" si="5" ref="J150:J159">I150-B150</f>
        <v>2608412.624724239</v>
      </c>
      <c r="K150" s="5">
        <f aca="true" t="shared" si="6" ref="K150:K159">J150/B150</f>
        <v>0.029846740074068477</v>
      </c>
    </row>
    <row r="151" spans="1:11" ht="12.75">
      <c r="A151" s="18">
        <v>2003</v>
      </c>
      <c r="B151" s="27">
        <f>SUM(B15:B26)</f>
        <v>88224268.53</v>
      </c>
      <c r="I151" s="6">
        <f>SUM(I15:I26)</f>
        <v>89491606.68575472</v>
      </c>
      <c r="J151" s="38">
        <f t="shared" si="5"/>
        <v>1267338.1557547152</v>
      </c>
      <c r="K151" s="5">
        <f t="shared" si="6"/>
        <v>0.014364960762738048</v>
      </c>
    </row>
    <row r="152" spans="1:11" ht="12.75">
      <c r="A152">
        <v>2004</v>
      </c>
      <c r="B152" s="27">
        <f>SUM(B27:B38)</f>
        <v>89703215</v>
      </c>
      <c r="I152" s="6">
        <f>SUM(I27:I38)</f>
        <v>89496190.92179976</v>
      </c>
      <c r="J152" s="38">
        <f t="shared" si="5"/>
        <v>-207024.07820023596</v>
      </c>
      <c r="K152" s="5">
        <f t="shared" si="6"/>
        <v>-0.0023078780197592244</v>
      </c>
    </row>
    <row r="153" spans="1:26" ht="12.75">
      <c r="A153" s="18">
        <v>2005</v>
      </c>
      <c r="B153" s="27">
        <f>SUM(B39:B50)</f>
        <v>90288216</v>
      </c>
      <c r="I153" s="6">
        <f>SUM(I39:I50)</f>
        <v>90172555.71935154</v>
      </c>
      <c r="J153" s="38">
        <f t="shared" si="5"/>
        <v>-115660.28064845502</v>
      </c>
      <c r="K153" s="5">
        <f t="shared" si="6"/>
        <v>-0.0012810119168647105</v>
      </c>
      <c r="X153" s="11"/>
      <c r="Y153" s="11"/>
      <c r="Z153" s="11"/>
    </row>
    <row r="154" spans="1:11" ht="12.75">
      <c r="A154">
        <v>2006</v>
      </c>
      <c r="B154" s="27">
        <f>SUM(B51:B62)</f>
        <v>90034006</v>
      </c>
      <c r="I154" s="6">
        <f>SUM(I51:I62)</f>
        <v>88240734.22333768</v>
      </c>
      <c r="J154" s="38">
        <f t="shared" si="5"/>
        <v>-1793271.77666232</v>
      </c>
      <c r="K154" s="5">
        <f t="shared" si="6"/>
        <v>-0.019917716164515882</v>
      </c>
    </row>
    <row r="155" spans="1:11" ht="12.75">
      <c r="A155" s="18">
        <v>2007</v>
      </c>
      <c r="B155" s="27">
        <f>SUM(B63:B74)</f>
        <v>90911555</v>
      </c>
      <c r="I155" s="6">
        <f>SUM(I63:I74)</f>
        <v>87227943.19790687</v>
      </c>
      <c r="J155" s="38">
        <f t="shared" si="5"/>
        <v>-3683611.8020931333</v>
      </c>
      <c r="K155" s="5">
        <f t="shared" si="6"/>
        <v>-0.040518631565515884</v>
      </c>
    </row>
    <row r="156" spans="1:11" ht="12.75">
      <c r="A156">
        <v>2008</v>
      </c>
      <c r="B156" s="27">
        <f>SUM(B75:B86)</f>
        <v>90745868</v>
      </c>
      <c r="I156" s="6">
        <f>SUM(I75:I86)</f>
        <v>86840082.89014462</v>
      </c>
      <c r="J156" s="38">
        <f t="shared" si="5"/>
        <v>-3905785.1098553836</v>
      </c>
      <c r="K156" s="5">
        <f t="shared" si="6"/>
        <v>-0.04304091410371857</v>
      </c>
    </row>
    <row r="157" spans="1:11" ht="12.75">
      <c r="A157" s="18">
        <v>2009</v>
      </c>
      <c r="B157" s="27">
        <f>SUM(B87:B98)</f>
        <v>84055244</v>
      </c>
      <c r="I157" s="6">
        <f>SUM(I87:I98)</f>
        <v>85003719.21659552</v>
      </c>
      <c r="J157" s="38">
        <f t="shared" si="5"/>
        <v>948475.2165955156</v>
      </c>
      <c r="K157" s="5">
        <f t="shared" si="6"/>
        <v>0.01128395054799336</v>
      </c>
    </row>
    <row r="158" spans="1:11" ht="12.75">
      <c r="A158">
        <v>2010</v>
      </c>
      <c r="B158" s="27">
        <f>SUM(B99:B110)</f>
        <v>82607939</v>
      </c>
      <c r="I158" s="6">
        <f>SUM(I99:I110)</f>
        <v>85942378.84702852</v>
      </c>
      <c r="J158" s="38">
        <f t="shared" si="5"/>
        <v>3334439.8470285237</v>
      </c>
      <c r="K158" s="5">
        <f t="shared" si="6"/>
        <v>0.04036464155132261</v>
      </c>
    </row>
    <row r="159" spans="1:11" ht="12.75">
      <c r="A159" s="18">
        <v>2011</v>
      </c>
      <c r="B159" s="27">
        <f>SUM(B111:B122)</f>
        <v>83596624.46000001</v>
      </c>
      <c r="I159" s="6">
        <f>SUM(I111:I122)</f>
        <v>85143311.66335653</v>
      </c>
      <c r="J159" s="38">
        <f t="shared" si="5"/>
        <v>1546687.2033565193</v>
      </c>
      <c r="K159" s="5">
        <f t="shared" si="6"/>
        <v>0.018501790154177706</v>
      </c>
    </row>
    <row r="160" spans="1:9" ht="12.75">
      <c r="A160" s="18">
        <v>2012</v>
      </c>
      <c r="I160" s="6">
        <f>SUM(I123:I134)</f>
        <v>85492055.91226725</v>
      </c>
    </row>
    <row r="161" spans="1:9" ht="12.75">
      <c r="A161" s="18">
        <v>2013</v>
      </c>
      <c r="I161" s="6">
        <f>SUM(I135:I146)</f>
        <v>85434372.81842983</v>
      </c>
    </row>
    <row r="162" ht="12.75">
      <c r="I162" s="6"/>
    </row>
    <row r="163" spans="1:10" ht="12.75">
      <c r="A163" t="s">
        <v>85</v>
      </c>
      <c r="B163" s="27">
        <f>SUM(B150:B159)</f>
        <v>877560487.79</v>
      </c>
      <c r="I163" s="6">
        <f>SUM(I149:I159)</f>
        <v>877560487.79</v>
      </c>
      <c r="J163" s="6">
        <f>I163-B163</f>
        <v>0</v>
      </c>
    </row>
    <row r="165" spans="9:10" ht="12.75">
      <c r="I165" s="6">
        <f>SUM(I150:I161)</f>
        <v>1048486916.520697</v>
      </c>
      <c r="J165" s="47">
        <f>I148-I165</f>
        <v>0</v>
      </c>
    </row>
    <row r="166" spans="9:11" ht="12.75">
      <c r="I166" s="23"/>
      <c r="J166" s="23" t="s">
        <v>66</v>
      </c>
      <c r="K166" s="23"/>
    </row>
    <row r="168" spans="24:26" ht="12.75">
      <c r="X168" s="11"/>
      <c r="Y168" s="11"/>
      <c r="Z168" s="11"/>
    </row>
    <row r="180" spans="24:26" ht="12.75">
      <c r="X180" s="11"/>
      <c r="Y180" s="11"/>
      <c r="Z180" s="11"/>
    </row>
    <row r="182" spans="5:7" ht="12.75">
      <c r="E182" s="27"/>
      <c r="F182" s="27"/>
      <c r="G182" s="27"/>
    </row>
  </sheetData>
  <sheetProtection/>
  <mergeCells count="1">
    <mergeCell ref="G1:H1"/>
  </mergeCells>
  <printOptions/>
  <pageMargins left="0.38" right="0.75" top="0.73" bottom="0.74" header="0.5" footer="0.5"/>
  <pageSetup fitToHeight="1" fitToWidth="1" horizontalDpi="600" verticalDpi="600" orientation="landscape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0"/>
  <sheetViews>
    <sheetView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6" sqref="H26"/>
    </sheetView>
  </sheetViews>
  <sheetFormatPr defaultColWidth="9.140625" defaultRowHeight="12.75"/>
  <cols>
    <col min="1" max="1" width="11.00390625" style="0" customWidth="1"/>
    <col min="2" max="5" width="18.00390625" style="1" customWidth="1"/>
    <col min="6" max="6" width="15.7109375" style="1" customWidth="1"/>
    <col min="7" max="7" width="15.7109375" style="6" customWidth="1"/>
    <col min="8" max="8" width="15.00390625" style="6" customWidth="1"/>
    <col min="9" max="10" width="14.140625" style="6" bestFit="1" customWidth="1"/>
    <col min="11" max="11" width="14.140625" style="6" customWidth="1"/>
    <col min="12" max="12" width="14.7109375" style="6" customWidth="1"/>
    <col min="13" max="13" width="12.57421875" style="6" customWidth="1"/>
    <col min="14" max="14" width="12.7109375" style="6" bestFit="1" customWidth="1"/>
    <col min="15" max="15" width="11.140625" style="6" bestFit="1" customWidth="1"/>
    <col min="16" max="16" width="11.7109375" style="6" bestFit="1" customWidth="1"/>
    <col min="17" max="17" width="10.7109375" style="6" bestFit="1" customWidth="1"/>
    <col min="18" max="18" width="9.140625" style="6" customWidth="1"/>
    <col min="19" max="19" width="11.140625" style="6" bestFit="1" customWidth="1"/>
  </cols>
  <sheetData>
    <row r="1" ht="12.75"/>
    <row r="2" spans="2:13" ht="42" customHeight="1">
      <c r="B2" s="2" t="s">
        <v>7</v>
      </c>
      <c r="C2" s="2" t="s">
        <v>8</v>
      </c>
      <c r="D2" s="2" t="s">
        <v>42</v>
      </c>
      <c r="E2" s="2" t="s">
        <v>9</v>
      </c>
      <c r="F2" s="2" t="s">
        <v>1</v>
      </c>
      <c r="G2" s="7" t="s">
        <v>2</v>
      </c>
      <c r="H2" s="71" t="s">
        <v>69</v>
      </c>
      <c r="I2" s="118" t="s">
        <v>70</v>
      </c>
      <c r="J2" s="118" t="s">
        <v>71</v>
      </c>
      <c r="K2" s="118" t="s">
        <v>80</v>
      </c>
      <c r="L2" s="118" t="s">
        <v>74</v>
      </c>
      <c r="M2" s="119" t="s">
        <v>72</v>
      </c>
    </row>
    <row r="3" ht="12.75"/>
    <row r="4" spans="1:2" ht="12.75">
      <c r="A4" s="23"/>
      <c r="B4" s="40" t="s">
        <v>44</v>
      </c>
    </row>
    <row r="5" spans="2:19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ht="12.75"/>
    <row r="7" spans="1:24" ht="12.75">
      <c r="A7">
        <f>'Purchased Power Model '!A150</f>
        <v>2002</v>
      </c>
      <c r="B7" s="6">
        <f>'Purchased Power Model '!B150</f>
        <v>238718386</v>
      </c>
      <c r="C7" s="6">
        <f>'Purchased Power Model '!J150</f>
        <v>239720463.57141733</v>
      </c>
      <c r="D7" s="38">
        <f aca="true" t="shared" si="0" ref="D7:D16">C7-B7</f>
        <v>1002077.5714173317</v>
      </c>
      <c r="E7" s="5">
        <f aca="true" t="shared" si="1" ref="E7:E16">D7/B7</f>
        <v>0.004197739387435921</v>
      </c>
      <c r="F7" s="51">
        <f aca="true" t="shared" si="2" ref="F7:F16">1+(B7-G7)/G7</f>
        <v>1.1053566128838015</v>
      </c>
      <c r="G7" s="27">
        <f>SUM(H7:M7)</f>
        <v>215965040.79999998</v>
      </c>
      <c r="H7" s="27">
        <v>79135152</v>
      </c>
      <c r="I7" s="27">
        <v>47266055.88684311</v>
      </c>
      <c r="J7" s="27">
        <v>87393551.8</v>
      </c>
      <c r="K7" s="27">
        <v>41970</v>
      </c>
      <c r="L7" s="27">
        <v>1812496</v>
      </c>
      <c r="M7" s="27">
        <v>315815.1131568853</v>
      </c>
      <c r="N7" s="27"/>
      <c r="O7" s="27"/>
      <c r="P7" s="27"/>
      <c r="Q7" s="27"/>
      <c r="R7" s="27"/>
      <c r="S7" s="27"/>
      <c r="T7" s="27"/>
      <c r="U7" s="27"/>
      <c r="W7" s="27"/>
      <c r="X7" s="27"/>
    </row>
    <row r="8" spans="1:24" ht="12.75">
      <c r="A8">
        <f>'Purchased Power Model '!A151</f>
        <v>2003</v>
      </c>
      <c r="B8" s="6">
        <f>'Purchased Power Model '!B151</f>
        <v>246525602</v>
      </c>
      <c r="C8" s="6">
        <f>'Purchased Power Model '!J151</f>
        <v>241645373.4028023</v>
      </c>
      <c r="D8" s="38">
        <f t="shared" si="0"/>
        <v>-4880228.5971977115</v>
      </c>
      <c r="E8" s="5">
        <f t="shared" si="1"/>
        <v>-0.019796031558611555</v>
      </c>
      <c r="F8" s="51">
        <f t="shared" si="2"/>
        <v>1.1311920261573336</v>
      </c>
      <c r="G8" s="27">
        <f aca="true" t="shared" si="3" ref="G8:G16">SUM(H8:M8)</f>
        <v>217934352.70000002</v>
      </c>
      <c r="H8" s="27">
        <v>81325470</v>
      </c>
      <c r="I8" s="27">
        <v>46156409.663598016</v>
      </c>
      <c r="J8" s="27">
        <v>88224268.53</v>
      </c>
      <c r="K8" s="27">
        <v>44229</v>
      </c>
      <c r="L8" s="27">
        <v>1881086.17</v>
      </c>
      <c r="M8" s="27">
        <v>302889.33640199463</v>
      </c>
      <c r="N8" s="27"/>
      <c r="O8" s="27"/>
      <c r="P8" s="27"/>
      <c r="Q8" s="27"/>
      <c r="R8" s="27"/>
      <c r="S8" s="27"/>
      <c r="T8" s="27"/>
      <c r="U8" s="27"/>
      <c r="W8" s="27"/>
      <c r="X8" s="27"/>
    </row>
    <row r="9" spans="1:24" ht="12.75">
      <c r="A9">
        <f>'Purchased Power Model '!A152</f>
        <v>2004</v>
      </c>
      <c r="B9" s="6">
        <f>'Purchased Power Model '!B152</f>
        <v>242100886</v>
      </c>
      <c r="C9" s="6">
        <f>'Purchased Power Model '!J152</f>
        <v>241409229.2852041</v>
      </c>
      <c r="D9" s="38">
        <f t="shared" si="0"/>
        <v>-691656.7147958875</v>
      </c>
      <c r="E9" s="5">
        <f t="shared" si="1"/>
        <v>-0.0028568946038301053</v>
      </c>
      <c r="F9" s="51">
        <f t="shared" si="2"/>
        <v>1.0992106053012225</v>
      </c>
      <c r="G9" s="27">
        <f t="shared" si="3"/>
        <v>220249772.73000002</v>
      </c>
      <c r="H9" s="27">
        <v>81449395</v>
      </c>
      <c r="I9" s="27">
        <v>46865416.286536254</v>
      </c>
      <c r="J9" s="27">
        <v>89703215</v>
      </c>
      <c r="K9" s="27">
        <v>42373.08</v>
      </c>
      <c r="L9" s="27">
        <v>1891352.65</v>
      </c>
      <c r="M9" s="27">
        <v>298020.7134637514</v>
      </c>
      <c r="N9" s="27"/>
      <c r="O9" s="27"/>
      <c r="P9" s="27"/>
      <c r="Q9" s="27"/>
      <c r="R9" s="27"/>
      <c r="S9" s="27"/>
      <c r="T9" s="27"/>
      <c r="U9" s="27"/>
      <c r="W9" s="27"/>
      <c r="X9" s="27"/>
    </row>
    <row r="10" spans="1:24" ht="12.75">
      <c r="A10">
        <f>'Purchased Power Model '!A153</f>
        <v>2005</v>
      </c>
      <c r="B10" s="6">
        <f>'Purchased Power Model '!B153</f>
        <v>236047562</v>
      </c>
      <c r="C10" s="6">
        <f>'Purchased Power Model '!J153</f>
        <v>237579760.49331993</v>
      </c>
      <c r="D10" s="38">
        <f t="shared" si="0"/>
        <v>1532198.4933199286</v>
      </c>
      <c r="E10" s="5">
        <f t="shared" si="1"/>
        <v>0.006491058328829207</v>
      </c>
      <c r="F10" s="51">
        <f t="shared" si="2"/>
        <v>1.0600183875423435</v>
      </c>
      <c r="G10" s="27">
        <f t="shared" si="3"/>
        <v>222682516.43</v>
      </c>
      <c r="H10" s="27">
        <v>82557208</v>
      </c>
      <c r="I10" s="27">
        <v>47637154.86152666</v>
      </c>
      <c r="J10" s="27">
        <v>90288216</v>
      </c>
      <c r="K10" s="27">
        <v>41442.520000000004</v>
      </c>
      <c r="L10" s="27">
        <v>1884913.9100000001</v>
      </c>
      <c r="M10" s="27">
        <v>273581.138473341</v>
      </c>
      <c r="N10" s="27"/>
      <c r="O10" s="27"/>
      <c r="P10" s="27"/>
      <c r="Q10" s="27"/>
      <c r="R10" s="27"/>
      <c r="S10" s="27"/>
      <c r="T10" s="27"/>
      <c r="U10" s="27"/>
      <c r="W10" s="27"/>
      <c r="X10" s="27"/>
    </row>
    <row r="11" spans="1:24" ht="12.75">
      <c r="A11">
        <f>'Purchased Power Model '!A154</f>
        <v>2006</v>
      </c>
      <c r="B11" s="6">
        <f>'Purchased Power Model '!B154</f>
        <v>229437606</v>
      </c>
      <c r="C11" s="6">
        <f>'Purchased Power Model '!J154</f>
        <v>232376202.03049868</v>
      </c>
      <c r="D11" s="38">
        <f t="shared" si="0"/>
        <v>2938596.0304986835</v>
      </c>
      <c r="E11" s="5">
        <f t="shared" si="1"/>
        <v>0.012807822055546916</v>
      </c>
      <c r="F11" s="51">
        <f t="shared" si="2"/>
        <v>1.0627887941204044</v>
      </c>
      <c r="G11" s="27">
        <f t="shared" si="3"/>
        <v>215882598</v>
      </c>
      <c r="H11" s="27">
        <v>78169630</v>
      </c>
      <c r="I11" s="27">
        <v>45481306</v>
      </c>
      <c r="J11" s="27">
        <v>90034006</v>
      </c>
      <c r="K11" s="27">
        <v>41334</v>
      </c>
      <c r="L11" s="27">
        <v>1885256</v>
      </c>
      <c r="M11" s="27">
        <v>271066</v>
      </c>
      <c r="N11" s="27"/>
      <c r="O11" s="27"/>
      <c r="P11" s="27"/>
      <c r="Q11" s="27"/>
      <c r="R11" s="27"/>
      <c r="S11" s="27"/>
      <c r="T11" s="27"/>
      <c r="U11" s="27"/>
      <c r="W11" s="27"/>
      <c r="X11" s="27"/>
    </row>
    <row r="12" spans="1:24" ht="12.75">
      <c r="A12">
        <f>'Purchased Power Model '!A155</f>
        <v>2007</v>
      </c>
      <c r="B12" s="6">
        <f>'Purchased Power Model '!B155</f>
        <v>230101605</v>
      </c>
      <c r="C12" s="6">
        <f>'Purchased Power Model '!J155</f>
        <v>231565219.07945916</v>
      </c>
      <c r="D12" s="38">
        <f t="shared" si="0"/>
        <v>1463614.0794591606</v>
      </c>
      <c r="E12" s="5">
        <f t="shared" si="1"/>
        <v>0.006360729554490333</v>
      </c>
      <c r="F12" s="51">
        <f t="shared" si="2"/>
        <v>1.0527135664598006</v>
      </c>
      <c r="G12" s="27">
        <f t="shared" si="3"/>
        <v>218579500</v>
      </c>
      <c r="H12" s="27">
        <v>79398441</v>
      </c>
      <c r="I12" s="27">
        <v>46091929</v>
      </c>
      <c r="J12" s="27">
        <v>90911555</v>
      </c>
      <c r="K12" s="27">
        <v>40100</v>
      </c>
      <c r="L12" s="27">
        <v>1884914</v>
      </c>
      <c r="M12" s="27">
        <v>252561</v>
      </c>
      <c r="N12" s="27"/>
      <c r="O12" s="27"/>
      <c r="P12" s="27"/>
      <c r="Q12" s="27"/>
      <c r="R12" s="27"/>
      <c r="S12" s="27"/>
      <c r="T12" s="27"/>
      <c r="U12" s="27"/>
      <c r="W12" s="27"/>
      <c r="X12" s="27"/>
    </row>
    <row r="13" spans="1:24" ht="12.75">
      <c r="A13">
        <f>'Purchased Power Model '!A156</f>
        <v>2008</v>
      </c>
      <c r="B13" s="6">
        <f>'Purchased Power Model '!B156</f>
        <v>233194447</v>
      </c>
      <c r="C13" s="6">
        <f>'Purchased Power Model '!J156</f>
        <v>232110016.25180793</v>
      </c>
      <c r="D13" s="38">
        <f t="shared" si="0"/>
        <v>-1084430.748192072</v>
      </c>
      <c r="E13" s="5">
        <f t="shared" si="1"/>
        <v>-0.004650328351052339</v>
      </c>
      <c r="F13" s="51">
        <f t="shared" si="2"/>
        <v>1.0640071381795781</v>
      </c>
      <c r="G13" s="27">
        <f t="shared" si="3"/>
        <v>219166243</v>
      </c>
      <c r="H13" s="27">
        <v>80889261</v>
      </c>
      <c r="I13" s="27">
        <v>45412234</v>
      </c>
      <c r="J13" s="27">
        <v>90745868</v>
      </c>
      <c r="K13" s="27">
        <v>39860</v>
      </c>
      <c r="L13" s="27">
        <v>1872292</v>
      </c>
      <c r="M13" s="27">
        <v>206728</v>
      </c>
      <c r="N13" s="27"/>
      <c r="O13" s="27"/>
      <c r="P13" s="27"/>
      <c r="Q13" s="27"/>
      <c r="R13" s="27"/>
      <c r="S13" s="27"/>
      <c r="T13" s="27"/>
      <c r="U13" s="27"/>
      <c r="W13" s="27"/>
      <c r="X13" s="27"/>
    </row>
    <row r="14" spans="1:24" ht="12.75">
      <c r="A14">
        <f>'Purchased Power Model '!A157</f>
        <v>2009</v>
      </c>
      <c r="B14" s="6">
        <f>'Purchased Power Model '!B157</f>
        <v>225969773</v>
      </c>
      <c r="C14" s="6">
        <f>'Purchased Power Model '!J157</f>
        <v>225718106.88929662</v>
      </c>
      <c r="D14" s="38">
        <f t="shared" si="0"/>
        <v>-251666.11070337892</v>
      </c>
      <c r="E14" s="5">
        <f t="shared" si="1"/>
        <v>-0.0011137158185461331</v>
      </c>
      <c r="F14" s="51">
        <f t="shared" si="2"/>
        <v>1.0750722308487692</v>
      </c>
      <c r="G14" s="27">
        <f t="shared" si="3"/>
        <v>210190317</v>
      </c>
      <c r="H14" s="27">
        <v>80642283</v>
      </c>
      <c r="I14" s="27">
        <v>43415770</v>
      </c>
      <c r="J14" s="27">
        <v>84055244</v>
      </c>
      <c r="K14" s="27">
        <v>40502</v>
      </c>
      <c r="L14" s="27">
        <v>1870097</v>
      </c>
      <c r="M14" s="27">
        <v>166421</v>
      </c>
      <c r="N14" s="27"/>
      <c r="O14" s="27"/>
      <c r="P14" s="27"/>
      <c r="Q14" s="27"/>
      <c r="R14" s="27"/>
      <c r="S14" s="27"/>
      <c r="T14" s="27"/>
      <c r="U14" s="27"/>
      <c r="W14" s="27"/>
      <c r="X14" s="27"/>
    </row>
    <row r="15" spans="1:24" ht="12.75">
      <c r="A15">
        <f>'Purchased Power Model '!A158</f>
        <v>2010</v>
      </c>
      <c r="B15" s="6">
        <f>'Purchased Power Model '!B158</f>
        <v>221209083</v>
      </c>
      <c r="C15" s="6">
        <f>'Purchased Power Model '!J158</f>
        <v>222087698.48747095</v>
      </c>
      <c r="D15" s="38">
        <f>C15-B15</f>
        <v>878615.4874709547</v>
      </c>
      <c r="E15" s="5">
        <f>D15/B15</f>
        <v>0.003971877987808279</v>
      </c>
      <c r="F15" s="51">
        <f t="shared" si="2"/>
        <v>1.0701852413170654</v>
      </c>
      <c r="G15" s="27">
        <f t="shared" si="3"/>
        <v>206701675.99</v>
      </c>
      <c r="H15" s="27">
        <v>79053121.92</v>
      </c>
      <c r="I15" s="27">
        <v>42988016</v>
      </c>
      <c r="J15" s="27">
        <v>82607939</v>
      </c>
      <c r="K15" s="27">
        <v>40765.11999999999</v>
      </c>
      <c r="L15" s="27">
        <v>1870097.95</v>
      </c>
      <c r="M15" s="27">
        <v>141736</v>
      </c>
      <c r="N15" s="27"/>
      <c r="O15" s="27"/>
      <c r="P15" s="27"/>
      <c r="Q15" s="27"/>
      <c r="R15" s="27"/>
      <c r="S15" s="27"/>
      <c r="T15" s="27"/>
      <c r="U15" s="27"/>
      <c r="W15" s="27"/>
      <c r="X15" s="27"/>
    </row>
    <row r="16" spans="1:24" ht="12.75">
      <c r="A16">
        <f>'Purchased Power Model '!A159</f>
        <v>2011</v>
      </c>
      <c r="B16" s="6">
        <f>'Purchased Power Model '!B159</f>
        <v>221759892</v>
      </c>
      <c r="C16" s="6">
        <f>'Purchased Power Model '!J159</f>
        <v>220852772.50872317</v>
      </c>
      <c r="D16" s="38">
        <f t="shared" si="0"/>
        <v>-907119.4912768304</v>
      </c>
      <c r="E16" s="5">
        <f t="shared" si="1"/>
        <v>-0.004090548038672523</v>
      </c>
      <c r="F16" s="51">
        <f t="shared" si="2"/>
        <v>1.076801587291074</v>
      </c>
      <c r="G16" s="27">
        <f t="shared" si="3"/>
        <v>205943132.53</v>
      </c>
      <c r="H16" s="27">
        <v>77622640.94</v>
      </c>
      <c r="I16" s="27">
        <v>42681472.949999996</v>
      </c>
      <c r="J16" s="27">
        <v>83596624.46000001</v>
      </c>
      <c r="K16" s="27">
        <v>40399.119999999995</v>
      </c>
      <c r="L16" s="27">
        <v>1870092.06</v>
      </c>
      <c r="M16" s="27">
        <v>131903</v>
      </c>
      <c r="N16" s="27"/>
      <c r="O16" s="27"/>
      <c r="P16" s="27"/>
      <c r="Q16" s="27"/>
      <c r="R16" s="27"/>
      <c r="S16" s="27"/>
      <c r="T16" s="27"/>
      <c r="U16" s="27"/>
      <c r="W16" s="27"/>
      <c r="X16" s="27"/>
    </row>
    <row r="17" spans="1:7" ht="12.75">
      <c r="A17">
        <f>'Purchased Power Model '!A160</f>
        <v>2012</v>
      </c>
      <c r="B17" s="6"/>
      <c r="C17" s="6">
        <f>'Purchased Power Model '!J160</f>
        <v>224791599.07541212</v>
      </c>
      <c r="G17" s="27">
        <f>C17/$F$21</f>
        <v>208191526.98974565</v>
      </c>
    </row>
    <row r="18" spans="1:7" ht="12.75">
      <c r="A18">
        <f>'Purchased Power Model '!A161</f>
        <v>2013</v>
      </c>
      <c r="B18" s="6"/>
      <c r="C18" s="6">
        <f>'Purchased Power Model '!J161</f>
        <v>224468612.8212297</v>
      </c>
      <c r="G18" s="27">
        <f>C18/$F$21</f>
        <v>207892392.138926</v>
      </c>
    </row>
    <row r="19" spans="2:7" ht="12.75">
      <c r="B19" s="6"/>
      <c r="C19" s="6"/>
      <c r="G19" s="27"/>
    </row>
    <row r="20" ht="12.75"/>
    <row r="21" spans="1:6" ht="12.75">
      <c r="A21" s="20" t="s">
        <v>15</v>
      </c>
      <c r="F21" s="51">
        <f>AVERAGE(F7:F16)</f>
        <v>1.0797346190101391</v>
      </c>
    </row>
    <row r="22" spans="5:7" ht="12.75">
      <c r="E22" s="23"/>
      <c r="F22" s="23"/>
      <c r="G22" s="27"/>
    </row>
    <row r="23" ht="12.75"/>
    <row r="24" spans="1:2" ht="12.75">
      <c r="A24" s="22" t="s">
        <v>17</v>
      </c>
      <c r="B24" s="13"/>
    </row>
    <row r="25" ht="13.5" customHeight="1"/>
    <row r="26" spans="1:13" ht="12.75">
      <c r="A26">
        <f aca="true" t="shared" si="4" ref="A26:A37">A7</f>
        <v>2002</v>
      </c>
      <c r="D26" s="6"/>
      <c r="H26" s="27">
        <f>H7/'Rate Class Customer Model'!B3</f>
        <v>11137.952427867698</v>
      </c>
      <c r="I26" s="27">
        <f>I7/'Rate Class Customer Model'!C3</f>
        <v>32175.667724195446</v>
      </c>
      <c r="J26" s="27">
        <f>J7/'Rate Class Customer Model'!D3</f>
        <v>939715.6107526881</v>
      </c>
      <c r="K26" s="27">
        <f>K7/'Rate Class Customer Model'!E3</f>
        <v>839.4</v>
      </c>
      <c r="L26" s="27">
        <f>L7/'Rate Class Customer Model'!F3</f>
        <v>881.5642023346303</v>
      </c>
      <c r="M26" s="27">
        <f>M7/'Rate Class Customer Model'!G3</f>
        <v>4448.100185308243</v>
      </c>
    </row>
    <row r="27" spans="1:13" ht="12.75">
      <c r="A27">
        <f t="shared" si="4"/>
        <v>2003</v>
      </c>
      <c r="H27" s="27">
        <f>H8/'Rate Class Customer Model'!B4</f>
        <v>11276.410149750416</v>
      </c>
      <c r="I27" s="27">
        <f>I8/'Rate Class Customer Model'!C4</f>
        <v>31592.340632168387</v>
      </c>
      <c r="J27" s="27">
        <f>J8/'Rate Class Customer Model'!D4</f>
        <v>909528.5415463918</v>
      </c>
      <c r="K27" s="27">
        <f>K8/'Rate Class Customer Model'!E4</f>
        <v>902.6326530612245</v>
      </c>
      <c r="L27" s="27">
        <f>L8/'Rate Class Customer Model'!F4</f>
        <v>914.0360398445092</v>
      </c>
      <c r="M27" s="27">
        <f>M8/'Rate Class Customer Model'!G4</f>
        <v>4326.990520028495</v>
      </c>
    </row>
    <row r="28" spans="1:13" ht="12.75">
      <c r="A28">
        <f t="shared" si="4"/>
        <v>2004</v>
      </c>
      <c r="H28" s="27">
        <f>H9/'Rate Class Customer Model'!B5</f>
        <v>11197.332279351114</v>
      </c>
      <c r="I28" s="27">
        <f>I9/'Rate Class Customer Model'!C5</f>
        <v>31990.045246782425</v>
      </c>
      <c r="J28" s="27">
        <f>J9/'Rate Class Customer Model'!D5</f>
        <v>944244.3684210526</v>
      </c>
      <c r="K28" s="27">
        <f>K9/'Rate Class Customer Model'!E5</f>
        <v>882.7725</v>
      </c>
      <c r="L28" s="27">
        <f>L9/'Rate Class Customer Model'!F5</f>
        <v>919.0246112730806</v>
      </c>
      <c r="M28" s="27">
        <f>M9/'Rate Class Customer Model'!G5</f>
        <v>4257.438763767877</v>
      </c>
    </row>
    <row r="29" spans="1:13" ht="12.75">
      <c r="A29">
        <f t="shared" si="4"/>
        <v>2005</v>
      </c>
      <c r="H29" s="27">
        <f>H10/'Rate Class Customer Model'!B6</f>
        <v>11269.070161070162</v>
      </c>
      <c r="I29" s="27">
        <f>I10/'Rate Class Customer Model'!C6</f>
        <v>32318.28688027589</v>
      </c>
      <c r="J29" s="27">
        <f>J10/'Rate Class Customer Model'!D6</f>
        <v>921308.3265306122</v>
      </c>
      <c r="K29" s="27">
        <f>K10/'Rate Class Customer Model'!E6</f>
        <v>900.924347826087</v>
      </c>
      <c r="L29" s="27">
        <f>L10/'Rate Class Customer Model'!F6</f>
        <v>915.8959718172985</v>
      </c>
      <c r="M29" s="27">
        <f>M10/'Rate Class Customer Model'!G6</f>
        <v>4023.2520363726617</v>
      </c>
    </row>
    <row r="30" spans="1:13" ht="12.75">
      <c r="A30">
        <f t="shared" si="4"/>
        <v>2006</v>
      </c>
      <c r="H30" s="27">
        <f>H11/'Rate Class Customer Model'!B7</f>
        <v>10600.70924871169</v>
      </c>
      <c r="I30" s="27">
        <f>I11/'Rate Class Customer Model'!C7</f>
        <v>30772.196211096074</v>
      </c>
      <c r="J30" s="27">
        <f>J11/'Rate Class Customer Model'!D7</f>
        <v>978630.5</v>
      </c>
      <c r="K30" s="27">
        <f>K11/'Rate Class Customer Model'!E7</f>
        <v>918.5333333333333</v>
      </c>
      <c r="L30" s="27">
        <f>L11/'Rate Class Customer Model'!F7</f>
        <v>916.0621963070943</v>
      </c>
      <c r="M30" s="27">
        <f>M11/'Rate Class Customer Model'!G7</f>
        <v>4107.060606060606</v>
      </c>
    </row>
    <row r="31" spans="1:13" ht="12.75">
      <c r="A31">
        <f t="shared" si="4"/>
        <v>2007</v>
      </c>
      <c r="H31" s="27">
        <f>H12/'Rate Class Customer Model'!B8</f>
        <v>10739.678209116732</v>
      </c>
      <c r="I31" s="27">
        <f>I12/'Rate Class Customer Model'!C8</f>
        <v>30544.6845593108</v>
      </c>
      <c r="J31" s="27">
        <f>J12/'Rate Class Customer Model'!D8</f>
        <v>946995.3645833334</v>
      </c>
      <c r="K31" s="27">
        <f>K12/'Rate Class Customer Model'!E8</f>
        <v>911.3636363636364</v>
      </c>
      <c r="L31" s="27">
        <f>L12/'Rate Class Customer Model'!F8</f>
        <v>915.8960155490768</v>
      </c>
      <c r="M31" s="27">
        <f>M12/'Rate Class Customer Model'!G8</f>
        <v>3885.5538461538463</v>
      </c>
    </row>
    <row r="32" spans="1:13" ht="12.75">
      <c r="A32">
        <f t="shared" si="4"/>
        <v>2008</v>
      </c>
      <c r="H32" s="27">
        <f>H13/'Rate Class Customer Model'!B9</f>
        <v>10757.981247506317</v>
      </c>
      <c r="I32" s="27">
        <f>I13/'Rate Class Customer Model'!C9</f>
        <v>29584.51726384365</v>
      </c>
      <c r="J32" s="27">
        <f>J13/'Rate Class Customer Model'!D9</f>
        <v>925978.2448979592</v>
      </c>
      <c r="K32" s="27">
        <f>K13/'Rate Class Customer Model'!E9</f>
        <v>885.7777777777778</v>
      </c>
      <c r="L32" s="27">
        <f>L13/'Rate Class Customer Model'!F9</f>
        <v>879.0103286384976</v>
      </c>
      <c r="M32" s="27">
        <f>M13/'Rate Class Customer Model'!G9</f>
        <v>4134.56</v>
      </c>
    </row>
    <row r="33" spans="1:13" ht="12.75">
      <c r="A33">
        <f t="shared" si="4"/>
        <v>2009</v>
      </c>
      <c r="H33" s="27">
        <f>H14/'Rate Class Customer Model'!B10</f>
        <v>10559.419012701323</v>
      </c>
      <c r="I33" s="27">
        <f>I14/'Rate Class Customer Model'!C10</f>
        <v>28028.256939961266</v>
      </c>
      <c r="J33" s="27">
        <f>J14/'Rate Class Customer Model'!D10</f>
        <v>840552.44</v>
      </c>
      <c r="K33" s="27">
        <f>K14/'Rate Class Customer Model'!E10</f>
        <v>920.5</v>
      </c>
      <c r="L33" s="27">
        <f>L14/'Rate Class Customer Model'!F10</f>
        <v>877.9798122065728</v>
      </c>
      <c r="M33" s="27">
        <f>M14/'Rate Class Customer Model'!G10</f>
        <v>3870.2558139534885</v>
      </c>
    </row>
    <row r="34" spans="1:13" ht="12.75">
      <c r="A34">
        <f t="shared" si="4"/>
        <v>2010</v>
      </c>
      <c r="H34" s="27">
        <f>H15/'Rate Class Customer Model'!B11</f>
        <v>10229.441242236026</v>
      </c>
      <c r="I34" s="27">
        <f>I15/'Rate Class Customer Model'!C11</f>
        <v>27680.628461043143</v>
      </c>
      <c r="J34" s="27">
        <f>J15/'Rate Class Customer Model'!D11</f>
        <v>826079.39</v>
      </c>
      <c r="K34" s="27">
        <f>K15/'Rate Class Customer Model'!E11</f>
        <v>905.8915555555553</v>
      </c>
      <c r="L34" s="27">
        <f>L15/'Rate Class Customer Model'!F11</f>
        <v>877.9802582159624</v>
      </c>
      <c r="M34" s="27">
        <f>M15/'Rate Class Customer Model'!G11</f>
        <v>3456.9756097560976</v>
      </c>
    </row>
    <row r="35" spans="1:13" ht="12.75">
      <c r="A35">
        <f>A16</f>
        <v>2011</v>
      </c>
      <c r="H35" s="27">
        <f>H16/'Rate Class Customer Model'!B12</f>
        <v>9850.58895177665</v>
      </c>
      <c r="I35" s="27">
        <f>I16/'Rate Class Customer Model'!C12</f>
        <v>27220.327136479587</v>
      </c>
      <c r="J35" s="27">
        <f>J16/'Rate Class Customer Model'!D12</f>
        <v>827689.351089109</v>
      </c>
      <c r="K35" s="27">
        <f>K16/'Rate Class Customer Model'!E12</f>
        <v>897.7582222222221</v>
      </c>
      <c r="L35" s="27">
        <f>L16/'Rate Class Customer Model'!F12</f>
        <v>877.9774929577464</v>
      </c>
      <c r="M35" s="27">
        <f>M16/'Rate Class Customer Model'!G12</f>
        <v>3297.575</v>
      </c>
    </row>
    <row r="36" spans="1:13" ht="12.75">
      <c r="A36">
        <f t="shared" si="4"/>
        <v>2012</v>
      </c>
      <c r="H36" s="27">
        <f aca="true" t="shared" si="5" ref="H36:M36">H35*H53</f>
        <v>9717.066594966815</v>
      </c>
      <c r="I36" s="27">
        <f t="shared" si="5"/>
        <v>26719.164299747637</v>
      </c>
      <c r="J36" s="27">
        <f t="shared" si="5"/>
        <v>816097.2511461389</v>
      </c>
      <c r="K36" s="27">
        <f t="shared" si="5"/>
        <v>904.48792231395</v>
      </c>
      <c r="L36" s="27">
        <f t="shared" si="5"/>
        <v>877.5798715713522</v>
      </c>
      <c r="M36" s="27">
        <f t="shared" si="5"/>
        <v>3189.719351538367</v>
      </c>
    </row>
    <row r="37" spans="1:13" ht="12.75">
      <c r="A37">
        <f t="shared" si="4"/>
        <v>2013</v>
      </c>
      <c r="H37" s="27">
        <f aca="true" t="shared" si="6" ref="H37:M37">H36*H53</f>
        <v>9585.35410149158</v>
      </c>
      <c r="I37" s="27">
        <f t="shared" si="6"/>
        <v>26227.228544955662</v>
      </c>
      <c r="J37" s="27">
        <f t="shared" si="6"/>
        <v>804667.5029126732</v>
      </c>
      <c r="K37" s="27">
        <f t="shared" si="6"/>
        <v>911.2680690205945</v>
      </c>
      <c r="L37" s="27">
        <f t="shared" si="6"/>
        <v>877.1824302610627</v>
      </c>
      <c r="M37" s="27">
        <f t="shared" si="6"/>
        <v>3085.3913987030896</v>
      </c>
    </row>
    <row r="38" ht="12.75"/>
    <row r="39" spans="1:13" ht="12.75">
      <c r="A39" s="39">
        <v>1999</v>
      </c>
      <c r="D39" s="6"/>
      <c r="H39" s="25"/>
      <c r="I39" s="25"/>
      <c r="J39" s="25"/>
      <c r="K39" s="25"/>
      <c r="L39" s="25"/>
      <c r="M39" s="25"/>
    </row>
    <row r="40" spans="1:13" ht="12.75">
      <c r="A40" s="39">
        <v>2000</v>
      </c>
      <c r="D40" s="6"/>
      <c r="H40" s="25"/>
      <c r="I40" s="25"/>
      <c r="J40" s="25"/>
      <c r="K40" s="25"/>
      <c r="L40" s="25"/>
      <c r="M40" s="25"/>
    </row>
    <row r="41" spans="1:13" ht="12.75">
      <c r="A41" s="39">
        <v>2001</v>
      </c>
      <c r="D41" s="6"/>
      <c r="H41" s="25"/>
      <c r="I41" s="25"/>
      <c r="J41" s="25"/>
      <c r="K41" s="25"/>
      <c r="L41" s="25"/>
      <c r="M41" s="25"/>
    </row>
    <row r="42" spans="1:13" ht="12.75">
      <c r="A42" s="39">
        <v>2002</v>
      </c>
      <c r="D42" s="6"/>
      <c r="H42" s="25"/>
      <c r="I42" s="25"/>
      <c r="J42" s="25"/>
      <c r="K42" s="25"/>
      <c r="L42" s="25"/>
      <c r="M42" s="25"/>
    </row>
    <row r="43" spans="1:13" ht="12.75">
      <c r="A43" s="39">
        <v>2003</v>
      </c>
      <c r="D43" s="6"/>
      <c r="H43" s="25">
        <f aca="true" t="shared" si="7" ref="H43:M46">H27/H26</f>
        <v>1.0124311647746214</v>
      </c>
      <c r="I43" s="25">
        <f t="shared" si="7"/>
        <v>0.9818705520883905</v>
      </c>
      <c r="J43" s="25">
        <f t="shared" si="7"/>
        <v>0.9678763778521065</v>
      </c>
      <c r="K43" s="25">
        <f aca="true" t="shared" si="8" ref="K43:K51">K27/K26</f>
        <v>1.0753307756269055</v>
      </c>
      <c r="L43" s="25">
        <f t="shared" si="7"/>
        <v>1.0368343422111337</v>
      </c>
      <c r="M43" s="25">
        <f t="shared" si="7"/>
        <v>0.972772720884353</v>
      </c>
    </row>
    <row r="44" spans="1:13" ht="12.75">
      <c r="A44" s="39">
        <v>2004</v>
      </c>
      <c r="D44" s="6"/>
      <c r="H44" s="25">
        <f t="shared" si="7"/>
        <v>0.9929873187167592</v>
      </c>
      <c r="I44" s="25">
        <f t="shared" si="7"/>
        <v>1.01258864036839</v>
      </c>
      <c r="J44" s="25">
        <f t="shared" si="7"/>
        <v>1.0381690351526918</v>
      </c>
      <c r="K44" s="25">
        <f t="shared" si="8"/>
        <v>0.9779975242487962</v>
      </c>
      <c r="L44" s="25">
        <f t="shared" si="7"/>
        <v>1.005457740407501</v>
      </c>
      <c r="M44" s="25">
        <f t="shared" si="7"/>
        <v>0.9839260668728806</v>
      </c>
    </row>
    <row r="45" spans="1:13" ht="12.75">
      <c r="A45" s="39">
        <v>2005</v>
      </c>
      <c r="D45" s="6"/>
      <c r="H45" s="25">
        <f t="shared" si="7"/>
        <v>1.006406694016872</v>
      </c>
      <c r="I45" s="25">
        <f t="shared" si="7"/>
        <v>1.0102607430205646</v>
      </c>
      <c r="J45" s="25">
        <f t="shared" si="7"/>
        <v>0.9757096333772225</v>
      </c>
      <c r="K45" s="25">
        <f t="shared" si="8"/>
        <v>1.02056231682125</v>
      </c>
      <c r="L45" s="25">
        <f t="shared" si="7"/>
        <v>0.9965956956784343</v>
      </c>
      <c r="M45" s="25">
        <f t="shared" si="7"/>
        <v>0.9449935183124142</v>
      </c>
    </row>
    <row r="46" spans="1:13" ht="12.75">
      <c r="A46" s="39">
        <v>2006</v>
      </c>
      <c r="D46" s="6"/>
      <c r="H46" s="25">
        <f t="shared" si="7"/>
        <v>0.9406906778637891</v>
      </c>
      <c r="I46" s="25">
        <f t="shared" si="7"/>
        <v>0.9521605004959774</v>
      </c>
      <c r="J46" s="25">
        <f t="shared" si="7"/>
        <v>1.062218230117649</v>
      </c>
      <c r="K46" s="25">
        <f t="shared" si="8"/>
        <v>1.019545465221066</v>
      </c>
      <c r="L46" s="25">
        <f t="shared" si="7"/>
        <v>1.000181488394873</v>
      </c>
      <c r="M46" s="25">
        <f t="shared" si="7"/>
        <v>1.0208310513311778</v>
      </c>
    </row>
    <row r="47" spans="1:13" ht="12.75">
      <c r="A47" s="39">
        <v>2007</v>
      </c>
      <c r="D47" s="6"/>
      <c r="H47" s="25">
        <f aca="true" t="shared" si="9" ref="H47:M48">H31/H30</f>
        <v>1.0131094021300444</v>
      </c>
      <c r="I47" s="25">
        <f t="shared" si="9"/>
        <v>0.9926065838712144</v>
      </c>
      <c r="J47" s="25">
        <f t="shared" si="9"/>
        <v>0.9676740757449654</v>
      </c>
      <c r="K47" s="25">
        <f t="shared" si="8"/>
        <v>0.9921944074215813</v>
      </c>
      <c r="L47" s="25">
        <f t="shared" si="9"/>
        <v>0.9998185922760622</v>
      </c>
      <c r="M47" s="25">
        <f t="shared" si="9"/>
        <v>0.946066839242671</v>
      </c>
    </row>
    <row r="48" spans="1:13" ht="12.75">
      <c r="A48" s="39">
        <v>2008</v>
      </c>
      <c r="D48" s="6"/>
      <c r="H48" s="25">
        <f t="shared" si="9"/>
        <v>1.0017042445810014</v>
      </c>
      <c r="I48" s="25">
        <f t="shared" si="9"/>
        <v>0.9685651592308073</v>
      </c>
      <c r="J48" s="25">
        <f t="shared" si="9"/>
        <v>0.9778065231664345</v>
      </c>
      <c r="K48" s="25">
        <f t="shared" si="8"/>
        <v>0.9719257412025493</v>
      </c>
      <c r="L48" s="25">
        <f t="shared" si="9"/>
        <v>0.9597272110759579</v>
      </c>
      <c r="M48" s="25">
        <f t="shared" si="9"/>
        <v>1.0640851121115296</v>
      </c>
    </row>
    <row r="49" spans="1:13" ht="12.75">
      <c r="A49" s="39">
        <v>2009</v>
      </c>
      <c r="D49" s="6"/>
      <c r="H49" s="25">
        <f aca="true" t="shared" si="10" ref="H49:M49">H33/H32</f>
        <v>0.9815427978319797</v>
      </c>
      <c r="I49" s="25">
        <f t="shared" si="10"/>
        <v>0.9473961224378554</v>
      </c>
      <c r="J49" s="25">
        <f t="shared" si="10"/>
        <v>0.9077453435125001</v>
      </c>
      <c r="K49" s="25">
        <f t="shared" si="10"/>
        <v>1.039199698946312</v>
      </c>
      <c r="L49" s="25">
        <f t="shared" si="10"/>
        <v>0.9988276401330561</v>
      </c>
      <c r="M49" s="25">
        <f t="shared" si="10"/>
        <v>0.9360744103250378</v>
      </c>
    </row>
    <row r="50" spans="1:13" ht="12.75">
      <c r="A50" s="39">
        <v>2010</v>
      </c>
      <c r="D50" s="6"/>
      <c r="H50" s="25">
        <f aca="true" t="shared" si="11" ref="H50:M51">H34/H33</f>
        <v>0.9687503857865299</v>
      </c>
      <c r="I50" s="25">
        <f t="shared" si="11"/>
        <v>0.9875972137809793</v>
      </c>
      <c r="J50" s="25">
        <f t="shared" si="11"/>
        <v>0.9827815026032166</v>
      </c>
      <c r="K50" s="25">
        <f t="shared" si="8"/>
        <v>0.9841298811032649</v>
      </c>
      <c r="L50" s="25">
        <f t="shared" si="11"/>
        <v>1.0000005079950398</v>
      </c>
      <c r="M50" s="25">
        <f t="shared" si="11"/>
        <v>0.8932163081552941</v>
      </c>
    </row>
    <row r="51" spans="1:13" ht="12.75">
      <c r="A51" s="39">
        <v>2011</v>
      </c>
      <c r="D51" s="6"/>
      <c r="H51" s="25">
        <f t="shared" si="11"/>
        <v>0.9629645176615176</v>
      </c>
      <c r="I51" s="25">
        <f t="shared" si="11"/>
        <v>0.9833709944407018</v>
      </c>
      <c r="J51" s="25">
        <f t="shared" si="11"/>
        <v>1.0019489181168277</v>
      </c>
      <c r="K51" s="25">
        <f t="shared" si="8"/>
        <v>0.991021736229404</v>
      </c>
      <c r="L51" s="25">
        <f t="shared" si="11"/>
        <v>0.999996850432353</v>
      </c>
      <c r="M51" s="25">
        <f t="shared" si="11"/>
        <v>0.9538901549359372</v>
      </c>
    </row>
    <row r="52" spans="1:6" ht="12.75">
      <c r="A52" s="3"/>
      <c r="D52" s="6"/>
      <c r="E52" s="6"/>
      <c r="F52" s="6"/>
    </row>
    <row r="53" spans="1:13" ht="12.75">
      <c r="A53" t="s">
        <v>19</v>
      </c>
      <c r="D53" s="6"/>
      <c r="H53" s="25">
        <f aca="true" t="shared" si="12" ref="H53:M53">H55</f>
        <v>0.9864452412476562</v>
      </c>
      <c r="I53" s="25">
        <f t="shared" si="12"/>
        <v>0.9815886548967917</v>
      </c>
      <c r="J53" s="25">
        <f t="shared" si="12"/>
        <v>0.9859946247614317</v>
      </c>
      <c r="K53" s="25">
        <f t="shared" si="12"/>
        <v>1.0074961163542115</v>
      </c>
      <c r="L53" s="25">
        <f t="shared" si="12"/>
        <v>0.999547116652097</v>
      </c>
      <c r="M53" s="25">
        <f t="shared" si="12"/>
        <v>0.9672924350586013</v>
      </c>
    </row>
    <row r="54" spans="1:13" ht="12.75">
      <c r="A54" s="3"/>
      <c r="D54" s="6"/>
      <c r="H54" s="13"/>
      <c r="I54" s="13"/>
      <c r="L54" s="11"/>
      <c r="M54" s="11"/>
    </row>
    <row r="55" spans="1:13" ht="12.75">
      <c r="A55" t="s">
        <v>16</v>
      </c>
      <c r="D55" s="6"/>
      <c r="H55" s="25">
        <f aca="true" t="shared" si="13" ref="H55:M55">GEOMEAN(H41:H51)</f>
        <v>0.9864452412476562</v>
      </c>
      <c r="I55" s="25">
        <f t="shared" si="13"/>
        <v>0.9815886548967917</v>
      </c>
      <c r="J55" s="25">
        <f t="shared" si="13"/>
        <v>0.9859946247614317</v>
      </c>
      <c r="K55" s="25">
        <f t="shared" si="13"/>
        <v>1.0074961163542115</v>
      </c>
      <c r="L55" s="25">
        <f t="shared" si="13"/>
        <v>0.999547116652097</v>
      </c>
      <c r="M55" s="25">
        <f t="shared" si="13"/>
        <v>0.9672924350586013</v>
      </c>
    </row>
    <row r="56" spans="4:13" ht="12.75">
      <c r="D56" s="6"/>
      <c r="H56" s="25"/>
      <c r="I56" s="25"/>
      <c r="J56" s="25"/>
      <c r="K56" s="25"/>
      <c r="L56" s="25"/>
      <c r="M56" s="25"/>
    </row>
    <row r="57" ht="12.75">
      <c r="A57" s="20" t="s">
        <v>46</v>
      </c>
    </row>
    <row r="58" spans="1:14" ht="12.75">
      <c r="A58">
        <v>2012</v>
      </c>
      <c r="B58">
        <v>2012</v>
      </c>
      <c r="C58">
        <v>2012</v>
      </c>
      <c r="G58" s="38">
        <f>SUM(H58:M58)</f>
        <v>204878330.73141682</v>
      </c>
      <c r="H58" s="38">
        <f>H36*'Rate Class Customer Model'!B13</f>
        <v>77456378.83754073</v>
      </c>
      <c r="I58" s="38">
        <f>I36*'Rate Class Customer Model'!C13</f>
        <v>42200351.57652572</v>
      </c>
      <c r="J58" s="38">
        <f>J36*'Rate Class Customer Model'!D13</f>
        <v>83185060.35641788</v>
      </c>
      <c r="K58" s="38">
        <f>K36*'Rate Class Customer Model'!E13</f>
        <v>40228.248131230204</v>
      </c>
      <c r="L58" s="38">
        <f>L36*'Rate Class Customer Model'!F13</f>
        <v>1876603.552052825</v>
      </c>
      <c r="M58" s="38">
        <f>M36*'Rate Class Customer Model'!G13</f>
        <v>119708.16074844832</v>
      </c>
      <c r="N58" s="38"/>
    </row>
    <row r="59" spans="1:14" ht="12.75">
      <c r="A59">
        <v>2013</v>
      </c>
      <c r="G59" s="38">
        <f>SUM(H59:M59)</f>
        <v>203822485.49658456</v>
      </c>
      <c r="H59" s="38">
        <f>H37*'Rate Class Customer Model'!B14</f>
        <v>77290472.85652207</v>
      </c>
      <c r="I59" s="38">
        <f>I37*'Rate Class Customer Model'!C14</f>
        <v>41724653.581393726</v>
      </c>
      <c r="J59" s="38">
        <f>J37*'Rate Class Customer Model'!D14</f>
        <v>82775522.47114843</v>
      </c>
      <c r="K59" s="38">
        <f>K37*'Rate Class Customer Model'!E14</f>
        <v>40058.09898106263</v>
      </c>
      <c r="L59" s="38">
        <f>L37*'Rate Class Customer Model'!F14</f>
        <v>1883137.7165342763</v>
      </c>
      <c r="M59" s="38">
        <f>M37*'Rate Class Customer Model'!G14</f>
        <v>108640.77200500628</v>
      </c>
      <c r="N59" s="38"/>
    </row>
    <row r="60" spans="7:14" ht="12.75">
      <c r="G60" s="38"/>
      <c r="H60" s="38"/>
      <c r="I60" s="38"/>
      <c r="J60" s="38"/>
      <c r="K60" s="38"/>
      <c r="L60" s="38"/>
      <c r="M60" s="38"/>
      <c r="N60" s="38"/>
    </row>
    <row r="61" spans="1:14" ht="12.75">
      <c r="A61" s="20" t="s">
        <v>45</v>
      </c>
      <c r="G61" s="121"/>
      <c r="H61" s="38"/>
      <c r="I61" s="38"/>
      <c r="J61" s="38"/>
      <c r="K61" s="38"/>
      <c r="L61" s="38"/>
      <c r="M61" s="38"/>
      <c r="N61" s="38" t="s">
        <v>18</v>
      </c>
    </row>
    <row r="62" spans="1:15" ht="12.75">
      <c r="A62">
        <v>2012</v>
      </c>
      <c r="G62" s="121">
        <f>G17</f>
        <v>208191526.98974565</v>
      </c>
      <c r="H62" s="38">
        <f aca="true" t="shared" si="14" ref="H62:M63">H58+H70+H74</f>
        <v>77994770.68166046</v>
      </c>
      <c r="I62" s="38">
        <f t="shared" si="14"/>
        <v>42493682.163996644</v>
      </c>
      <c r="J62" s="38">
        <f t="shared" si="14"/>
        <v>83315486.31308842</v>
      </c>
      <c r="K62" s="38">
        <f t="shared" si="14"/>
        <v>39761.98061936182</v>
      </c>
      <c r="L62" s="38">
        <f t="shared" si="14"/>
        <v>1854852.6851961657</v>
      </c>
      <c r="M62" s="38">
        <f t="shared" si="14"/>
        <v>118320.6773541817</v>
      </c>
      <c r="N62" s="38">
        <f>SUM(H62:M62)</f>
        <v>205816874.50191525</v>
      </c>
      <c r="O62" s="6">
        <f>G62-N62</f>
        <v>2374652.4878304005</v>
      </c>
    </row>
    <row r="63" spans="1:15" ht="12.75">
      <c r="A63">
        <v>2013</v>
      </c>
      <c r="G63" s="121">
        <f>G18</f>
        <v>207892392.138926</v>
      </c>
      <c r="H63" s="38">
        <f t="shared" si="14"/>
        <v>77259128.06290062</v>
      </c>
      <c r="I63" s="38">
        <f t="shared" si="14"/>
        <v>41707732.34120591</v>
      </c>
      <c r="J63" s="38">
        <f t="shared" si="14"/>
        <v>82191734.36720794</v>
      </c>
      <c r="K63" s="38">
        <f t="shared" si="14"/>
        <v>39124.69789755232</v>
      </c>
      <c r="L63" s="38">
        <f t="shared" si="14"/>
        <v>1839258.3805267646</v>
      </c>
      <c r="M63" s="38">
        <f t="shared" si="14"/>
        <v>106109.31352638981</v>
      </c>
      <c r="N63" s="38">
        <f>SUM(H63:M63)</f>
        <v>203143087.16326517</v>
      </c>
      <c r="O63" s="6">
        <f>G63-N63</f>
        <v>4749304.975660831</v>
      </c>
    </row>
    <row r="64" spans="7:14" ht="12.75">
      <c r="G64" s="38"/>
      <c r="H64" s="38"/>
      <c r="I64" s="38"/>
      <c r="J64" s="38"/>
      <c r="K64" s="38"/>
      <c r="L64" s="38"/>
      <c r="M64" s="38"/>
      <c r="N64" s="38"/>
    </row>
    <row r="65" spans="1:14" ht="12.75">
      <c r="A65" s="50" t="s">
        <v>47</v>
      </c>
      <c r="G65" s="38"/>
      <c r="H65" s="120">
        <f>(100%+J65)/2</f>
        <v>0.775</v>
      </c>
      <c r="I65" s="120">
        <f>H65</f>
        <v>0.775</v>
      </c>
      <c r="J65" s="120">
        <v>0.55</v>
      </c>
      <c r="K65" s="120"/>
      <c r="L65" s="120"/>
      <c r="M65" s="120"/>
      <c r="N65" s="38" t="s">
        <v>18</v>
      </c>
    </row>
    <row r="66" spans="1:14" ht="12.75">
      <c r="A66">
        <v>2012</v>
      </c>
      <c r="G66" s="38">
        <f>G62-G58</f>
        <v>3313196.2583288252</v>
      </c>
      <c r="H66" s="38">
        <f aca="true" t="shared" si="15" ref="H66:M66">H58*H65</f>
        <v>60028693.59909407</v>
      </c>
      <c r="I66" s="38">
        <f t="shared" si="15"/>
        <v>32705272.47180743</v>
      </c>
      <c r="J66" s="38">
        <f t="shared" si="15"/>
        <v>45751783.196029834</v>
      </c>
      <c r="K66" s="38">
        <f t="shared" si="15"/>
        <v>0</v>
      </c>
      <c r="L66" s="38">
        <f t="shared" si="15"/>
        <v>0</v>
      </c>
      <c r="M66" s="38">
        <f t="shared" si="15"/>
        <v>0</v>
      </c>
      <c r="N66" s="38">
        <f>SUM(H66:M66)</f>
        <v>138485749.26693133</v>
      </c>
    </row>
    <row r="67" spans="1:14" ht="12.75">
      <c r="A67">
        <v>2013</v>
      </c>
      <c r="G67" s="38">
        <f>G63-G59</f>
        <v>4069906.642341435</v>
      </c>
      <c r="H67" s="38">
        <f aca="true" t="shared" si="16" ref="H67:M67">H59*H65</f>
        <v>59900116.4638046</v>
      </c>
      <c r="I67" s="38">
        <f t="shared" si="16"/>
        <v>32336606.525580138</v>
      </c>
      <c r="J67" s="38">
        <f t="shared" si="16"/>
        <v>45526537.35913164</v>
      </c>
      <c r="K67" s="38">
        <f t="shared" si="16"/>
        <v>0</v>
      </c>
      <c r="L67" s="38">
        <f t="shared" si="16"/>
        <v>0</v>
      </c>
      <c r="M67" s="38">
        <f t="shared" si="16"/>
        <v>0</v>
      </c>
      <c r="N67" s="38">
        <f>SUM(H67:M67)</f>
        <v>137763260.34851637</v>
      </c>
    </row>
    <row r="68" spans="7:14" ht="12" customHeight="1">
      <c r="G68" s="38"/>
      <c r="H68" s="38"/>
      <c r="I68" s="38"/>
      <c r="J68" s="38"/>
      <c r="K68" s="38"/>
      <c r="L68" s="38"/>
      <c r="M68" s="38"/>
      <c r="N68" s="38"/>
    </row>
    <row r="69" spans="1:14" ht="12.75">
      <c r="A69" t="s">
        <v>48</v>
      </c>
      <c r="G69" s="38"/>
      <c r="H69" s="38"/>
      <c r="I69" s="38"/>
      <c r="J69" s="38"/>
      <c r="K69" s="38"/>
      <c r="L69" s="38"/>
      <c r="M69" s="38"/>
      <c r="N69" s="38"/>
    </row>
    <row r="70" spans="1:14" ht="12.75">
      <c r="A70">
        <v>2012</v>
      </c>
      <c r="G70" s="38"/>
      <c r="H70" s="38">
        <f aca="true" t="shared" si="17" ref="H70:M70">H66/$N$66*$G$66</f>
        <v>1436153.8575462485</v>
      </c>
      <c r="I70" s="38">
        <f t="shared" si="17"/>
        <v>782455.8624610185</v>
      </c>
      <c r="J70" s="38">
        <f t="shared" si="17"/>
        <v>1094586.5383215586</v>
      </c>
      <c r="K70" s="38">
        <f t="shared" si="17"/>
        <v>0</v>
      </c>
      <c r="L70" s="38">
        <f t="shared" si="17"/>
        <v>0</v>
      </c>
      <c r="M70" s="38">
        <f t="shared" si="17"/>
        <v>0</v>
      </c>
      <c r="N70" s="38">
        <f>SUM(H70:M70)</f>
        <v>3313196.2583288252</v>
      </c>
    </row>
    <row r="71" spans="1:14" ht="12.75">
      <c r="A71">
        <v>2013</v>
      </c>
      <c r="H71" s="38">
        <f aca="true" t="shared" si="18" ref="H71:M71">H67/$N$67*$G$67</f>
        <v>1769614.6364155742</v>
      </c>
      <c r="I71" s="38">
        <f t="shared" si="18"/>
        <v>955312.536566701</v>
      </c>
      <c r="J71" s="38">
        <f t="shared" si="18"/>
        <v>1344979.4693591602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>SUM(H71:M71)</f>
        <v>4069906.642341436</v>
      </c>
    </row>
    <row r="72" spans="8:14" ht="13.5" customHeight="1">
      <c r="H72" s="38"/>
      <c r="I72" s="38"/>
      <c r="J72" s="38"/>
      <c r="K72" s="38"/>
      <c r="L72" s="38"/>
      <c r="M72" s="38"/>
      <c r="N72" s="38"/>
    </row>
    <row r="73" ht="12.75">
      <c r="A73" t="s">
        <v>131</v>
      </c>
    </row>
    <row r="74" spans="1:15" ht="12.75">
      <c r="A74">
        <v>2012</v>
      </c>
      <c r="G74" s="38">
        <f>-'CDM Activity'!R14*(1+'CDM Activity'!E12)</f>
        <v>-2374652.4878304196</v>
      </c>
      <c r="H74" s="38">
        <f aca="true" t="shared" si="19" ref="H74:M74">H58/$G$58*$G$74</f>
        <v>-897762.0134265216</v>
      </c>
      <c r="I74" s="38">
        <f t="shared" si="19"/>
        <v>-489125.2749900915</v>
      </c>
      <c r="J74" s="38">
        <f t="shared" si="19"/>
        <v>-964160.5816510123</v>
      </c>
      <c r="K74" s="38">
        <f t="shared" si="19"/>
        <v>-466.26751186838226</v>
      </c>
      <c r="L74" s="38">
        <f t="shared" si="19"/>
        <v>-21750.866856659235</v>
      </c>
      <c r="M74" s="38">
        <f t="shared" si="19"/>
        <v>-1387.483394266626</v>
      </c>
      <c r="N74" s="38">
        <f>SUM(H74:M74)</f>
        <v>-2374652.4878304196</v>
      </c>
      <c r="O74" s="38"/>
    </row>
    <row r="75" spans="1:15" ht="12.75">
      <c r="A75">
        <v>2013</v>
      </c>
      <c r="G75" s="38">
        <f>-('CDM Activity'!R14+'CDM Activity'!R15)*(1+'CDM Activity'!E12)</f>
        <v>-4749304.975660839</v>
      </c>
      <c r="H75" s="38">
        <f aca="true" t="shared" si="20" ref="H75:M75">H59/$G$59*$G$75</f>
        <v>-1800959.4300370277</v>
      </c>
      <c r="I75" s="38">
        <f t="shared" si="20"/>
        <v>-972233.7767545214</v>
      </c>
      <c r="J75" s="38">
        <f t="shared" si="20"/>
        <v>-1928767.5732996515</v>
      </c>
      <c r="K75" s="38">
        <f t="shared" si="20"/>
        <v>-933.4010835103034</v>
      </c>
      <c r="L75" s="38">
        <f t="shared" si="20"/>
        <v>-43879.33600751177</v>
      </c>
      <c r="M75" s="38">
        <f t="shared" si="20"/>
        <v>-2531.4584786164683</v>
      </c>
      <c r="N75" s="38">
        <f>SUM(H75:M75)</f>
        <v>-4749304.975660839</v>
      </c>
      <c r="O75" s="38"/>
    </row>
    <row r="76" spans="8:14" ht="13.5" customHeight="1">
      <c r="H76" s="38"/>
      <c r="I76" s="38"/>
      <c r="J76" s="38"/>
      <c r="K76" s="38"/>
      <c r="L76" s="38"/>
      <c r="M76" s="38"/>
      <c r="N76" s="38"/>
    </row>
    <row r="77" ht="12.75">
      <c r="A77" s="40" t="s">
        <v>130</v>
      </c>
    </row>
    <row r="78" spans="1:14" ht="12.75">
      <c r="A78">
        <v>2013</v>
      </c>
      <c r="G78" s="38"/>
      <c r="H78" s="6">
        <f>Residential!I161</f>
        <v>80000195.08559689</v>
      </c>
      <c r="I78" s="6">
        <f>'GS &lt; 50 kW'!I161</f>
        <v>43712178.81321359</v>
      </c>
      <c r="J78" s="6">
        <f>J59</f>
        <v>82775522.47114843</v>
      </c>
      <c r="K78" s="6">
        <f>K59</f>
        <v>40058.09898106263</v>
      </c>
      <c r="L78" s="6">
        <f>L59</f>
        <v>1883137.7165342763</v>
      </c>
      <c r="M78" s="6">
        <f>M59</f>
        <v>108640.77200500628</v>
      </c>
      <c r="N78" s="6">
        <f>SUM(H78:M78)</f>
        <v>208519732.95747924</v>
      </c>
    </row>
    <row r="79" spans="1:14" ht="12.75">
      <c r="A79" s="4" t="s">
        <v>131</v>
      </c>
      <c r="F79" s="1" t="s">
        <v>131</v>
      </c>
      <c r="G79" s="38">
        <f>-('CDM Activity'!R14+'CDM Activity'!R15)*(1+'CDM Activity'!E12)</f>
        <v>-4749304.975660839</v>
      </c>
      <c r="H79" s="38">
        <f aca="true" t="shared" si="21" ref="H79:M79">$G$79/$N$78*H78</f>
        <v>-1822107.2854114028</v>
      </c>
      <c r="I79" s="38">
        <f t="shared" si="21"/>
        <v>-995601.0656166787</v>
      </c>
      <c r="J79" s="38">
        <f t="shared" si="21"/>
        <v>-1885318.934373065</v>
      </c>
      <c r="K79" s="38">
        <f t="shared" si="21"/>
        <v>-912.3747000245295</v>
      </c>
      <c r="L79" s="38">
        <f t="shared" si="21"/>
        <v>-42890.882316709</v>
      </c>
      <c r="M79" s="38">
        <f t="shared" si="21"/>
        <v>-2474.433242959437</v>
      </c>
      <c r="N79" s="38">
        <f>SUM(H79:M79)</f>
        <v>-4749304.97566084</v>
      </c>
    </row>
    <row r="80" spans="8:14" ht="12.75">
      <c r="H80" s="6">
        <f aca="true" t="shared" si="22" ref="H80:M80">H78+H79</f>
        <v>78178087.80018549</v>
      </c>
      <c r="I80" s="6">
        <f t="shared" si="22"/>
        <v>42716577.747596905</v>
      </c>
      <c r="J80" s="6">
        <f t="shared" si="22"/>
        <v>80890203.53677537</v>
      </c>
      <c r="K80" s="6">
        <f t="shared" si="22"/>
        <v>39145.7242810381</v>
      </c>
      <c r="L80" s="6">
        <f t="shared" si="22"/>
        <v>1840246.8342175672</v>
      </c>
      <c r="M80" s="6">
        <f t="shared" si="22"/>
        <v>106166.33876204684</v>
      </c>
      <c r="N80" s="6">
        <f>SUM(H80:M80)</f>
        <v>203770427.98181844</v>
      </c>
    </row>
    <row r="81" ht="12.75"/>
    <row r="82" ht="12.75"/>
  </sheetData>
  <sheetProtection/>
  <printOptions/>
  <pageMargins left="0.38" right="0.75" top="0.73" bottom="0.74" header="0.5" footer="0.5"/>
  <pageSetup fitToHeight="1" fitToWidth="1" horizontalDpi="600" verticalDpi="600" orientation="portrait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5" sqref="B25"/>
    </sheetView>
  </sheetViews>
  <sheetFormatPr defaultColWidth="9.140625" defaultRowHeight="12.75"/>
  <cols>
    <col min="1" max="1" width="11.00390625" style="0" customWidth="1"/>
    <col min="2" max="2" width="15.00390625" style="6" customWidth="1"/>
    <col min="3" max="4" width="14.140625" style="6" bestFit="1" customWidth="1"/>
    <col min="5" max="5" width="14.140625" style="6" customWidth="1"/>
    <col min="6" max="6" width="17.57421875" style="6" customWidth="1"/>
    <col min="7" max="7" width="12.57421875" style="6" customWidth="1"/>
    <col min="8" max="9" width="12.7109375" style="6" bestFit="1" customWidth="1"/>
    <col min="10" max="10" width="11.7109375" style="6" bestFit="1" customWidth="1"/>
    <col min="11" max="11" width="10.7109375" style="6" bestFit="1" customWidth="1"/>
    <col min="12" max="13" width="9.140625" style="6" customWidth="1"/>
  </cols>
  <sheetData>
    <row r="2" spans="2:8" ht="42" customHeight="1">
      <c r="B2" s="9" t="str">
        <f>'Rate Class Energy Model'!H2</f>
        <v>Residential</v>
      </c>
      <c r="C2" s="9" t="str">
        <f>'Rate Class Energy Model'!I2</f>
        <v>GS&lt;50</v>
      </c>
      <c r="D2" s="9" t="str">
        <f>'Rate Class Energy Model'!J2</f>
        <v>GS&gt;50</v>
      </c>
      <c r="E2" s="9" t="str">
        <f>'Rate Class Energy Model'!K2</f>
        <v>Sentinels</v>
      </c>
      <c r="F2" s="9" t="str">
        <f>'Rate Class Energy Model'!L2</f>
        <v>Streetlights</v>
      </c>
      <c r="G2" s="9" t="str">
        <f>'Rate Class Energy Model'!M2</f>
        <v>USL</v>
      </c>
      <c r="H2" s="6" t="s">
        <v>10</v>
      </c>
    </row>
    <row r="3" spans="1:8" ht="12.75">
      <c r="A3" s="4">
        <v>2002</v>
      </c>
      <c r="B3" s="122">
        <v>7105</v>
      </c>
      <c r="C3" s="122">
        <v>1469</v>
      </c>
      <c r="D3" s="122">
        <v>93</v>
      </c>
      <c r="E3" s="122">
        <v>50</v>
      </c>
      <c r="F3" s="122">
        <v>2056</v>
      </c>
      <c r="G3" s="122">
        <v>71</v>
      </c>
      <c r="H3" s="27">
        <f>SUM(B3:G3)</f>
        <v>10844</v>
      </c>
    </row>
    <row r="4" spans="1:11" ht="12.75">
      <c r="A4" s="4">
        <v>2003</v>
      </c>
      <c r="B4" s="122">
        <v>7212</v>
      </c>
      <c r="C4" s="122">
        <v>1461</v>
      </c>
      <c r="D4" s="122">
        <v>97</v>
      </c>
      <c r="E4" s="122">
        <v>49</v>
      </c>
      <c r="F4" s="122">
        <v>2058</v>
      </c>
      <c r="G4" s="122">
        <v>70</v>
      </c>
      <c r="H4" s="27">
        <f>SUM(B4:G4)</f>
        <v>10947</v>
      </c>
      <c r="K4"/>
    </row>
    <row r="5" spans="1:11" ht="12.75">
      <c r="A5" s="4">
        <v>2004</v>
      </c>
      <c r="B5" s="122">
        <v>7274</v>
      </c>
      <c r="C5" s="122">
        <v>1465</v>
      </c>
      <c r="D5" s="122">
        <v>95</v>
      </c>
      <c r="E5" s="122">
        <v>48</v>
      </c>
      <c r="F5" s="122">
        <v>2058</v>
      </c>
      <c r="G5" s="122">
        <v>70</v>
      </c>
      <c r="H5" s="27">
        <f>SUM(B5:G5)</f>
        <v>11010</v>
      </c>
      <c r="K5"/>
    </row>
    <row r="6" spans="1:11" ht="12.75">
      <c r="A6" s="4">
        <v>2005</v>
      </c>
      <c r="B6" s="122">
        <v>7326</v>
      </c>
      <c r="C6" s="122">
        <v>1474</v>
      </c>
      <c r="D6" s="122">
        <v>98</v>
      </c>
      <c r="E6" s="122">
        <v>46</v>
      </c>
      <c r="F6" s="122">
        <v>2058</v>
      </c>
      <c r="G6" s="122">
        <v>68</v>
      </c>
      <c r="H6" s="27">
        <f aca="true" t="shared" si="0" ref="H6:H12">SUM(B6:G6)</f>
        <v>11070</v>
      </c>
      <c r="K6"/>
    </row>
    <row r="7" spans="1:11" ht="12.75">
      <c r="A7" s="4">
        <v>2006</v>
      </c>
      <c r="B7" s="122">
        <v>7374</v>
      </c>
      <c r="C7" s="122">
        <v>1478</v>
      </c>
      <c r="D7" s="122">
        <v>92</v>
      </c>
      <c r="E7" s="122">
        <v>45</v>
      </c>
      <c r="F7" s="122">
        <v>2058</v>
      </c>
      <c r="G7" s="122">
        <v>66</v>
      </c>
      <c r="H7" s="27">
        <f t="shared" si="0"/>
        <v>11113</v>
      </c>
      <c r="K7"/>
    </row>
    <row r="8" spans="1:11" ht="12.75">
      <c r="A8" s="4">
        <v>2007</v>
      </c>
      <c r="B8" s="122">
        <v>7393</v>
      </c>
      <c r="C8" s="122">
        <v>1509</v>
      </c>
      <c r="D8" s="122">
        <v>96</v>
      </c>
      <c r="E8" s="122">
        <v>44</v>
      </c>
      <c r="F8" s="122">
        <v>2058</v>
      </c>
      <c r="G8" s="122">
        <v>65</v>
      </c>
      <c r="H8" s="27">
        <f t="shared" si="0"/>
        <v>11165</v>
      </c>
      <c r="K8"/>
    </row>
    <row r="9" spans="1:11" ht="12.75">
      <c r="A9" s="4">
        <v>2008</v>
      </c>
      <c r="B9" s="122">
        <v>7519</v>
      </c>
      <c r="C9" s="122">
        <v>1535</v>
      </c>
      <c r="D9" s="122">
        <v>98</v>
      </c>
      <c r="E9" s="122">
        <v>45</v>
      </c>
      <c r="F9" s="122">
        <v>2130</v>
      </c>
      <c r="G9" s="122">
        <v>50</v>
      </c>
      <c r="H9" s="27">
        <f t="shared" si="0"/>
        <v>11377</v>
      </c>
      <c r="K9"/>
    </row>
    <row r="10" spans="1:11" ht="12.75">
      <c r="A10" s="4">
        <v>2009</v>
      </c>
      <c r="B10" s="122">
        <v>7637</v>
      </c>
      <c r="C10" s="122">
        <v>1549</v>
      </c>
      <c r="D10" s="122">
        <v>100</v>
      </c>
      <c r="E10" s="122">
        <v>44</v>
      </c>
      <c r="F10" s="122">
        <v>2130</v>
      </c>
      <c r="G10" s="122">
        <v>43</v>
      </c>
      <c r="H10" s="27">
        <f t="shared" si="0"/>
        <v>11503</v>
      </c>
      <c r="K10"/>
    </row>
    <row r="11" spans="1:8" ht="12.75">
      <c r="A11" s="4">
        <v>2010</v>
      </c>
      <c r="B11" s="122">
        <v>7728</v>
      </c>
      <c r="C11" s="122">
        <v>1553</v>
      </c>
      <c r="D11" s="122">
        <v>100</v>
      </c>
      <c r="E11" s="122">
        <v>45</v>
      </c>
      <c r="F11" s="122">
        <v>2130</v>
      </c>
      <c r="G11" s="122">
        <v>41</v>
      </c>
      <c r="H11" s="27">
        <f t="shared" si="0"/>
        <v>11597</v>
      </c>
    </row>
    <row r="12" spans="1:8" ht="12.75">
      <c r="A12" s="4">
        <v>2011</v>
      </c>
      <c r="B12" s="122">
        <v>7880</v>
      </c>
      <c r="C12" s="122">
        <v>1568</v>
      </c>
      <c r="D12" s="122">
        <v>101</v>
      </c>
      <c r="E12" s="122">
        <v>45</v>
      </c>
      <c r="F12" s="122">
        <v>2130</v>
      </c>
      <c r="G12" s="122">
        <v>40</v>
      </c>
      <c r="H12" s="27">
        <f t="shared" si="0"/>
        <v>11764</v>
      </c>
    </row>
    <row r="13" spans="1:8" ht="12.75">
      <c r="A13" s="4">
        <v>2012</v>
      </c>
      <c r="B13" s="27">
        <f aca="true" t="shared" si="1" ref="B13:G13">B12*B28</f>
        <v>7971.168879058739</v>
      </c>
      <c r="C13" s="27">
        <f t="shared" si="1"/>
        <v>1579.4038729319202</v>
      </c>
      <c r="D13" s="27">
        <f t="shared" si="1"/>
        <v>101.93032783726642</v>
      </c>
      <c r="E13" s="27">
        <f t="shared" si="1"/>
        <v>44.47626899020867</v>
      </c>
      <c r="F13" s="27">
        <f t="shared" si="1"/>
        <v>2138.384906997319</v>
      </c>
      <c r="G13" s="27">
        <f t="shared" si="1"/>
        <v>37.52937094315661</v>
      </c>
      <c r="H13" s="27">
        <f>SUM(B13:G13)</f>
        <v>11872.89362675861</v>
      </c>
    </row>
    <row r="14" spans="1:8" ht="12.75">
      <c r="A14" s="4">
        <v>2013</v>
      </c>
      <c r="B14" s="27">
        <f aca="true" t="shared" si="2" ref="B14:G14">B13*B30</f>
        <v>8063.392550567836</v>
      </c>
      <c r="C14" s="27">
        <f t="shared" si="2"/>
        <v>1590.8906848420595</v>
      </c>
      <c r="D14" s="27">
        <f t="shared" si="2"/>
        <v>102.86922507933276</v>
      </c>
      <c r="E14" s="27">
        <f t="shared" si="2"/>
        <v>43.958633406431055</v>
      </c>
      <c r="F14" s="27">
        <f t="shared" si="2"/>
        <v>2146.802821818748</v>
      </c>
      <c r="G14" s="27">
        <f t="shared" si="2"/>
        <v>35.21134208472618</v>
      </c>
      <c r="H14" s="27">
        <f>SUM(B14:G14)</f>
        <v>11983.125257799133</v>
      </c>
    </row>
    <row r="15" ht="12.75">
      <c r="A15" s="21"/>
    </row>
    <row r="16" spans="1:7" ht="12.75">
      <c r="A16" s="20" t="s">
        <v>43</v>
      </c>
      <c r="B16" s="5"/>
      <c r="C16" s="5"/>
      <c r="D16" s="5"/>
      <c r="E16" s="5"/>
      <c r="F16" s="5"/>
      <c r="G16" s="5"/>
    </row>
    <row r="17" spans="1:7" ht="12.75">
      <c r="A17" s="4">
        <v>2002</v>
      </c>
      <c r="B17" s="24"/>
      <c r="C17" s="24"/>
      <c r="D17" s="24"/>
      <c r="E17" s="24"/>
      <c r="F17" s="24"/>
      <c r="G17" s="24"/>
    </row>
    <row r="18" spans="1:7" ht="12.75">
      <c r="A18" s="4">
        <v>2003</v>
      </c>
      <c r="B18" s="24">
        <f aca="true" t="shared" si="3" ref="B18:D26">B4/B3</f>
        <v>1.0150598170302603</v>
      </c>
      <c r="C18" s="24">
        <f t="shared" si="3"/>
        <v>0.9945541184479237</v>
      </c>
      <c r="D18" s="24">
        <f t="shared" si="3"/>
        <v>1.043010752688172</v>
      </c>
      <c r="E18" s="24">
        <f aca="true" t="shared" si="4" ref="E18:E26">E4/E3</f>
        <v>0.98</v>
      </c>
      <c r="F18" s="24">
        <f aca="true" t="shared" si="5" ref="F18:G26">F4/F3</f>
        <v>1.0009727626459144</v>
      </c>
      <c r="G18" s="24">
        <f t="shared" si="5"/>
        <v>0.9859154929577465</v>
      </c>
    </row>
    <row r="19" spans="1:7" ht="12.75">
      <c r="A19" s="4">
        <v>2004</v>
      </c>
      <c r="B19" s="24">
        <f t="shared" si="3"/>
        <v>1.0085967831392124</v>
      </c>
      <c r="C19" s="24">
        <f t="shared" si="3"/>
        <v>1.002737850787132</v>
      </c>
      <c r="D19" s="24">
        <f t="shared" si="3"/>
        <v>0.979381443298969</v>
      </c>
      <c r="E19" s="24">
        <f t="shared" si="4"/>
        <v>0.9795918367346939</v>
      </c>
      <c r="F19" s="24">
        <f t="shared" si="5"/>
        <v>1</v>
      </c>
      <c r="G19" s="24">
        <f t="shared" si="5"/>
        <v>1</v>
      </c>
    </row>
    <row r="20" spans="1:7" ht="12.75">
      <c r="A20" s="4">
        <v>2005</v>
      </c>
      <c r="B20" s="24">
        <f t="shared" si="3"/>
        <v>1.0071487489689304</v>
      </c>
      <c r="C20" s="24">
        <f t="shared" si="3"/>
        <v>1.0061433447098975</v>
      </c>
      <c r="D20" s="24">
        <f t="shared" si="3"/>
        <v>1.0315789473684212</v>
      </c>
      <c r="E20" s="24">
        <f t="shared" si="4"/>
        <v>0.9583333333333334</v>
      </c>
      <c r="F20" s="24">
        <f t="shared" si="5"/>
        <v>1</v>
      </c>
      <c r="G20" s="24">
        <f t="shared" si="5"/>
        <v>0.9714285714285714</v>
      </c>
    </row>
    <row r="21" spans="1:7" ht="12.75">
      <c r="A21" s="4">
        <v>2006</v>
      </c>
      <c r="B21" s="24">
        <f t="shared" si="3"/>
        <v>1.0065520065520066</v>
      </c>
      <c r="C21" s="24">
        <f t="shared" si="3"/>
        <v>1.0027137042062415</v>
      </c>
      <c r="D21" s="24">
        <f t="shared" si="3"/>
        <v>0.9387755102040817</v>
      </c>
      <c r="E21" s="24">
        <f t="shared" si="4"/>
        <v>0.9782608695652174</v>
      </c>
      <c r="F21" s="24">
        <f t="shared" si="5"/>
        <v>1</v>
      </c>
      <c r="G21" s="24">
        <f t="shared" si="5"/>
        <v>0.9705882352941176</v>
      </c>
    </row>
    <row r="22" spans="1:7" ht="12.75">
      <c r="A22" s="4">
        <v>2007</v>
      </c>
      <c r="B22" s="24">
        <f t="shared" si="3"/>
        <v>1.0025766205587199</v>
      </c>
      <c r="C22" s="24">
        <f t="shared" si="3"/>
        <v>1.0209742895805143</v>
      </c>
      <c r="D22" s="24">
        <f t="shared" si="3"/>
        <v>1.0434782608695652</v>
      </c>
      <c r="E22" s="24">
        <f t="shared" si="4"/>
        <v>0.9777777777777777</v>
      </c>
      <c r="F22" s="24">
        <f t="shared" si="5"/>
        <v>1</v>
      </c>
      <c r="G22" s="24">
        <f t="shared" si="5"/>
        <v>0.9848484848484849</v>
      </c>
    </row>
    <row r="23" spans="1:7" ht="12.75">
      <c r="A23" s="4">
        <v>2008</v>
      </c>
      <c r="B23" s="24">
        <f t="shared" si="3"/>
        <v>1.0170431489246585</v>
      </c>
      <c r="C23" s="24">
        <f t="shared" si="3"/>
        <v>1.0172299536116634</v>
      </c>
      <c r="D23" s="24">
        <f t="shared" si="3"/>
        <v>1.0208333333333333</v>
      </c>
      <c r="E23" s="24">
        <f t="shared" si="4"/>
        <v>1.0227272727272727</v>
      </c>
      <c r="F23" s="24">
        <f t="shared" si="5"/>
        <v>1.0349854227405249</v>
      </c>
      <c r="G23" s="24">
        <f t="shared" si="5"/>
        <v>0.7692307692307693</v>
      </c>
    </row>
    <row r="24" spans="1:7" ht="12.75">
      <c r="A24" s="4">
        <v>2009</v>
      </c>
      <c r="B24" s="24">
        <f t="shared" si="3"/>
        <v>1.0156935762734407</v>
      </c>
      <c r="C24" s="24">
        <f t="shared" si="3"/>
        <v>1.0091205211726384</v>
      </c>
      <c r="D24" s="24">
        <f t="shared" si="3"/>
        <v>1.0204081632653061</v>
      </c>
      <c r="E24" s="24">
        <f t="shared" si="4"/>
        <v>0.9777777777777777</v>
      </c>
      <c r="F24" s="24">
        <f t="shared" si="5"/>
        <v>1</v>
      </c>
      <c r="G24" s="24">
        <f t="shared" si="5"/>
        <v>0.86</v>
      </c>
    </row>
    <row r="25" spans="1:7" ht="12.75">
      <c r="A25" s="4">
        <v>2010</v>
      </c>
      <c r="B25" s="24">
        <f t="shared" si="3"/>
        <v>1.0119156736938588</v>
      </c>
      <c r="C25" s="24">
        <f t="shared" si="3"/>
        <v>1.0025823111684957</v>
      </c>
      <c r="D25" s="24">
        <f t="shared" si="3"/>
        <v>1</v>
      </c>
      <c r="E25" s="24">
        <f t="shared" si="4"/>
        <v>1.0227272727272727</v>
      </c>
      <c r="F25" s="24">
        <f t="shared" si="5"/>
        <v>1</v>
      </c>
      <c r="G25" s="24">
        <f t="shared" si="5"/>
        <v>0.9534883720930233</v>
      </c>
    </row>
    <row r="26" spans="1:7" ht="12.75">
      <c r="A26" s="4">
        <v>2011</v>
      </c>
      <c r="B26" s="24">
        <f t="shared" si="3"/>
        <v>1.0196687370600415</v>
      </c>
      <c r="C26" s="24">
        <f t="shared" si="3"/>
        <v>1.0096587250482936</v>
      </c>
      <c r="D26" s="24">
        <f t="shared" si="3"/>
        <v>1.01</v>
      </c>
      <c r="E26" s="24">
        <f t="shared" si="4"/>
        <v>1</v>
      </c>
      <c r="F26" s="24">
        <f t="shared" si="5"/>
        <v>1</v>
      </c>
      <c r="G26" s="24">
        <f t="shared" si="5"/>
        <v>0.975609756097561</v>
      </c>
    </row>
    <row r="28" spans="1:7" ht="12.75">
      <c r="A28" t="s">
        <v>64</v>
      </c>
      <c r="B28" s="25">
        <f aca="true" t="shared" si="6" ref="B28:G28">B30</f>
        <v>1.0115696547028856</v>
      </c>
      <c r="C28" s="25">
        <f t="shared" si="6"/>
        <v>1.0072728781453573</v>
      </c>
      <c r="D28" s="25">
        <f t="shared" si="6"/>
        <v>1.009211166705608</v>
      </c>
      <c r="E28" s="25">
        <f t="shared" si="6"/>
        <v>0.9883615331157483</v>
      </c>
      <c r="F28" s="25">
        <f t="shared" si="6"/>
        <v>1.0039365760550794</v>
      </c>
      <c r="G28" s="25">
        <f t="shared" si="6"/>
        <v>0.9382342735789152</v>
      </c>
    </row>
    <row r="29" spans="2:7" ht="12.75">
      <c r="B29" s="25"/>
      <c r="C29" s="25"/>
      <c r="D29" s="25"/>
      <c r="E29" s="25"/>
      <c r="F29" s="25"/>
      <c r="G29" s="25"/>
    </row>
    <row r="30" spans="1:7" ht="12.75">
      <c r="A30" t="s">
        <v>16</v>
      </c>
      <c r="B30" s="25">
        <f aca="true" t="shared" si="7" ref="B30:G30">GEOMEAN(B18:B26)</f>
        <v>1.0115696547028856</v>
      </c>
      <c r="C30" s="25">
        <f t="shared" si="7"/>
        <v>1.0072728781453573</v>
      </c>
      <c r="D30" s="25">
        <f t="shared" si="7"/>
        <v>1.009211166705608</v>
      </c>
      <c r="E30" s="25">
        <f t="shared" si="7"/>
        <v>0.9883615331157483</v>
      </c>
      <c r="F30" s="25">
        <f t="shared" si="7"/>
        <v>1.0039365760550794</v>
      </c>
      <c r="G30" s="25">
        <f t="shared" si="7"/>
        <v>0.9382342735789152</v>
      </c>
    </row>
    <row r="31" spans="1:7" ht="12.75">
      <c r="A31" s="4"/>
      <c r="B31" s="25"/>
      <c r="C31" s="25"/>
      <c r="D31" s="25"/>
      <c r="E31" s="25"/>
      <c r="F31" s="25"/>
      <c r="G31" s="25"/>
    </row>
    <row r="32" spans="1:7" ht="12.75">
      <c r="A32" s="4"/>
      <c r="B32" s="25"/>
      <c r="C32" s="25"/>
      <c r="D32" s="25"/>
      <c r="E32" s="25"/>
      <c r="F32" s="25"/>
      <c r="G32" s="25"/>
    </row>
    <row r="33" spans="1:7" ht="12.75">
      <c r="A33" s="4"/>
      <c r="B33" s="25"/>
      <c r="C33" s="25"/>
      <c r="D33" s="25"/>
      <c r="E33" s="25"/>
      <c r="F33" s="25"/>
      <c r="G33" s="25"/>
    </row>
    <row r="34" spans="1:7" ht="12.75">
      <c r="A34" s="4"/>
      <c r="B34" s="25"/>
      <c r="C34" s="25"/>
      <c r="D34" s="25"/>
      <c r="E34" s="25"/>
      <c r="F34" s="25"/>
      <c r="G34" s="25"/>
    </row>
    <row r="35" spans="1:7" ht="12.75">
      <c r="A35" s="4"/>
      <c r="B35" s="25"/>
      <c r="C35" s="25"/>
      <c r="D35" s="25"/>
      <c r="E35" s="25"/>
      <c r="F35" s="25"/>
      <c r="G35" s="25"/>
    </row>
    <row r="36" spans="1:7" ht="12.75">
      <c r="A36" s="4"/>
      <c r="B36" s="25"/>
      <c r="C36" s="25"/>
      <c r="D36" s="25"/>
      <c r="E36" s="25"/>
      <c r="F36" s="25"/>
      <c r="G36" s="25"/>
    </row>
    <row r="37" spans="1:7" ht="12.75">
      <c r="A37" s="4"/>
      <c r="B37" s="25"/>
      <c r="C37" s="25"/>
      <c r="D37" s="25"/>
      <c r="E37" s="25"/>
      <c r="F37" s="25"/>
      <c r="G37" s="25"/>
    </row>
    <row r="38" spans="1:7" ht="12.75">
      <c r="A38" s="4"/>
      <c r="B38" s="25"/>
      <c r="C38" s="25"/>
      <c r="D38" s="25"/>
      <c r="E38" s="25"/>
      <c r="F38" s="25"/>
      <c r="G38" s="25"/>
    </row>
    <row r="39" spans="2:7" ht="12.75">
      <c r="B39" s="25"/>
      <c r="C39" s="25"/>
      <c r="D39" s="25"/>
      <c r="E39" s="25"/>
      <c r="F39" s="25"/>
      <c r="G39" s="25"/>
    </row>
    <row r="40" spans="2:7" ht="12.75">
      <c r="B40" s="25"/>
      <c r="C40" s="25"/>
      <c r="D40" s="25"/>
      <c r="E40" s="25"/>
      <c r="F40" s="25"/>
      <c r="G40" s="25"/>
    </row>
    <row r="41" spans="2:7" ht="12.75">
      <c r="B41" s="25"/>
      <c r="C41" s="25"/>
      <c r="D41" s="25"/>
      <c r="E41" s="25"/>
      <c r="F41" s="25"/>
      <c r="G41" s="25"/>
    </row>
    <row r="42" spans="2:7" ht="12.75">
      <c r="B42" s="25"/>
      <c r="C42" s="25"/>
      <c r="D42" s="25"/>
      <c r="E42" s="25"/>
      <c r="F42" s="25"/>
      <c r="G42" s="25"/>
    </row>
    <row r="43" spans="2:7" ht="12.75">
      <c r="B43" s="25"/>
      <c r="C43" s="25"/>
      <c r="D43" s="25"/>
      <c r="E43" s="25"/>
      <c r="F43" s="25"/>
      <c r="G43" s="25"/>
    </row>
    <row r="44" spans="2:7" ht="12.75">
      <c r="B44" s="25"/>
      <c r="C44" s="25"/>
      <c r="D44" s="25"/>
      <c r="E44" s="25"/>
      <c r="F44" s="25"/>
      <c r="G44" s="25"/>
    </row>
    <row r="45" spans="2:7" ht="12.75">
      <c r="B45" s="25"/>
      <c r="C45" s="25"/>
      <c r="D45" s="25"/>
      <c r="E45" s="25"/>
      <c r="F45" s="25"/>
      <c r="G45" s="25"/>
    </row>
    <row r="46" spans="2:7" ht="12.75">
      <c r="B46" s="25"/>
      <c r="C46" s="25"/>
      <c r="D46" s="25"/>
      <c r="E46" s="25"/>
      <c r="F46" s="25"/>
      <c r="G46" s="25"/>
    </row>
    <row r="47" spans="2:7" ht="12.75">
      <c r="B47" s="25"/>
      <c r="C47" s="25"/>
      <c r="D47" s="25"/>
      <c r="E47" s="25"/>
      <c r="F47" s="25"/>
      <c r="G47" s="25"/>
    </row>
    <row r="48" spans="2:7" ht="12.75">
      <c r="B48" s="25"/>
      <c r="C48" s="25"/>
      <c r="D48" s="25"/>
      <c r="E48" s="25"/>
      <c r="F48" s="25"/>
      <c r="G48" s="25"/>
    </row>
    <row r="49" spans="2:7" ht="12.75">
      <c r="B49" s="25"/>
      <c r="C49" s="25"/>
      <c r="D49" s="25"/>
      <c r="E49" s="25"/>
      <c r="F49" s="25"/>
      <c r="G49" s="25"/>
    </row>
    <row r="50" spans="2:7" ht="12.75">
      <c r="B50" s="25"/>
      <c r="C50" s="25"/>
      <c r="D50" s="25"/>
      <c r="E50" s="25"/>
      <c r="F50" s="25"/>
      <c r="G50" s="25"/>
    </row>
    <row r="51" spans="2:7" ht="12.75">
      <c r="B51" s="25"/>
      <c r="C51" s="25"/>
      <c r="D51" s="25"/>
      <c r="E51" s="25"/>
      <c r="F51" s="25"/>
      <c r="G51" s="25"/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F57" s="25"/>
      <c r="G57" s="25"/>
    </row>
    <row r="63" spans="4:5" ht="12.75">
      <c r="D63" s="26"/>
      <c r="E63" s="26"/>
    </row>
    <row r="64" spans="2:7" ht="12.75">
      <c r="B64" s="26"/>
      <c r="C64" s="26"/>
      <c r="D64" s="26"/>
      <c r="E64" s="26"/>
      <c r="F64" s="26"/>
      <c r="G64" s="26"/>
    </row>
    <row r="65" spans="2:7" ht="12.75">
      <c r="B65" s="26"/>
      <c r="C65" s="26"/>
      <c r="F65" s="26"/>
      <c r="G65" s="26"/>
    </row>
    <row r="83" spans="4:5" ht="12.75">
      <c r="D83" s="17"/>
      <c r="E83" s="17"/>
    </row>
    <row r="84" spans="2:7" ht="12.75">
      <c r="B84" s="17"/>
      <c r="C84" s="17"/>
      <c r="D84" s="17"/>
      <c r="E84" s="17"/>
      <c r="F84" s="17"/>
      <c r="G84" s="17"/>
    </row>
    <row r="85" spans="2:7" ht="12.75">
      <c r="B85" s="17"/>
      <c r="C85" s="17"/>
      <c r="F85" s="17"/>
      <c r="G85" s="17"/>
    </row>
  </sheetData>
  <sheetProtection/>
  <printOptions/>
  <pageMargins left="0.38" right="0.75" top="0.73" bottom="0.74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8" sqref="G28"/>
    </sheetView>
  </sheetViews>
  <sheetFormatPr defaultColWidth="9.140625" defaultRowHeight="12.75"/>
  <cols>
    <col min="1" max="1" width="11.00390625" style="0" customWidth="1"/>
    <col min="2" max="2" width="14.140625" style="6" bestFit="1" customWidth="1"/>
    <col min="3" max="3" width="14.140625" style="6" customWidth="1"/>
    <col min="4" max="4" width="17.7109375" style="6" customWidth="1"/>
    <col min="5" max="6" width="12.7109375" style="6" bestFit="1" customWidth="1"/>
    <col min="7" max="7" width="11.7109375" style="6" bestFit="1" customWidth="1"/>
    <col min="8" max="8" width="10.7109375" style="6" bestFit="1" customWidth="1"/>
    <col min="9" max="10" width="9.140625" style="6" customWidth="1"/>
  </cols>
  <sheetData>
    <row r="1" spans="2:5" ht="42" customHeight="1">
      <c r="B1" s="8" t="str">
        <f>'Rate Class Customer Model'!D2</f>
        <v>GS&gt;50</v>
      </c>
      <c r="C1" s="8" t="str">
        <f>'Rate Class Customer Model'!E2</f>
        <v>Sentinels</v>
      </c>
      <c r="D1" s="8" t="str">
        <f>'Rate Class Customer Model'!F2</f>
        <v>Streetlights</v>
      </c>
      <c r="E1" s="6" t="s">
        <v>10</v>
      </c>
    </row>
    <row r="2" spans="1:15" ht="12.75">
      <c r="A2" s="30">
        <v>2002</v>
      </c>
      <c r="B2" s="81">
        <v>208332.89999999997</v>
      </c>
      <c r="C2" s="81">
        <v>116.24721841449409</v>
      </c>
      <c r="D2" s="81">
        <v>5145.5</v>
      </c>
      <c r="E2" s="6">
        <f aca="true" t="shared" si="0" ref="E2:E13">SUM(B2:D2)</f>
        <v>213594.64721841447</v>
      </c>
      <c r="G2" s="81">
        <v>5145.499999999998</v>
      </c>
      <c r="H2" s="81">
        <v>24678</v>
      </c>
      <c r="I2" s="81">
        <v>0</v>
      </c>
      <c r="J2" s="81">
        <v>41970</v>
      </c>
      <c r="K2" s="81">
        <v>41970</v>
      </c>
      <c r="L2" s="81">
        <v>116.24721841449409</v>
      </c>
      <c r="M2" s="81">
        <v>586</v>
      </c>
      <c r="N2" s="81">
        <v>0</v>
      </c>
      <c r="O2" s="81">
        <v>315815.1131568853</v>
      </c>
    </row>
    <row r="3" spans="1:15" ht="12.75">
      <c r="A3" s="30">
        <v>2003</v>
      </c>
      <c r="B3" s="81">
        <v>219818.00999999998</v>
      </c>
      <c r="C3" s="123">
        <v>123.3064058956916</v>
      </c>
      <c r="D3" s="81">
        <v>5151.56</v>
      </c>
      <c r="E3" s="6">
        <f t="shared" si="0"/>
        <v>225092.87640589566</v>
      </c>
      <c r="G3" s="81">
        <v>5151.56</v>
      </c>
      <c r="H3" s="81">
        <v>24696</v>
      </c>
      <c r="I3" s="81">
        <v>0</v>
      </c>
      <c r="J3" s="81">
        <v>44229</v>
      </c>
      <c r="K3" s="81">
        <v>44229</v>
      </c>
      <c r="L3" s="81">
        <v>123.3064058956916</v>
      </c>
      <c r="M3" s="81">
        <v>590</v>
      </c>
      <c r="N3" s="81">
        <v>0</v>
      </c>
      <c r="O3" s="81">
        <v>302889.33640199463</v>
      </c>
    </row>
    <row r="4" spans="1:15" ht="12.75">
      <c r="A4" s="30">
        <v>2004</v>
      </c>
      <c r="B4" s="81">
        <v>224392.23</v>
      </c>
      <c r="C4" s="123">
        <v>118.10515873015873</v>
      </c>
      <c r="D4" s="81">
        <v>5152.08</v>
      </c>
      <c r="E4" s="6">
        <f t="shared" si="0"/>
        <v>229662.41515873015</v>
      </c>
      <c r="G4" s="81">
        <v>5152.080000000001</v>
      </c>
      <c r="H4" s="81">
        <v>24696</v>
      </c>
      <c r="I4" s="81">
        <v>0</v>
      </c>
      <c r="J4" s="81">
        <v>42373.08</v>
      </c>
      <c r="K4" s="81">
        <v>42373.08</v>
      </c>
      <c r="L4" s="81">
        <v>118.10515873015873</v>
      </c>
      <c r="M4" s="81">
        <v>562</v>
      </c>
      <c r="N4" s="81">
        <v>0</v>
      </c>
      <c r="O4" s="81">
        <v>298020.7134637514</v>
      </c>
    </row>
    <row r="5" spans="1:15" ht="12.75">
      <c r="A5" s="30">
        <v>2005</v>
      </c>
      <c r="B5" s="81">
        <v>219273.48000000004</v>
      </c>
      <c r="C5" s="123">
        <v>115.17148526077096</v>
      </c>
      <c r="D5" s="81">
        <v>5152.08</v>
      </c>
      <c r="E5" s="6">
        <f t="shared" si="0"/>
        <v>224540.7314852608</v>
      </c>
      <c r="G5" s="81">
        <v>5152.080000000001</v>
      </c>
      <c r="H5" s="81">
        <v>24696</v>
      </c>
      <c r="I5" s="81">
        <v>0</v>
      </c>
      <c r="J5" s="81">
        <v>41442.520000000004</v>
      </c>
      <c r="K5" s="81">
        <v>41164.32000000001</v>
      </c>
      <c r="L5" s="81">
        <v>115.17148526077096</v>
      </c>
      <c r="M5" s="81">
        <v>550</v>
      </c>
      <c r="N5" s="81">
        <v>0</v>
      </c>
      <c r="O5" s="81">
        <v>273581.138473341</v>
      </c>
    </row>
    <row r="6" spans="1:15" ht="12.75">
      <c r="A6" s="30">
        <v>2006</v>
      </c>
      <c r="B6" s="81">
        <v>228996.41</v>
      </c>
      <c r="C6" s="123">
        <v>114.95890022675735</v>
      </c>
      <c r="D6" s="81">
        <v>5153.16</v>
      </c>
      <c r="E6" s="6">
        <f t="shared" si="0"/>
        <v>234264.52890022675</v>
      </c>
      <c r="G6" s="81">
        <v>5153.160000000001</v>
      </c>
      <c r="H6" s="81">
        <v>24696</v>
      </c>
      <c r="I6" s="81">
        <v>0</v>
      </c>
      <c r="J6" s="81">
        <v>41334</v>
      </c>
      <c r="K6" s="81">
        <v>41237.54000000001</v>
      </c>
      <c r="L6" s="81">
        <v>114.95890022675735</v>
      </c>
      <c r="M6" s="81">
        <v>552</v>
      </c>
      <c r="N6" s="81">
        <v>0</v>
      </c>
      <c r="O6" s="81">
        <v>271066</v>
      </c>
    </row>
    <row r="7" spans="1:15" ht="12.75">
      <c r="A7" s="30">
        <v>2007</v>
      </c>
      <c r="B7" s="81">
        <v>234298.43</v>
      </c>
      <c r="C7" s="123">
        <v>111.6638321995465</v>
      </c>
      <c r="D7" s="81">
        <v>5152.08</v>
      </c>
      <c r="E7" s="6">
        <f t="shared" si="0"/>
        <v>239562.17383219954</v>
      </c>
      <c r="G7" s="81">
        <v>5152.080000000001</v>
      </c>
      <c r="H7" s="81">
        <v>24696</v>
      </c>
      <c r="I7" s="81">
        <v>0</v>
      </c>
      <c r="J7" s="81">
        <v>40100</v>
      </c>
      <c r="K7" s="81">
        <v>40055.76</v>
      </c>
      <c r="L7" s="81">
        <v>111.6638321995465</v>
      </c>
      <c r="M7" s="81">
        <v>531</v>
      </c>
      <c r="N7" s="81">
        <v>0</v>
      </c>
      <c r="O7" s="81">
        <v>252561</v>
      </c>
    </row>
    <row r="8" spans="1:15" ht="12.75">
      <c r="A8" s="30">
        <v>2008</v>
      </c>
      <c r="B8" s="81">
        <v>226241.79</v>
      </c>
      <c r="C8" s="123">
        <v>110.71184746299953</v>
      </c>
      <c r="D8" s="81">
        <v>5111.03</v>
      </c>
      <c r="E8" s="6">
        <f t="shared" si="0"/>
        <v>231463.53184746302</v>
      </c>
      <c r="G8" s="81">
        <v>5111.03</v>
      </c>
      <c r="H8" s="81">
        <v>25272</v>
      </c>
      <c r="I8" s="81">
        <v>0</v>
      </c>
      <c r="J8" s="81">
        <v>39860</v>
      </c>
      <c r="K8" s="81">
        <v>39959.16</v>
      </c>
      <c r="L8" s="81">
        <v>110.71184746299953</v>
      </c>
      <c r="M8" s="81">
        <v>531</v>
      </c>
      <c r="N8" s="81">
        <v>0</v>
      </c>
      <c r="O8" s="81">
        <v>206728</v>
      </c>
    </row>
    <row r="9" spans="1:15" ht="12.75">
      <c r="A9" s="30">
        <v>2009</v>
      </c>
      <c r="B9" s="81">
        <v>208393.50000000003</v>
      </c>
      <c r="C9" s="123">
        <v>112.2132616487455</v>
      </c>
      <c r="D9" s="81">
        <v>5075.16</v>
      </c>
      <c r="E9" s="6">
        <f t="shared" si="0"/>
        <v>213580.87326164878</v>
      </c>
      <c r="G9" s="81">
        <v>5075.16</v>
      </c>
      <c r="H9" s="81">
        <v>25560</v>
      </c>
      <c r="I9" s="81">
        <v>0</v>
      </c>
      <c r="J9" s="81">
        <v>40502</v>
      </c>
      <c r="K9" s="81">
        <v>40601.64</v>
      </c>
      <c r="L9" s="81">
        <v>112.2132616487455</v>
      </c>
      <c r="M9" s="81">
        <v>539</v>
      </c>
      <c r="N9" s="81">
        <v>0</v>
      </c>
      <c r="O9" s="81">
        <v>166421</v>
      </c>
    </row>
    <row r="10" spans="1:15" ht="12.75">
      <c r="A10" s="30">
        <v>2010</v>
      </c>
      <c r="B10" s="81">
        <v>203585.50999999998</v>
      </c>
      <c r="C10" s="123">
        <v>112.24469216182739</v>
      </c>
      <c r="D10" s="81">
        <v>5075.16</v>
      </c>
      <c r="E10" s="6">
        <f t="shared" si="0"/>
        <v>208772.9146921618</v>
      </c>
      <c r="G10" s="81">
        <v>5075.16</v>
      </c>
      <c r="H10" s="81">
        <v>25560</v>
      </c>
      <c r="I10" s="81">
        <v>0</v>
      </c>
      <c r="J10" s="81">
        <v>40765.11999999999</v>
      </c>
      <c r="K10" s="81">
        <v>40611.24</v>
      </c>
      <c r="L10" s="81">
        <v>112.24469216182739</v>
      </c>
      <c r="M10" s="81">
        <v>535</v>
      </c>
      <c r="N10" s="81">
        <v>0</v>
      </c>
      <c r="O10" s="81">
        <v>141736</v>
      </c>
    </row>
    <row r="11" spans="1:15" ht="12.75">
      <c r="A11" s="30">
        <v>2011</v>
      </c>
      <c r="B11" s="81">
        <v>202662.09</v>
      </c>
      <c r="C11" s="123">
        <v>113.03526993717428</v>
      </c>
      <c r="D11" s="81">
        <v>5075.23</v>
      </c>
      <c r="E11" s="6">
        <f t="shared" si="0"/>
        <v>207850.3552699372</v>
      </c>
      <c r="G11" s="81">
        <v>5075.23</v>
      </c>
      <c r="H11" s="81">
        <v>25560</v>
      </c>
      <c r="I11" s="81">
        <v>0</v>
      </c>
      <c r="J11" s="81">
        <v>40399.119999999995</v>
      </c>
      <c r="K11" s="81">
        <v>40399.119999999995</v>
      </c>
      <c r="L11" s="81">
        <v>113.03526993717428</v>
      </c>
      <c r="M11" s="81">
        <v>536</v>
      </c>
      <c r="N11" s="81">
        <v>0</v>
      </c>
      <c r="O11" s="81">
        <v>131903</v>
      </c>
    </row>
    <row r="12" spans="1:5" ht="12.75">
      <c r="A12" s="30">
        <v>2012</v>
      </c>
      <c r="B12" s="81">
        <f>'Rate Class Energy Model'!J62*'Rate Class Load Model'!B27</f>
        <v>206516.77406394822</v>
      </c>
      <c r="C12" s="81">
        <f>'Rate Class Energy Model'!K62*'Rate Class Load Model'!C27</f>
        <v>110.49598654136445</v>
      </c>
      <c r="D12" s="81">
        <f>'Rate Class Energy Model'!L62*'Rate Class Load Model'!D27</f>
        <v>5077.286946131697</v>
      </c>
      <c r="E12" s="6">
        <f t="shared" si="0"/>
        <v>211704.55699662128</v>
      </c>
    </row>
    <row r="13" spans="1:5" ht="12.75">
      <c r="A13" s="30">
        <v>2013</v>
      </c>
      <c r="B13" s="81">
        <f>'Rate Class Energy Model'!J63*'Rate Class Load Model'!B27</f>
        <v>203731.2939931818</v>
      </c>
      <c r="C13" s="81">
        <f>'Rate Class Energy Model'!K63*'Rate Class Load Model'!C27</f>
        <v>108.7250188492315</v>
      </c>
      <c r="D13" s="81">
        <f>'Rate Class Energy Model'!L63*'Rate Class Load Model'!D27</f>
        <v>5034.600666965771</v>
      </c>
      <c r="E13" s="6">
        <f t="shared" si="0"/>
        <v>208874.6196789968</v>
      </c>
    </row>
    <row r="14" ht="12.75">
      <c r="A14" s="21"/>
    </row>
    <row r="15" spans="1:4" ht="12.75">
      <c r="A15" s="20" t="s">
        <v>65</v>
      </c>
      <c r="B15" s="5"/>
      <c r="C15" s="5"/>
      <c r="D15" s="5"/>
    </row>
    <row r="16" spans="1:4" ht="12.75">
      <c r="A16" s="4">
        <v>2002</v>
      </c>
      <c r="B16" s="28">
        <f>B2/'Rate Class Energy Model'!J7</f>
        <v>0.0023838475002912053</v>
      </c>
      <c r="C16" s="28">
        <f>C2/'Rate Class Energy Model'!K7</f>
        <v>0.002769769321288875</v>
      </c>
      <c r="D16" s="28">
        <f>D2/'Rate Class Energy Model'!L7</f>
        <v>0.0028389028168889752</v>
      </c>
    </row>
    <row r="17" spans="1:4" ht="12.75">
      <c r="A17" s="4">
        <v>2003</v>
      </c>
      <c r="B17" s="28">
        <f>B3/'Rate Class Energy Model'!J8</f>
        <v>0.0024915821197798033</v>
      </c>
      <c r="C17" s="28">
        <f>C3/'Rate Class Energy Model'!K8</f>
        <v>0.0027879085191998823</v>
      </c>
      <c r="D17" s="28">
        <f>D3/'Rate Class Energy Model'!L8</f>
        <v>0.002738609257862972</v>
      </c>
    </row>
    <row r="18" spans="1:4" ht="12.75">
      <c r="A18" s="4">
        <v>2004</v>
      </c>
      <c r="B18" s="28">
        <f>B4/'Rate Class Energy Model'!J9</f>
        <v>0.002501495960874981</v>
      </c>
      <c r="C18" s="28">
        <f>C4/'Rate Class Energy Model'!K9</f>
        <v>0.0027872686793161774</v>
      </c>
      <c r="D18" s="28">
        <f>D4/'Rate Class Energy Model'!L9</f>
        <v>0.002724018706929139</v>
      </c>
    </row>
    <row r="19" spans="1:4" ht="12.75">
      <c r="A19" s="4">
        <v>2005</v>
      </c>
      <c r="B19" s="28">
        <f>B5/'Rate Class Energy Model'!J10</f>
        <v>0.002428594668433808</v>
      </c>
      <c r="C19" s="28">
        <f>C5/'Rate Class Energy Model'!K10</f>
        <v>0.0027790656856960185</v>
      </c>
      <c r="D19" s="28">
        <f>D5/'Rate Class Energy Model'!L10</f>
        <v>0.002733323772861329</v>
      </c>
    </row>
    <row r="20" spans="1:4" ht="12.75">
      <c r="A20" s="4">
        <v>2006</v>
      </c>
      <c r="B20" s="28">
        <f>B6/'Rate Class Energy Model'!J11</f>
        <v>0.0025434435295481578</v>
      </c>
      <c r="C20" s="28">
        <f>C6/'Rate Class Energy Model'!K11</f>
        <v>0.0027812188567948263</v>
      </c>
      <c r="D20" s="28">
        <f>D6/'Rate Class Energy Model'!L11</f>
        <v>0.002733400662827754</v>
      </c>
    </row>
    <row r="21" spans="1:4" ht="12.75">
      <c r="A21" s="4">
        <v>2007</v>
      </c>
      <c r="B21" s="28">
        <f>B7/'Rate Class Energy Model'!J12</f>
        <v>0.0025772128746450328</v>
      </c>
      <c r="C21" s="28">
        <f>C7/'Rate Class Energy Model'!K12</f>
        <v>0.0027846342194400623</v>
      </c>
      <c r="D21" s="28">
        <f>D7/'Rate Class Energy Model'!L12</f>
        <v>0.0027333236423518524</v>
      </c>
    </row>
    <row r="22" spans="1:4" ht="12.75">
      <c r="A22" s="4">
        <v>2008</v>
      </c>
      <c r="B22" s="28">
        <f>B8/'Rate Class Energy Model'!J13</f>
        <v>0.002493135996010309</v>
      </c>
      <c r="C22" s="28">
        <f>C8/'Rate Class Energy Model'!K13</f>
        <v>0.002777517497817349</v>
      </c>
      <c r="D22" s="28">
        <f>D8/'Rate Class Energy Model'!L13</f>
        <v>0.0027298252622988293</v>
      </c>
    </row>
    <row r="23" spans="1:4" ht="12.75">
      <c r="A23" s="4">
        <v>2009</v>
      </c>
      <c r="B23" s="28">
        <f>B9/'Rate Class Energy Model'!J14</f>
        <v>0.002479244483544656</v>
      </c>
      <c r="C23" s="28">
        <f>C9/'Rate Class Energy Model'!K14</f>
        <v>0.00277056100066035</v>
      </c>
      <c r="D23" s="28">
        <f>D9/'Rate Class Energy Model'!L14</f>
        <v>0.0027138485329905346</v>
      </c>
    </row>
    <row r="24" spans="1:4" ht="12.75">
      <c r="A24" s="4">
        <v>2010</v>
      </c>
      <c r="B24" s="28">
        <f>B10/'Rate Class Energy Model'!J15</f>
        <v>0.002464478747012439</v>
      </c>
      <c r="C24" s="28">
        <f>C10/'Rate Class Energy Model'!K15</f>
        <v>0.002753449325350383</v>
      </c>
      <c r="D24" s="28">
        <f>D10/'Rate Class Energy Model'!L15</f>
        <v>0.0027138471543696413</v>
      </c>
    </row>
    <row r="25" spans="1:4" ht="12.75">
      <c r="A25" s="4">
        <v>2011</v>
      </c>
      <c r="B25" s="28">
        <f>B11/'Rate Class Energy Model'!J16</f>
        <v>0.0024242855654652827</v>
      </c>
      <c r="C25" s="28">
        <f>C11/'Rate Class Energy Model'!K16</f>
        <v>0.0027979636669604262</v>
      </c>
      <c r="D25" s="28">
        <f>D11/'Rate Class Energy Model'!L16</f>
        <v>0.002713893133154097</v>
      </c>
    </row>
    <row r="27" spans="1:4" ht="12.75">
      <c r="A27" t="s">
        <v>15</v>
      </c>
      <c r="B27" s="28">
        <f>AVERAGE(B16:B25)</f>
        <v>0.002478732144560567</v>
      </c>
      <c r="C27" s="28">
        <f>AVERAGE(C16:C25)</f>
        <v>0.0027789356772524353</v>
      </c>
      <c r="D27" s="28">
        <f>AVERAGE(D16:D25)</f>
        <v>0.0027372992942535125</v>
      </c>
    </row>
    <row r="34" spans="2:4" ht="12.75">
      <c r="B34" s="26"/>
      <c r="C34" s="26"/>
      <c r="D34" s="26"/>
    </row>
    <row r="35" spans="2:4" ht="12.75">
      <c r="B35" s="26"/>
      <c r="C35" s="26"/>
      <c r="D35" s="26"/>
    </row>
    <row r="54" spans="2:4" ht="12.75">
      <c r="B54" s="17"/>
      <c r="C54" s="17"/>
      <c r="D54" s="17"/>
    </row>
    <row r="55" spans="2:4" ht="12.75">
      <c r="B55" s="17"/>
      <c r="C55" s="17"/>
      <c r="D55" s="17"/>
    </row>
  </sheetData>
  <sheetProtection/>
  <printOptions/>
  <pageMargins left="0.38" right="0.75" top="0.73" bottom="0.74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mmaw</cp:lastModifiedBy>
  <cp:lastPrinted>2012-08-30T13:05:48Z</cp:lastPrinted>
  <dcterms:created xsi:type="dcterms:W3CDTF">2008-02-06T18:24:44Z</dcterms:created>
  <dcterms:modified xsi:type="dcterms:W3CDTF">2012-10-03T15:45:38Z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