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520" tabRatio="897" firstSheet="4" activeTab="6"/>
  </bookViews>
  <sheets>
    <sheet name="1. Dec. 31, 2002 Reg. Assets" sheetId="27" r:id="rId1"/>
    <sheet name="2. 2002 Base Rate Schedule" sheetId="1" r:id="rId2"/>
    <sheet name="3. 2002 Data &amp; add 4 RSVAs" sheetId="3" r:id="rId3"/>
    <sheet name="4. 2004 Rate Sch. with 4 RSVAs" sheetId="4" r:id="rId4"/>
    <sheet name="5. 2002 Data &amp; Int. Reg. Assets" sheetId="28" r:id="rId5"/>
    <sheet name="6. 2004 Rate Sch. with Interims" sheetId="29" r:id="rId6"/>
    <sheet name="7. 2002 Data &amp; 2004 PILs" sheetId="30" r:id="rId7"/>
    <sheet name="8. 2004 Rate Sch. with PILs" sheetId="31" r:id="rId8"/>
    <sheet name="9. Service Charge Adj." sheetId="34" r:id="rId9"/>
    <sheet name="10. 2004 Rate Schedule " sheetId="24" r:id="rId10"/>
    <sheet name="11.Bill Impact (no commod. in.)" sheetId="33" r:id="rId11"/>
    <sheet name="12. Bill Impact (commod. inc.) " sheetId="23" r:id="rId12"/>
  </sheets>
  <calcPr calcId="145621" iterate="1"/>
</workbook>
</file>

<file path=xl/calcChain.xml><?xml version="1.0" encoding="utf-8"?>
<calcChain xmlns="http://schemas.openxmlformats.org/spreadsheetml/2006/main">
  <c r="D21" i="27" l="1"/>
  <c r="D31" i="27"/>
  <c r="D40" i="27"/>
  <c r="D70" i="27"/>
  <c r="F68" i="24"/>
  <c r="F62" i="24"/>
  <c r="F28" i="24"/>
  <c r="F22" i="24"/>
  <c r="F16" i="24"/>
  <c r="K109" i="33"/>
  <c r="K119" i="33"/>
  <c r="F10" i="24"/>
  <c r="C29" i="3"/>
  <c r="C22" i="3"/>
  <c r="C23" i="3"/>
  <c r="C24" i="3"/>
  <c r="C25" i="3"/>
  <c r="C28" i="3"/>
  <c r="C31" i="3"/>
  <c r="F28" i="3"/>
  <c r="B172" i="3"/>
  <c r="G32" i="28"/>
  <c r="E29" i="3"/>
  <c r="E29" i="28"/>
  <c r="E22" i="3"/>
  <c r="E22" i="28"/>
  <c r="E23" i="3"/>
  <c r="E23" i="28"/>
  <c r="E24" i="3"/>
  <c r="E24" i="28"/>
  <c r="E25" i="3"/>
  <c r="E25" i="28"/>
  <c r="E26" i="28"/>
  <c r="E27" i="28"/>
  <c r="E28" i="3"/>
  <c r="E28" i="28"/>
  <c r="B29" i="28"/>
  <c r="B172" i="28"/>
  <c r="G32" i="30"/>
  <c r="E29" i="30"/>
  <c r="E22" i="30"/>
  <c r="E23" i="30"/>
  <c r="E24" i="30"/>
  <c r="E25" i="30"/>
  <c r="E26" i="30"/>
  <c r="E27" i="30"/>
  <c r="E28" i="30"/>
  <c r="B29" i="30"/>
  <c r="B172" i="30"/>
  <c r="D29" i="34"/>
  <c r="C138" i="34"/>
  <c r="B90" i="31"/>
  <c r="B29" i="34"/>
  <c r="B46" i="3"/>
  <c r="C22" i="28"/>
  <c r="B46" i="28"/>
  <c r="C22" i="30"/>
  <c r="B46" i="30"/>
  <c r="D22" i="34"/>
  <c r="C36" i="34"/>
  <c r="C38" i="34"/>
  <c r="C40" i="34"/>
  <c r="B18" i="31"/>
  <c r="C37" i="34"/>
  <c r="C22" i="34"/>
  <c r="D23" i="34"/>
  <c r="C56" i="34"/>
  <c r="B32" i="31"/>
  <c r="C57" i="34"/>
  <c r="B24" i="3"/>
  <c r="B82" i="3"/>
  <c r="B24" i="28"/>
  <c r="B82" i="28"/>
  <c r="B24" i="30"/>
  <c r="B82" i="30"/>
  <c r="D24" i="3"/>
  <c r="D24" i="34"/>
  <c r="C66" i="34"/>
  <c r="B39" i="31"/>
  <c r="B24" i="34"/>
  <c r="B25" i="3"/>
  <c r="B100" i="3"/>
  <c r="B25" i="28"/>
  <c r="B100" i="28"/>
  <c r="B25" i="30"/>
  <c r="B100" i="30"/>
  <c r="D25" i="34"/>
  <c r="C76" i="34"/>
  <c r="C78" i="34"/>
  <c r="C80" i="34"/>
  <c r="B46" i="31"/>
  <c r="C77" i="34"/>
  <c r="B25" i="34"/>
  <c r="B154" i="3"/>
  <c r="B28" i="28"/>
  <c r="B154" i="28"/>
  <c r="B28" i="30"/>
  <c r="B154" i="30"/>
  <c r="D28" i="34"/>
  <c r="C106" i="34"/>
  <c r="B67" i="31"/>
  <c r="C107" i="34"/>
  <c r="B28" i="34"/>
  <c r="F391" i="33"/>
  <c r="F333" i="33"/>
  <c r="F250" i="33"/>
  <c r="F169" i="33"/>
  <c r="F109" i="33"/>
  <c r="E182" i="33"/>
  <c r="F181" i="33"/>
  <c r="I404" i="33"/>
  <c r="D405" i="33"/>
  <c r="E405" i="33"/>
  <c r="J405" i="33"/>
  <c r="I406" i="33"/>
  <c r="J406" i="33"/>
  <c r="K406" i="33"/>
  <c r="I407" i="33"/>
  <c r="K407" i="33"/>
  <c r="E407" i="33"/>
  <c r="J407" i="33"/>
  <c r="E404" i="33"/>
  <c r="F404" i="33"/>
  <c r="F406" i="33"/>
  <c r="F407" i="33"/>
  <c r="I392" i="33"/>
  <c r="D393" i="33"/>
  <c r="J393" i="33"/>
  <c r="I394" i="33"/>
  <c r="J394" i="33"/>
  <c r="K394" i="33"/>
  <c r="I395" i="33"/>
  <c r="J395" i="33"/>
  <c r="K395" i="33"/>
  <c r="F392" i="33"/>
  <c r="F394" i="33"/>
  <c r="D395" i="33"/>
  <c r="F395" i="33"/>
  <c r="I334" i="33"/>
  <c r="I370" i="33"/>
  <c r="D371" i="33"/>
  <c r="E371" i="33"/>
  <c r="J371" i="33"/>
  <c r="I372" i="33"/>
  <c r="J372" i="33"/>
  <c r="K372" i="33"/>
  <c r="I373" i="33"/>
  <c r="E373" i="33"/>
  <c r="J373" i="33"/>
  <c r="F369" i="33"/>
  <c r="E370" i="33"/>
  <c r="F370" i="33"/>
  <c r="F372" i="33"/>
  <c r="F373" i="33"/>
  <c r="I358" i="33"/>
  <c r="D359" i="33"/>
  <c r="E359" i="33"/>
  <c r="J359" i="33"/>
  <c r="I360" i="33"/>
  <c r="J360" i="33"/>
  <c r="I361" i="33"/>
  <c r="K361" i="33"/>
  <c r="E349" i="33"/>
  <c r="J349" i="33"/>
  <c r="J361" i="33"/>
  <c r="F357" i="33"/>
  <c r="E358" i="33"/>
  <c r="F358" i="33"/>
  <c r="F360" i="33"/>
  <c r="E361" i="33"/>
  <c r="F361" i="33"/>
  <c r="I346" i="33"/>
  <c r="D347" i="33"/>
  <c r="E347" i="33"/>
  <c r="J347" i="33"/>
  <c r="I348" i="33"/>
  <c r="J348" i="33"/>
  <c r="K348" i="33"/>
  <c r="I349" i="33"/>
  <c r="K349" i="33"/>
  <c r="F345" i="33"/>
  <c r="E346" i="33"/>
  <c r="F346" i="33"/>
  <c r="F348" i="33"/>
  <c r="F349" i="33"/>
  <c r="D335" i="33"/>
  <c r="I335" i="33"/>
  <c r="K335" i="33"/>
  <c r="J335" i="33"/>
  <c r="I336" i="33"/>
  <c r="J336" i="33"/>
  <c r="K336" i="33"/>
  <c r="I337" i="33"/>
  <c r="K337" i="33"/>
  <c r="J337" i="33"/>
  <c r="F334" i="33"/>
  <c r="F335" i="33"/>
  <c r="F339" i="33"/>
  <c r="F336" i="33"/>
  <c r="D337" i="33"/>
  <c r="F337" i="33"/>
  <c r="E314" i="33"/>
  <c r="E312" i="33"/>
  <c r="E311" i="33"/>
  <c r="F310" i="33"/>
  <c r="E302" i="33"/>
  <c r="E300" i="33"/>
  <c r="E299" i="33"/>
  <c r="F298" i="33"/>
  <c r="E290" i="33"/>
  <c r="E288" i="33"/>
  <c r="E287" i="33"/>
  <c r="F286" i="33"/>
  <c r="E278" i="33"/>
  <c r="E276" i="33"/>
  <c r="E275" i="33"/>
  <c r="F274" i="33"/>
  <c r="E266" i="33"/>
  <c r="E264" i="33"/>
  <c r="J264" i="33"/>
  <c r="E263" i="33"/>
  <c r="F262" i="33"/>
  <c r="I311" i="33"/>
  <c r="D312" i="33"/>
  <c r="J312" i="33"/>
  <c r="I313" i="33"/>
  <c r="K313" i="33"/>
  <c r="J313" i="33"/>
  <c r="I314" i="33"/>
  <c r="J314" i="33"/>
  <c r="F311" i="33"/>
  <c r="F314" i="33"/>
  <c r="F313" i="33"/>
  <c r="I299" i="33"/>
  <c r="D300" i="33"/>
  <c r="J300" i="33"/>
  <c r="I301" i="33"/>
  <c r="K301" i="33"/>
  <c r="J301" i="33"/>
  <c r="I302" i="33"/>
  <c r="K302" i="33"/>
  <c r="J302" i="33"/>
  <c r="F299" i="33"/>
  <c r="F302" i="33"/>
  <c r="F301" i="33"/>
  <c r="I287" i="33"/>
  <c r="D288" i="33"/>
  <c r="J288" i="33"/>
  <c r="I289" i="33"/>
  <c r="K289" i="33"/>
  <c r="J289" i="33"/>
  <c r="I290" i="33"/>
  <c r="J290" i="33"/>
  <c r="F287" i="33"/>
  <c r="F290" i="33"/>
  <c r="F289" i="33"/>
  <c r="I275" i="33"/>
  <c r="D276" i="33"/>
  <c r="I276" i="33"/>
  <c r="J276" i="33"/>
  <c r="I277" i="33"/>
  <c r="K277" i="33"/>
  <c r="J277" i="33"/>
  <c r="I278" i="33"/>
  <c r="J266" i="33"/>
  <c r="F275" i="33"/>
  <c r="F276" i="33"/>
  <c r="F278" i="33"/>
  <c r="F277" i="33"/>
  <c r="I263" i="33"/>
  <c r="D264" i="33"/>
  <c r="I266" i="33"/>
  <c r="I265" i="33"/>
  <c r="J265" i="33"/>
  <c r="K265" i="33"/>
  <c r="F263" i="33"/>
  <c r="F266" i="33"/>
  <c r="F265" i="33"/>
  <c r="D252" i="33"/>
  <c r="I252" i="33"/>
  <c r="J252" i="33"/>
  <c r="K252" i="33"/>
  <c r="I253" i="33"/>
  <c r="J253" i="33"/>
  <c r="K253" i="33"/>
  <c r="I254" i="33"/>
  <c r="K254" i="33"/>
  <c r="J254" i="33"/>
  <c r="F251" i="33"/>
  <c r="F252" i="33"/>
  <c r="F256" i="33"/>
  <c r="F253" i="33"/>
  <c r="D254" i="33"/>
  <c r="F254" i="33"/>
  <c r="E233" i="33"/>
  <c r="E230" i="33"/>
  <c r="F229" i="33"/>
  <c r="I232" i="33"/>
  <c r="J232" i="33"/>
  <c r="K232" i="33"/>
  <c r="F232" i="33"/>
  <c r="D231" i="33"/>
  <c r="I231" i="33"/>
  <c r="J231" i="33"/>
  <c r="F231" i="33"/>
  <c r="E218" i="33"/>
  <c r="F217" i="33"/>
  <c r="I220" i="33"/>
  <c r="K220" i="33"/>
  <c r="J220" i="33"/>
  <c r="F220" i="33"/>
  <c r="D219" i="33"/>
  <c r="I219" i="33"/>
  <c r="K219" i="33"/>
  <c r="J219" i="33"/>
  <c r="F219" i="33"/>
  <c r="E221" i="33"/>
  <c r="E209" i="33"/>
  <c r="E197" i="33"/>
  <c r="F197" i="33"/>
  <c r="E185" i="33"/>
  <c r="E206" i="33"/>
  <c r="F206" i="33"/>
  <c r="F205" i="33"/>
  <c r="I208" i="33"/>
  <c r="J208" i="33"/>
  <c r="K208" i="33"/>
  <c r="F208" i="33"/>
  <c r="D207" i="33"/>
  <c r="I207" i="33"/>
  <c r="K207" i="33"/>
  <c r="J207" i="33"/>
  <c r="F207" i="33"/>
  <c r="J185" i="33"/>
  <c r="J197" i="33"/>
  <c r="K197" i="33"/>
  <c r="E194" i="33"/>
  <c r="F193" i="33"/>
  <c r="I196" i="33"/>
  <c r="J196" i="33"/>
  <c r="F196" i="33"/>
  <c r="D195" i="33"/>
  <c r="I195" i="33"/>
  <c r="K195" i="33"/>
  <c r="J195" i="33"/>
  <c r="F195" i="33"/>
  <c r="I184" i="33"/>
  <c r="K184" i="33"/>
  <c r="J184" i="33"/>
  <c r="F184" i="33"/>
  <c r="D183" i="33"/>
  <c r="J183" i="33"/>
  <c r="I173" i="33"/>
  <c r="I172" i="33"/>
  <c r="K172" i="33"/>
  <c r="D173" i="33"/>
  <c r="J172" i="33"/>
  <c r="F172" i="33"/>
  <c r="J111" i="33"/>
  <c r="J151" i="33"/>
  <c r="K151" i="33"/>
  <c r="J112" i="33"/>
  <c r="J152" i="33"/>
  <c r="E151" i="33"/>
  <c r="F151" i="33"/>
  <c r="E152" i="33"/>
  <c r="I141" i="33"/>
  <c r="K141" i="33"/>
  <c r="J141" i="33"/>
  <c r="J142" i="33"/>
  <c r="E141" i="33"/>
  <c r="F141" i="33"/>
  <c r="E142" i="33"/>
  <c r="E150" i="33"/>
  <c r="F150" i="33"/>
  <c r="E140" i="33"/>
  <c r="E130" i="33"/>
  <c r="E132" i="33"/>
  <c r="I131" i="33"/>
  <c r="J131" i="33"/>
  <c r="K131" i="33"/>
  <c r="E131" i="33"/>
  <c r="F131" i="33"/>
  <c r="I121" i="33"/>
  <c r="K121" i="33"/>
  <c r="J121" i="33"/>
  <c r="E121" i="33"/>
  <c r="F121" i="33"/>
  <c r="K111" i="33"/>
  <c r="F111" i="33"/>
  <c r="E122" i="33"/>
  <c r="E120" i="33"/>
  <c r="J81" i="33"/>
  <c r="I90" i="33"/>
  <c r="E91" i="33"/>
  <c r="E92" i="33"/>
  <c r="F92" i="33"/>
  <c r="E90" i="33"/>
  <c r="F89" i="33"/>
  <c r="I79" i="33"/>
  <c r="E80" i="33"/>
  <c r="F78" i="33"/>
  <c r="E79" i="33"/>
  <c r="E81" i="33"/>
  <c r="F81" i="33"/>
  <c r="I68" i="33"/>
  <c r="E69" i="33"/>
  <c r="J69" i="33"/>
  <c r="K69" i="33"/>
  <c r="J70" i="33"/>
  <c r="K70" i="33"/>
  <c r="J60" i="33"/>
  <c r="F69" i="33"/>
  <c r="E70" i="33"/>
  <c r="E68" i="33"/>
  <c r="F67" i="33"/>
  <c r="E59" i="33"/>
  <c r="F59" i="33"/>
  <c r="J59" i="33"/>
  <c r="K59" i="33"/>
  <c r="E60" i="33"/>
  <c r="E58" i="33"/>
  <c r="F57" i="33"/>
  <c r="E49" i="33"/>
  <c r="E48" i="33"/>
  <c r="F48" i="33"/>
  <c r="F47" i="33"/>
  <c r="J49" i="33"/>
  <c r="K49" i="33"/>
  <c r="J50" i="33"/>
  <c r="J40" i="33"/>
  <c r="K40" i="33"/>
  <c r="E50" i="33"/>
  <c r="F49" i="33"/>
  <c r="E39" i="33"/>
  <c r="F39" i="33"/>
  <c r="J39" i="33"/>
  <c r="K39" i="33"/>
  <c r="E40" i="33"/>
  <c r="F40" i="33"/>
  <c r="E38" i="33"/>
  <c r="F37" i="33"/>
  <c r="J29" i="33"/>
  <c r="K29" i="33"/>
  <c r="F29" i="33"/>
  <c r="F30" i="33"/>
  <c r="F28" i="33"/>
  <c r="D152" i="33"/>
  <c r="I152" i="33"/>
  <c r="K152" i="33"/>
  <c r="D142" i="33"/>
  <c r="I142" i="33"/>
  <c r="K142" i="33"/>
  <c r="J132" i="33"/>
  <c r="D132" i="33"/>
  <c r="I132" i="33"/>
  <c r="J122" i="33"/>
  <c r="D122" i="33"/>
  <c r="I122" i="33"/>
  <c r="D92" i="33"/>
  <c r="D81" i="33"/>
  <c r="D70" i="33"/>
  <c r="F70" i="33"/>
  <c r="D60" i="33"/>
  <c r="I60" i="33"/>
  <c r="K60" i="33"/>
  <c r="D50" i="33"/>
  <c r="I50" i="33"/>
  <c r="K50" i="33"/>
  <c r="I40" i="33"/>
  <c r="F90" i="33"/>
  <c r="F79" i="33"/>
  <c r="F68" i="33"/>
  <c r="F58" i="33"/>
  <c r="F50" i="33"/>
  <c r="F38" i="33"/>
  <c r="I230" i="33"/>
  <c r="I233" i="33"/>
  <c r="J233" i="33"/>
  <c r="K233" i="33"/>
  <c r="F230" i="33"/>
  <c r="F233" i="33"/>
  <c r="I218" i="33"/>
  <c r="I221" i="33"/>
  <c r="F218" i="33"/>
  <c r="I206" i="33"/>
  <c r="I209" i="33"/>
  <c r="K209" i="33"/>
  <c r="J209" i="33"/>
  <c r="F209" i="33"/>
  <c r="F211" i="33"/>
  <c r="I194" i="33"/>
  <c r="I197" i="33"/>
  <c r="F194" i="33"/>
  <c r="I182" i="33"/>
  <c r="I185" i="33"/>
  <c r="K185" i="33"/>
  <c r="F182" i="33"/>
  <c r="F185" i="33"/>
  <c r="J173" i="33"/>
  <c r="K173" i="33"/>
  <c r="J171" i="33"/>
  <c r="D171" i="33"/>
  <c r="I171" i="33"/>
  <c r="K171" i="33"/>
  <c r="F170" i="33"/>
  <c r="F171" i="33"/>
  <c r="F173" i="33"/>
  <c r="I150" i="33"/>
  <c r="I140" i="33"/>
  <c r="F140" i="33"/>
  <c r="F142" i="33"/>
  <c r="I130" i="33"/>
  <c r="F130" i="33"/>
  <c r="F132" i="33"/>
  <c r="I120" i="33"/>
  <c r="F120" i="33"/>
  <c r="F122" i="33"/>
  <c r="D112" i="33"/>
  <c r="I112" i="33"/>
  <c r="K112" i="33"/>
  <c r="I110" i="33"/>
  <c r="F110" i="33"/>
  <c r="F112" i="33"/>
  <c r="I58" i="33"/>
  <c r="I48" i="33"/>
  <c r="I38" i="33"/>
  <c r="I28" i="33"/>
  <c r="I30" i="33"/>
  <c r="K30" i="33"/>
  <c r="F42" i="33"/>
  <c r="K27" i="33"/>
  <c r="K67" i="33"/>
  <c r="K89" i="33"/>
  <c r="K78" i="33"/>
  <c r="K57" i="33"/>
  <c r="K47" i="33"/>
  <c r="K37" i="33"/>
  <c r="K149" i="33"/>
  <c r="K139" i="33"/>
  <c r="K129" i="33"/>
  <c r="K169" i="33"/>
  <c r="K181" i="33"/>
  <c r="K250" i="33"/>
  <c r="K298" i="33"/>
  <c r="K274" i="33"/>
  <c r="K333" i="33"/>
  <c r="K345" i="33"/>
  <c r="K351" i="33"/>
  <c r="K369" i="33"/>
  <c r="K375" i="33"/>
  <c r="K391" i="33"/>
  <c r="J392" i="33"/>
  <c r="J404" i="33"/>
  <c r="K404" i="33"/>
  <c r="J334" i="33"/>
  <c r="J346" i="33"/>
  <c r="J370" i="33"/>
  <c r="K370" i="33"/>
  <c r="J358" i="33"/>
  <c r="K358" i="33"/>
  <c r="K346" i="33"/>
  <c r="K334" i="33"/>
  <c r="K339" i="33"/>
  <c r="B3" i="1"/>
  <c r="B3" i="28"/>
  <c r="B4" i="1"/>
  <c r="B5" i="1"/>
  <c r="C5" i="33"/>
  <c r="B6" i="1"/>
  <c r="C6" i="33"/>
  <c r="F3" i="1"/>
  <c r="F4" i="1"/>
  <c r="B7" i="1"/>
  <c r="B7" i="4"/>
  <c r="C7" i="33"/>
  <c r="I80" i="23"/>
  <c r="I91" i="23"/>
  <c r="E109" i="23"/>
  <c r="E28" i="23"/>
  <c r="F27" i="23"/>
  <c r="F67" i="23"/>
  <c r="E153" i="23"/>
  <c r="F153" i="23"/>
  <c r="E142" i="23"/>
  <c r="E131" i="23"/>
  <c r="F131" i="23"/>
  <c r="E120" i="23"/>
  <c r="F120" i="23"/>
  <c r="D154" i="23"/>
  <c r="I112" i="23"/>
  <c r="I123" i="23"/>
  <c r="K123" i="23"/>
  <c r="D132" i="23"/>
  <c r="I132" i="23"/>
  <c r="I134" i="23"/>
  <c r="D143" i="23"/>
  <c r="I153" i="23"/>
  <c r="E132" i="23"/>
  <c r="J122" i="23"/>
  <c r="J134" i="23"/>
  <c r="J156" i="23"/>
  <c r="D155" i="23"/>
  <c r="E133" i="23"/>
  <c r="E155" i="23"/>
  <c r="I142" i="23"/>
  <c r="J145" i="23"/>
  <c r="F142" i="23"/>
  <c r="D144" i="23"/>
  <c r="F144" i="23"/>
  <c r="E144" i="23"/>
  <c r="E122" i="23"/>
  <c r="E121" i="23"/>
  <c r="F121" i="23"/>
  <c r="I131" i="23"/>
  <c r="K134" i="23"/>
  <c r="D133" i="23"/>
  <c r="F133" i="23"/>
  <c r="I120" i="23"/>
  <c r="J121" i="23"/>
  <c r="K121" i="23"/>
  <c r="J123" i="23"/>
  <c r="D122" i="23"/>
  <c r="I109" i="23"/>
  <c r="J110" i="23"/>
  <c r="K110" i="23"/>
  <c r="K111" i="23"/>
  <c r="K112" i="23"/>
  <c r="F109" i="23"/>
  <c r="F110" i="23"/>
  <c r="D111" i="23"/>
  <c r="F111" i="23"/>
  <c r="J93" i="23"/>
  <c r="J82" i="23"/>
  <c r="J81" i="23"/>
  <c r="J92" i="23"/>
  <c r="K92" i="23"/>
  <c r="I90" i="23"/>
  <c r="E91" i="23"/>
  <c r="J91" i="23"/>
  <c r="K91" i="23"/>
  <c r="K93" i="23"/>
  <c r="F91" i="23"/>
  <c r="E92" i="23"/>
  <c r="F89" i="23"/>
  <c r="I79" i="23"/>
  <c r="E80" i="23"/>
  <c r="J80" i="23"/>
  <c r="K80" i="23"/>
  <c r="K81" i="23"/>
  <c r="K82" i="23"/>
  <c r="F78" i="23"/>
  <c r="E79" i="23"/>
  <c r="E81" i="23"/>
  <c r="F80" i="23"/>
  <c r="I68" i="23"/>
  <c r="E69" i="23"/>
  <c r="J70" i="23"/>
  <c r="K70" i="23"/>
  <c r="K71" i="23"/>
  <c r="J60" i="23"/>
  <c r="E70" i="23"/>
  <c r="E59" i="23"/>
  <c r="E60" i="23"/>
  <c r="F60" i="23"/>
  <c r="F57" i="23"/>
  <c r="E49" i="23"/>
  <c r="E48" i="23"/>
  <c r="F48" i="23"/>
  <c r="F52" i="23"/>
  <c r="F47" i="23"/>
  <c r="J49" i="23"/>
  <c r="K49" i="23"/>
  <c r="J50" i="23"/>
  <c r="J40" i="23"/>
  <c r="E50" i="23"/>
  <c r="F49" i="23"/>
  <c r="E39" i="23"/>
  <c r="E40" i="23"/>
  <c r="F37" i="23"/>
  <c r="J29" i="23"/>
  <c r="K29" i="23"/>
  <c r="F29" i="23"/>
  <c r="F30" i="23"/>
  <c r="D92" i="23"/>
  <c r="D81" i="23"/>
  <c r="D70" i="23"/>
  <c r="D60" i="23"/>
  <c r="I60" i="23"/>
  <c r="D50" i="23"/>
  <c r="I50" i="23"/>
  <c r="K50" i="23"/>
  <c r="I40" i="23"/>
  <c r="K40" i="23"/>
  <c r="F81" i="23"/>
  <c r="F79" i="23"/>
  <c r="F84" i="23"/>
  <c r="F50" i="23"/>
  <c r="F40" i="23"/>
  <c r="I58" i="23"/>
  <c r="I48" i="23"/>
  <c r="I38" i="23"/>
  <c r="I28" i="23"/>
  <c r="I30" i="23"/>
  <c r="K30" i="23"/>
  <c r="K27" i="23"/>
  <c r="K37" i="23"/>
  <c r="K47" i="23"/>
  <c r="K57" i="23"/>
  <c r="K67" i="23"/>
  <c r="K78" i="23"/>
  <c r="K89" i="23"/>
  <c r="K108" i="23"/>
  <c r="K141" i="23"/>
  <c r="C4" i="23"/>
  <c r="C5" i="23"/>
  <c r="C6" i="23"/>
  <c r="H4" i="23"/>
  <c r="C7" i="23"/>
  <c r="G4" i="3"/>
  <c r="G3" i="3"/>
  <c r="B7" i="3"/>
  <c r="B6" i="3"/>
  <c r="B5" i="3"/>
  <c r="B4" i="3"/>
  <c r="B3" i="3"/>
  <c r="D31" i="3"/>
  <c r="F27" i="3"/>
  <c r="E31" i="3"/>
  <c r="C149" i="3"/>
  <c r="D149" i="3"/>
  <c r="C167" i="3"/>
  <c r="D167" i="3"/>
  <c r="B136" i="3"/>
  <c r="C131" i="3"/>
  <c r="D131" i="3"/>
  <c r="B118" i="3"/>
  <c r="C113" i="3"/>
  <c r="D113" i="3"/>
  <c r="C95" i="3"/>
  <c r="D95" i="3"/>
  <c r="C77" i="3"/>
  <c r="D77" i="3"/>
  <c r="C59" i="3"/>
  <c r="D59" i="3"/>
  <c r="C41" i="3"/>
  <c r="D41" i="3"/>
  <c r="B90" i="4"/>
  <c r="B82" i="4"/>
  <c r="B75" i="4"/>
  <c r="B67" i="4"/>
  <c r="B60" i="4"/>
  <c r="B53" i="4"/>
  <c r="B46" i="4"/>
  <c r="B39" i="4"/>
  <c r="B32" i="4"/>
  <c r="B25" i="4"/>
  <c r="B18" i="4"/>
  <c r="F3" i="4"/>
  <c r="B6" i="4"/>
  <c r="B5" i="4"/>
  <c r="B4" i="4"/>
  <c r="D29" i="28"/>
  <c r="D28" i="28"/>
  <c r="D27" i="28"/>
  <c r="D26" i="28"/>
  <c r="D25" i="28"/>
  <c r="D24" i="28"/>
  <c r="D23" i="28"/>
  <c r="D22" i="28"/>
  <c r="C29" i="28"/>
  <c r="C28" i="28"/>
  <c r="C27" i="28"/>
  <c r="C26" i="28"/>
  <c r="C25" i="28"/>
  <c r="C24" i="28"/>
  <c r="B27" i="28"/>
  <c r="B136" i="28"/>
  <c r="B26" i="28"/>
  <c r="D31" i="28"/>
  <c r="G4" i="28"/>
  <c r="B7" i="28"/>
  <c r="B5" i="28"/>
  <c r="C149" i="28"/>
  <c r="D149" i="28"/>
  <c r="C167" i="28"/>
  <c r="D167" i="28"/>
  <c r="C131" i="28"/>
  <c r="D131" i="28"/>
  <c r="B118" i="28"/>
  <c r="C113" i="28"/>
  <c r="D113" i="28"/>
  <c r="C95" i="28"/>
  <c r="D95" i="28"/>
  <c r="C77" i="28"/>
  <c r="D77" i="28"/>
  <c r="C59" i="28"/>
  <c r="D59" i="28"/>
  <c r="C41" i="28"/>
  <c r="D41" i="28"/>
  <c r="B90" i="29"/>
  <c r="B82" i="29"/>
  <c r="B75" i="29"/>
  <c r="B67" i="29"/>
  <c r="B60" i="29"/>
  <c r="B53" i="29"/>
  <c r="B46" i="29"/>
  <c r="B39" i="29"/>
  <c r="B32" i="29"/>
  <c r="B25" i="29"/>
  <c r="B18" i="29"/>
  <c r="F3" i="29"/>
  <c r="B7" i="29"/>
  <c r="B6" i="29"/>
  <c r="B5" i="29"/>
  <c r="B4" i="29"/>
  <c r="D28" i="30"/>
  <c r="D26" i="30"/>
  <c r="D29" i="30"/>
  <c r="D27" i="30"/>
  <c r="D25" i="30"/>
  <c r="D24" i="30"/>
  <c r="D23" i="30"/>
  <c r="D31" i="30"/>
  <c r="D22" i="30"/>
  <c r="C29" i="30"/>
  <c r="C28" i="30"/>
  <c r="C27" i="30"/>
  <c r="C26" i="30"/>
  <c r="C25" i="30"/>
  <c r="C24" i="30"/>
  <c r="B27" i="30"/>
  <c r="B136" i="30"/>
  <c r="B26" i="30"/>
  <c r="G4" i="30"/>
  <c r="B7" i="30"/>
  <c r="B6" i="30"/>
  <c r="B5" i="30"/>
  <c r="B3" i="30"/>
  <c r="C149" i="30"/>
  <c r="D149" i="30"/>
  <c r="C167" i="30"/>
  <c r="D167" i="30"/>
  <c r="C131" i="30"/>
  <c r="D131" i="30"/>
  <c r="B118" i="30"/>
  <c r="C113" i="30"/>
  <c r="D113" i="30"/>
  <c r="C95" i="30"/>
  <c r="D95" i="30"/>
  <c r="C77" i="30"/>
  <c r="D77" i="30"/>
  <c r="C59" i="30"/>
  <c r="D59" i="30"/>
  <c r="C41" i="30"/>
  <c r="D41" i="30"/>
  <c r="B82" i="31"/>
  <c r="B75" i="31"/>
  <c r="B60" i="31"/>
  <c r="B53" i="31"/>
  <c r="B25" i="31"/>
  <c r="F3" i="31"/>
  <c r="B7" i="31"/>
  <c r="B6" i="31"/>
  <c r="B5" i="31"/>
  <c r="B4" i="31"/>
  <c r="C128" i="34"/>
  <c r="C129" i="34"/>
  <c r="C131" i="34"/>
  <c r="C127" i="34"/>
  <c r="C118" i="34"/>
  <c r="C117" i="34"/>
  <c r="C119" i="34"/>
  <c r="C121" i="34"/>
  <c r="D27" i="34"/>
  <c r="C96" i="34"/>
  <c r="B27" i="34"/>
  <c r="D26" i="34"/>
  <c r="C86" i="34"/>
  <c r="C88" i="34"/>
  <c r="C90" i="34"/>
  <c r="C87" i="34"/>
  <c r="B26" i="34"/>
  <c r="C50" i="34"/>
  <c r="C47" i="34"/>
  <c r="C46" i="34"/>
  <c r="C48" i="34"/>
  <c r="C24" i="34"/>
  <c r="C25" i="34"/>
  <c r="C26" i="34"/>
  <c r="C27" i="34"/>
  <c r="C28" i="34"/>
  <c r="C29" i="34"/>
  <c r="D31" i="34"/>
  <c r="G3" i="34"/>
  <c r="B7" i="34"/>
  <c r="B6" i="34"/>
  <c r="B5" i="34"/>
  <c r="B4" i="34"/>
  <c r="C68" i="34"/>
  <c r="C70" i="34"/>
  <c r="K119" i="23"/>
  <c r="J69" i="23"/>
  <c r="K69" i="23"/>
  <c r="F69" i="23"/>
  <c r="F155" i="23"/>
  <c r="J132" i="23"/>
  <c r="E154" i="23"/>
  <c r="J154" i="23"/>
  <c r="E68" i="23"/>
  <c r="F68" i="23"/>
  <c r="F28" i="23"/>
  <c r="F32" i="23"/>
  <c r="E90" i="23"/>
  <c r="F90" i="23"/>
  <c r="E58" i="23"/>
  <c r="F58" i="23"/>
  <c r="F62" i="23"/>
  <c r="E38" i="23"/>
  <c r="F38" i="23"/>
  <c r="H4" i="33"/>
  <c r="F4" i="29"/>
  <c r="F4" i="31"/>
  <c r="G4" i="34"/>
  <c r="F4" i="4"/>
  <c r="K397" i="33"/>
  <c r="K403" i="33"/>
  <c r="K409" i="33"/>
  <c r="K205" i="33"/>
  <c r="K193" i="33"/>
  <c r="K229" i="33"/>
  <c r="K132" i="33"/>
  <c r="K60" i="23"/>
  <c r="F92" i="23"/>
  <c r="F39" i="23"/>
  <c r="J39" i="23"/>
  <c r="K39" i="23"/>
  <c r="F59" i="23"/>
  <c r="J59" i="23"/>
  <c r="K59" i="23"/>
  <c r="K132" i="23"/>
  <c r="I154" i="23"/>
  <c r="H3" i="33"/>
  <c r="H3" i="23"/>
  <c r="G3" i="30"/>
  <c r="G3" i="28"/>
  <c r="C4" i="33"/>
  <c r="B4" i="30"/>
  <c r="B4" i="28"/>
  <c r="K392" i="33"/>
  <c r="F152" i="33"/>
  <c r="F73" i="33"/>
  <c r="K122" i="33"/>
  <c r="K152" i="23"/>
  <c r="K130" i="23"/>
  <c r="F42" i="23"/>
  <c r="K122" i="23"/>
  <c r="J133" i="23"/>
  <c r="C3" i="23"/>
  <c r="B3" i="4"/>
  <c r="C3" i="33"/>
  <c r="B3" i="29"/>
  <c r="B3" i="31"/>
  <c r="B3" i="34"/>
  <c r="F80" i="33"/>
  <c r="F84" i="33"/>
  <c r="J80" i="33"/>
  <c r="K80" i="33"/>
  <c r="F304" i="33"/>
  <c r="F393" i="33"/>
  <c r="F397" i="33"/>
  <c r="I393" i="33"/>
  <c r="K393" i="33"/>
  <c r="C97" i="34"/>
  <c r="C98" i="34"/>
  <c r="C100" i="34"/>
  <c r="F70" i="23"/>
  <c r="F122" i="23"/>
  <c r="F132" i="23"/>
  <c r="E143" i="23"/>
  <c r="J143" i="23"/>
  <c r="F143" i="23"/>
  <c r="I143" i="23"/>
  <c r="M339" i="33"/>
  <c r="N339" i="33"/>
  <c r="K217" i="33"/>
  <c r="F52" i="33"/>
  <c r="F91" i="33"/>
  <c r="F95" i="33"/>
  <c r="J91" i="33"/>
  <c r="K91" i="33"/>
  <c r="F199" i="33"/>
  <c r="F221" i="33"/>
  <c r="F223" i="33"/>
  <c r="J221" i="33"/>
  <c r="K221" i="33"/>
  <c r="I264" i="33"/>
  <c r="K264" i="33"/>
  <c r="F264" i="33"/>
  <c r="F268" i="33"/>
  <c r="I347" i="33"/>
  <c r="K347" i="33"/>
  <c r="F347" i="33"/>
  <c r="F351" i="33"/>
  <c r="F405" i="33"/>
  <c r="I405" i="33"/>
  <c r="K405" i="33"/>
  <c r="F129" i="33"/>
  <c r="F134" i="33"/>
  <c r="F119" i="33"/>
  <c r="F124" i="33"/>
  <c r="F149" i="33"/>
  <c r="F154" i="33"/>
  <c r="F139" i="33"/>
  <c r="F144" i="33"/>
  <c r="F114" i="33"/>
  <c r="F108" i="23"/>
  <c r="F403" i="33"/>
  <c r="F409" i="33"/>
  <c r="F23" i="28"/>
  <c r="F29" i="28"/>
  <c r="G29" i="28"/>
  <c r="D169" i="28"/>
  <c r="F25" i="28"/>
  <c r="G25" i="28"/>
  <c r="D97" i="28"/>
  <c r="K310" i="33"/>
  <c r="K262" i="33"/>
  <c r="F235" i="33"/>
  <c r="F60" i="33"/>
  <c r="F62" i="33"/>
  <c r="F32" i="33"/>
  <c r="K81" i="33"/>
  <c r="J92" i="33"/>
  <c r="K92" i="33"/>
  <c r="K196" i="33"/>
  <c r="K314" i="33"/>
  <c r="I359" i="33"/>
  <c r="K359" i="33"/>
  <c r="F359" i="33"/>
  <c r="F363" i="33"/>
  <c r="F24" i="28"/>
  <c r="G24" i="28"/>
  <c r="D79" i="28"/>
  <c r="E31" i="28"/>
  <c r="G23" i="28"/>
  <c r="D61" i="28"/>
  <c r="F22" i="3"/>
  <c r="F24" i="3"/>
  <c r="F23" i="3"/>
  <c r="B64" i="3"/>
  <c r="C23" i="34"/>
  <c r="C31" i="34"/>
  <c r="C23" i="28"/>
  <c r="C23" i="30"/>
  <c r="B64" i="30"/>
  <c r="D72" i="27"/>
  <c r="B6" i="28"/>
  <c r="F26" i="3"/>
  <c r="K357" i="33"/>
  <c r="K363" i="33"/>
  <c r="K286" i="33"/>
  <c r="F175" i="33"/>
  <c r="I183" i="33"/>
  <c r="K183" i="33"/>
  <c r="F183" i="33"/>
  <c r="F187" i="33"/>
  <c r="J278" i="33"/>
  <c r="K278" i="33"/>
  <c r="K266" i="33"/>
  <c r="K290" i="33"/>
  <c r="F280" i="33"/>
  <c r="K373" i="33"/>
  <c r="I371" i="33"/>
  <c r="K371" i="33"/>
  <c r="F371" i="33"/>
  <c r="F375" i="33"/>
  <c r="C108" i="34"/>
  <c r="C110" i="34"/>
  <c r="C58" i="34"/>
  <c r="C60" i="34"/>
  <c r="F22" i="28"/>
  <c r="K231" i="33"/>
  <c r="K276" i="33"/>
  <c r="I288" i="33"/>
  <c r="K288" i="33"/>
  <c r="F288" i="33"/>
  <c r="F292" i="33"/>
  <c r="I300" i="33"/>
  <c r="K300" i="33"/>
  <c r="F300" i="33"/>
  <c r="I312" i="33"/>
  <c r="K312" i="33"/>
  <c r="F312" i="33"/>
  <c r="F316" i="33"/>
  <c r="K360" i="33"/>
  <c r="C67" i="34"/>
  <c r="C139" i="34"/>
  <c r="C140" i="34"/>
  <c r="C142" i="34"/>
  <c r="E31" i="30"/>
  <c r="F25" i="3"/>
  <c r="F29" i="3"/>
  <c r="D38" i="27"/>
  <c r="N375" i="33"/>
  <c r="M375" i="33"/>
  <c r="B79" i="28"/>
  <c r="B84" i="28"/>
  <c r="C79" i="28"/>
  <c r="N351" i="33"/>
  <c r="M351" i="33"/>
  <c r="B169" i="28"/>
  <c r="B174" i="28"/>
  <c r="C169" i="28"/>
  <c r="D44" i="27"/>
  <c r="D68" i="27"/>
  <c r="D74" i="27"/>
  <c r="D45" i="27"/>
  <c r="F25" i="30"/>
  <c r="G25" i="30"/>
  <c r="D97" i="30"/>
  <c r="F29" i="30"/>
  <c r="G29" i="30"/>
  <c r="D169" i="30"/>
  <c r="F26" i="30"/>
  <c r="G26" i="30"/>
  <c r="D115" i="30"/>
  <c r="F22" i="30"/>
  <c r="F23" i="30"/>
  <c r="G23" i="30"/>
  <c r="D61" i="30"/>
  <c r="F27" i="30"/>
  <c r="G27" i="30"/>
  <c r="D133" i="30"/>
  <c r="F28" i="30"/>
  <c r="G28" i="30"/>
  <c r="D151" i="30"/>
  <c r="B61" i="28"/>
  <c r="C61" i="28"/>
  <c r="K154" i="23"/>
  <c r="I156" i="23"/>
  <c r="K156" i="23"/>
  <c r="D42" i="27"/>
  <c r="B64" i="28"/>
  <c r="C31" i="28"/>
  <c r="G22" i="28"/>
  <c r="C31" i="30"/>
  <c r="I145" i="23"/>
  <c r="K145" i="23"/>
  <c r="K143" i="23"/>
  <c r="K133" i="23"/>
  <c r="J144" i="23"/>
  <c r="F73" i="23"/>
  <c r="F141" i="23"/>
  <c r="F147" i="23"/>
  <c r="F119" i="23"/>
  <c r="F125" i="23"/>
  <c r="F152" i="23"/>
  <c r="F130" i="23"/>
  <c r="F136" i="23"/>
  <c r="F114" i="23"/>
  <c r="F31" i="3"/>
  <c r="B97" i="28"/>
  <c r="B102" i="28"/>
  <c r="C97" i="28"/>
  <c r="M409" i="33"/>
  <c r="N409" i="33"/>
  <c r="F24" i="30"/>
  <c r="G24" i="30"/>
  <c r="D79" i="30"/>
  <c r="M363" i="33"/>
  <c r="N363" i="33"/>
  <c r="F26" i="28"/>
  <c r="G26" i="28"/>
  <c r="D115" i="28"/>
  <c r="F27" i="28"/>
  <c r="G27" i="28"/>
  <c r="D133" i="28"/>
  <c r="F28" i="28"/>
  <c r="G28" i="28"/>
  <c r="D151" i="28"/>
  <c r="F154" i="23"/>
  <c r="M397" i="33"/>
  <c r="N397" i="33"/>
  <c r="F95" i="23"/>
  <c r="C115" i="28"/>
  <c r="B115" i="28"/>
  <c r="B120" i="28"/>
  <c r="B61" i="30"/>
  <c r="B66" i="30"/>
  <c r="C61" i="30"/>
  <c r="B97" i="30"/>
  <c r="B102" i="30"/>
  <c r="C97" i="30"/>
  <c r="C151" i="28"/>
  <c r="B151" i="28"/>
  <c r="B156" i="28"/>
  <c r="F158" i="23"/>
  <c r="B66" i="28"/>
  <c r="F31" i="30"/>
  <c r="G22" i="30"/>
  <c r="J155" i="23"/>
  <c r="K155" i="23"/>
  <c r="K144" i="23"/>
  <c r="F31" i="28"/>
  <c r="B151" i="30"/>
  <c r="B156" i="30"/>
  <c r="C151" i="30"/>
  <c r="C115" i="30"/>
  <c r="B115" i="30"/>
  <c r="B120" i="30"/>
  <c r="D76" i="27"/>
  <c r="D78" i="27"/>
  <c r="B133" i="28"/>
  <c r="B138" i="28"/>
  <c r="C133" i="28"/>
  <c r="B79" i="30"/>
  <c r="B84" i="30"/>
  <c r="C79" i="30"/>
  <c r="D43" i="28"/>
  <c r="G31" i="28"/>
  <c r="B133" i="30"/>
  <c r="B138" i="30"/>
  <c r="C133" i="30"/>
  <c r="B169" i="30"/>
  <c r="B174" i="30"/>
  <c r="C169" i="30"/>
  <c r="D46" i="27"/>
  <c r="D55" i="27"/>
  <c r="D43" i="30"/>
  <c r="G31" i="30"/>
  <c r="D60" i="27"/>
  <c r="D57" i="27"/>
  <c r="G13" i="3"/>
  <c r="G32" i="3"/>
  <c r="B43" i="28"/>
  <c r="B48" i="28"/>
  <c r="C43" i="28"/>
  <c r="G28" i="3"/>
  <c r="D151" i="3"/>
  <c r="G23" i="3"/>
  <c r="D61" i="3"/>
  <c r="G24" i="3"/>
  <c r="D79" i="3"/>
  <c r="G22" i="3"/>
  <c r="G29" i="3"/>
  <c r="D169" i="3"/>
  <c r="G25" i="3"/>
  <c r="D97" i="3"/>
  <c r="G26" i="3"/>
  <c r="D115" i="3"/>
  <c r="G27" i="3"/>
  <c r="D133" i="3"/>
  <c r="B43" i="30"/>
  <c r="B48" i="30"/>
  <c r="C43" i="30"/>
  <c r="B133" i="3"/>
  <c r="B138" i="3"/>
  <c r="B58" i="4"/>
  <c r="B58" i="29"/>
  <c r="B58" i="31"/>
  <c r="D101" i="34"/>
  <c r="C133" i="3"/>
  <c r="D43" i="3"/>
  <c r="G31" i="3"/>
  <c r="C115" i="3"/>
  <c r="B115" i="3"/>
  <c r="B120" i="3"/>
  <c r="B51" i="4"/>
  <c r="B51" i="29"/>
  <c r="B51" i="31"/>
  <c r="D91" i="34"/>
  <c r="B79" i="3"/>
  <c r="B84" i="3"/>
  <c r="B37" i="4"/>
  <c r="B37" i="29"/>
  <c r="B37" i="31"/>
  <c r="D71" i="34"/>
  <c r="F23" i="24"/>
  <c r="J170" i="33"/>
  <c r="C79" i="3"/>
  <c r="B97" i="3"/>
  <c r="B102" i="3"/>
  <c r="B44" i="4"/>
  <c r="B44" i="29"/>
  <c r="B44" i="31"/>
  <c r="D81" i="34"/>
  <c r="F29" i="24"/>
  <c r="J251" i="33"/>
  <c r="C97" i="3"/>
  <c r="B61" i="3"/>
  <c r="B66" i="3"/>
  <c r="B30" i="4"/>
  <c r="B30" i="29"/>
  <c r="B30" i="31"/>
  <c r="D61" i="34"/>
  <c r="F17" i="24"/>
  <c r="C61" i="3"/>
  <c r="B169" i="3"/>
  <c r="B174" i="3"/>
  <c r="C169" i="3"/>
  <c r="B151" i="3"/>
  <c r="B156" i="3"/>
  <c r="C151" i="3"/>
  <c r="B65" i="4"/>
  <c r="B65" i="29"/>
  <c r="B65" i="31"/>
  <c r="D111" i="34"/>
  <c r="F63" i="24"/>
  <c r="B73" i="4"/>
  <c r="B73" i="29"/>
  <c r="B73" i="31"/>
  <c r="D122" i="34"/>
  <c r="J110" i="33"/>
  <c r="J109" i="23"/>
  <c r="J206" i="33"/>
  <c r="K206" i="33"/>
  <c r="K211" i="33"/>
  <c r="J230" i="33"/>
  <c r="K230" i="33"/>
  <c r="K235" i="33"/>
  <c r="J182" i="33"/>
  <c r="K182" i="33"/>
  <c r="K187" i="33"/>
  <c r="J218" i="33"/>
  <c r="K218" i="33"/>
  <c r="K223" i="33"/>
  <c r="J194" i="33"/>
  <c r="K194" i="33"/>
  <c r="K199" i="33"/>
  <c r="K170" i="33"/>
  <c r="K175" i="33"/>
  <c r="B43" i="3"/>
  <c r="B48" i="3"/>
  <c r="C43" i="3"/>
  <c r="B88" i="4"/>
  <c r="B88" i="29"/>
  <c r="B88" i="31"/>
  <c r="D143" i="34"/>
  <c r="F69" i="24"/>
  <c r="B80" i="4"/>
  <c r="B80" i="29"/>
  <c r="B80" i="31"/>
  <c r="D132" i="34"/>
  <c r="J311" i="33"/>
  <c r="K311" i="33"/>
  <c r="K316" i="33"/>
  <c r="J263" i="33"/>
  <c r="K263" i="33"/>
  <c r="K268" i="33"/>
  <c r="J287" i="33"/>
  <c r="K287" i="33"/>
  <c r="K292" i="33"/>
  <c r="J299" i="33"/>
  <c r="K299" i="33"/>
  <c r="K304" i="33"/>
  <c r="J275" i="33"/>
  <c r="K275" i="33"/>
  <c r="K280" i="33"/>
  <c r="K251" i="33"/>
  <c r="K256" i="33"/>
  <c r="M268" i="33"/>
  <c r="N268" i="33"/>
  <c r="N223" i="33"/>
  <c r="M223" i="33"/>
  <c r="J131" i="23"/>
  <c r="K131" i="23"/>
  <c r="K136" i="23"/>
  <c r="J153" i="23"/>
  <c r="K153" i="23"/>
  <c r="K158" i="23"/>
  <c r="J120" i="23"/>
  <c r="K120" i="23"/>
  <c r="K125" i="23"/>
  <c r="J142" i="23"/>
  <c r="K142" i="23"/>
  <c r="K147" i="23"/>
  <c r="K109" i="23"/>
  <c r="K114" i="23"/>
  <c r="N280" i="33"/>
  <c r="M280" i="33"/>
  <c r="M316" i="33"/>
  <c r="N316" i="33"/>
  <c r="B16" i="4"/>
  <c r="B16" i="29"/>
  <c r="B16" i="31"/>
  <c r="D41" i="34"/>
  <c r="F11" i="24"/>
  <c r="B23" i="4"/>
  <c r="B23" i="29"/>
  <c r="B23" i="31"/>
  <c r="D51" i="34"/>
  <c r="M187" i="33"/>
  <c r="N187" i="33"/>
  <c r="J150" i="33"/>
  <c r="K150" i="33"/>
  <c r="K154" i="33"/>
  <c r="J130" i="33"/>
  <c r="K130" i="33"/>
  <c r="K134" i="33"/>
  <c r="J120" i="33"/>
  <c r="K120" i="33"/>
  <c r="K124" i="33"/>
  <c r="J140" i="33"/>
  <c r="K140" i="33"/>
  <c r="K144" i="33"/>
  <c r="K110" i="33"/>
  <c r="K114" i="33"/>
  <c r="M256" i="33"/>
  <c r="N256" i="33"/>
  <c r="N304" i="33"/>
  <c r="M304" i="33"/>
  <c r="M175" i="33"/>
  <c r="N175" i="33"/>
  <c r="M235" i="33"/>
  <c r="N235" i="33"/>
  <c r="M292" i="33"/>
  <c r="N292" i="33"/>
  <c r="N199" i="33"/>
  <c r="M199" i="33"/>
  <c r="M211" i="33"/>
  <c r="N211" i="33"/>
  <c r="M124" i="33"/>
  <c r="N124" i="33"/>
  <c r="M147" i="23"/>
  <c r="N147" i="23"/>
  <c r="N134" i="33"/>
  <c r="M134" i="33"/>
  <c r="M125" i="23"/>
  <c r="N125" i="23"/>
  <c r="N114" i="33"/>
  <c r="M114" i="33"/>
  <c r="N154" i="33"/>
  <c r="M154" i="33"/>
  <c r="J28" i="33"/>
  <c r="J28" i="23"/>
  <c r="N158" i="23"/>
  <c r="M158" i="23"/>
  <c r="M144" i="33"/>
  <c r="N144" i="33"/>
  <c r="N114" i="23"/>
  <c r="M114" i="23"/>
  <c r="N136" i="23"/>
  <c r="M136" i="23"/>
  <c r="J38" i="23"/>
  <c r="K38" i="23"/>
  <c r="K42" i="23"/>
  <c r="J79" i="23"/>
  <c r="K79" i="23"/>
  <c r="K84" i="23"/>
  <c r="J58" i="23"/>
  <c r="K58" i="23"/>
  <c r="K62" i="23"/>
  <c r="J90" i="23"/>
  <c r="K90" i="23"/>
  <c r="K95" i="23"/>
  <c r="J48" i="23"/>
  <c r="K48" i="23"/>
  <c r="K52" i="23"/>
  <c r="J68" i="23"/>
  <c r="K68" i="23"/>
  <c r="K73" i="23"/>
  <c r="K28" i="23"/>
  <c r="K32" i="23"/>
  <c r="J90" i="33"/>
  <c r="K90" i="33"/>
  <c r="K95" i="33"/>
  <c r="J79" i="33"/>
  <c r="K79" i="33"/>
  <c r="K84" i="33"/>
  <c r="J68" i="33"/>
  <c r="K68" i="33"/>
  <c r="K73" i="33"/>
  <c r="K28" i="33"/>
  <c r="K32" i="33"/>
  <c r="J48" i="33"/>
  <c r="K48" i="33"/>
  <c r="K52" i="33"/>
  <c r="J58" i="33"/>
  <c r="K58" i="33"/>
  <c r="K62" i="33"/>
  <c r="J38" i="33"/>
  <c r="K38" i="33"/>
  <c r="K42" i="33"/>
  <c r="M52" i="33"/>
  <c r="N52" i="33"/>
  <c r="M95" i="33"/>
  <c r="N95" i="33"/>
  <c r="M95" i="23"/>
  <c r="N95" i="23"/>
  <c r="N32" i="33"/>
  <c r="M32" i="33"/>
  <c r="M32" i="23"/>
  <c r="N32" i="23"/>
  <c r="N62" i="23"/>
  <c r="M62" i="23"/>
  <c r="N42" i="33"/>
  <c r="M42" i="33"/>
  <c r="M73" i="33"/>
  <c r="N73" i="33"/>
  <c r="M73" i="23"/>
  <c r="N73" i="23"/>
  <c r="N84" i="23"/>
  <c r="M84" i="23"/>
  <c r="N62" i="33"/>
  <c r="M62" i="33"/>
  <c r="N84" i="33"/>
  <c r="M84" i="33"/>
  <c r="M52" i="23"/>
  <c r="N52" i="23"/>
  <c r="N42" i="23"/>
  <c r="M42" i="23"/>
</calcChain>
</file>

<file path=xl/sharedStrings.xml><?xml version="1.0" encoding="utf-8"?>
<sst xmlns="http://schemas.openxmlformats.org/spreadsheetml/2006/main" count="2299" uniqueCount="337">
  <si>
    <t>NAME OF UTILITY</t>
  </si>
  <si>
    <t>LICENCE NUMBER</t>
  </si>
  <si>
    <t>VERSION NUMBER</t>
  </si>
  <si>
    <t>NAME OF CONTACT</t>
  </si>
  <si>
    <t>PHONE NUMBER</t>
  </si>
  <si>
    <t>INTERMEDIATE USE</t>
  </si>
  <si>
    <t>RESIDENTIAL</t>
  </si>
  <si>
    <t>LARGE USE</t>
  </si>
  <si>
    <t>DISTRIBUTION KWH RATE</t>
  </si>
  <si>
    <t>RESIDENTIAL (TIME OF USE)</t>
  </si>
  <si>
    <t>GENERAL SERVICE &lt; 50 KW</t>
  </si>
  <si>
    <t>GENERAL SERVICE &gt; 50 KW (NON TIME OF USE)</t>
  </si>
  <si>
    <t>DISTRIBUTION KW RATE</t>
  </si>
  <si>
    <t>MONTHLY SERVICE CHARGE</t>
  </si>
  <si>
    <t>GENERAL SERVICE &gt; 50 KW (TIME OF USE)</t>
  </si>
  <si>
    <t>GENERAL SERVICE INTERMEDIATE USE</t>
  </si>
  <si>
    <t>SENTINEL LIGHTS (NON TIME OF USE)</t>
  </si>
  <si>
    <t xml:space="preserve">                              OR</t>
  </si>
  <si>
    <t>SENTINEL LIGHTS (TIME OF USE)</t>
  </si>
  <si>
    <t>STREET LIGHTING  (NON TIME OF USE)</t>
  </si>
  <si>
    <t>STREET LIGHTING (TIME OF USE)</t>
  </si>
  <si>
    <t>New Account Setup</t>
  </si>
  <si>
    <t xml:space="preserve">Change of Occupancy </t>
  </si>
  <si>
    <t>Account History</t>
  </si>
  <si>
    <t xml:space="preserve">                       Administration Fee</t>
  </si>
  <si>
    <t xml:space="preserve">                       Current Year Data</t>
  </si>
  <si>
    <t xml:space="preserve">                       Each Additional Year Data</t>
  </si>
  <si>
    <t>Arrear's Certificate</t>
  </si>
  <si>
    <t xml:space="preserve">Late Payment </t>
  </si>
  <si>
    <t>Returned Cheque</t>
  </si>
  <si>
    <t>Collection of Account Charge</t>
  </si>
  <si>
    <t>Disconnect/Reconnect Charges (non payment of account)</t>
  </si>
  <si>
    <t xml:space="preserve">                    At Meter - During Regular Hours</t>
  </si>
  <si>
    <t xml:space="preserve">                    At Meter - After Hours</t>
  </si>
  <si>
    <t>Temporary Pole Service</t>
  </si>
  <si>
    <t>After Hours High Voltage Station Outage</t>
  </si>
  <si>
    <t xml:space="preserve">Residential Service 2nd Visit to Connect New Service </t>
  </si>
  <si>
    <t xml:space="preserve">Residential Service After Hours Visit to Connect New Service </t>
  </si>
  <si>
    <t>E- Mail Address</t>
  </si>
  <si>
    <t>Date</t>
  </si>
  <si>
    <t>kW</t>
  </si>
  <si>
    <t>kWh</t>
  </si>
  <si>
    <t>Distribution Revenues</t>
  </si>
  <si>
    <t>TOTALS</t>
  </si>
  <si>
    <t>RESIDENTIAL CLASS</t>
  </si>
  <si>
    <t>SENTINEL LIGHTS</t>
  </si>
  <si>
    <t>STREET LIGHTING CLASS</t>
  </si>
  <si>
    <t>LARGE USER CLASS</t>
  </si>
  <si>
    <t>-</t>
  </si>
  <si>
    <t>Percentage</t>
  </si>
  <si>
    <t>(D) ADDITIONAL DISTRIBUTION KWH RATE  ($/KWH)  (A)/(B)</t>
  </si>
  <si>
    <t>Residential Class</t>
  </si>
  <si>
    <t>General Service &lt;50kW Class</t>
  </si>
  <si>
    <t>(this amount is added to the kWh rate shown on Sheet 2 and</t>
  </si>
  <si>
    <t>the total new rate appears on the Rate Schedule on Sheet 4)</t>
  </si>
  <si>
    <t>General Service &gt;50kW Class Non TOU</t>
  </si>
  <si>
    <t xml:space="preserve">      (Total in Cell G26 above)</t>
  </si>
  <si>
    <t>(D) ADDITIONAL DISTRIBUTION KW RATE  ($/KW)  (A)/(B)</t>
  </si>
  <si>
    <t>General Service &gt;50kW ClassTOU</t>
  </si>
  <si>
    <t xml:space="preserve">      (Total in Cell G27 above)</t>
  </si>
  <si>
    <t>Intermediate Class</t>
  </si>
  <si>
    <t xml:space="preserve">      (Total in Cell G28 above)</t>
  </si>
  <si>
    <t>Large User Class</t>
  </si>
  <si>
    <t xml:space="preserve">      (Total in Cell G29 above)</t>
  </si>
  <si>
    <t>Streetlighting Class</t>
  </si>
  <si>
    <t>(this amount is added to the kW rate shown on Sheet 2 and</t>
  </si>
  <si>
    <t>Sentinel Lighting Class</t>
  </si>
  <si>
    <t>NON-TIME OF USE</t>
  </si>
  <si>
    <t>RATE</t>
  </si>
  <si>
    <t>CHARGE</t>
  </si>
  <si>
    <t>IMPACT</t>
  </si>
  <si>
    <t>$</t>
  </si>
  <si>
    <t>DOLLARS</t>
  </si>
  <si>
    <t>ENTER DESIRED CONSUMPTION LEVEL</t>
  </si>
  <si>
    <t>GENERAL SERVICE &gt; 50 KW NON TIME OF USE</t>
  </si>
  <si>
    <t>GENERAL SERVICE &gt;50 KW TIME OF USE</t>
  </si>
  <si>
    <t>(enter)</t>
  </si>
  <si>
    <t>n/a</t>
  </si>
  <si>
    <t>%</t>
  </si>
  <si>
    <r>
      <t xml:space="preserve">MONTHLY SERVICE CHARGE </t>
    </r>
    <r>
      <rPr>
        <sz val="8"/>
        <rFont val="Arial"/>
        <family val="2"/>
      </rPr>
      <t>(Per Customer)</t>
    </r>
  </si>
  <si>
    <r>
      <t>MONTHLY SERVICE CHARGE</t>
    </r>
    <r>
      <rPr>
        <sz val="8"/>
        <rFont val="Arial"/>
        <family val="2"/>
      </rPr>
      <t xml:space="preserve"> (Per Customer)</t>
    </r>
  </si>
  <si>
    <r>
      <t xml:space="preserve">MONTHLY SERVICE CHARGE </t>
    </r>
    <r>
      <rPr>
        <sz val="8"/>
        <rFont val="Arial"/>
        <family val="2"/>
      </rPr>
      <t>(Per Customer</t>
    </r>
    <r>
      <rPr>
        <sz val="10"/>
        <rFont val="Arial"/>
      </rPr>
      <t>)</t>
    </r>
  </si>
  <si>
    <r>
      <t xml:space="preserve">MONTHLY SERVICE CHARGE </t>
    </r>
    <r>
      <rPr>
        <sz val="8"/>
        <rFont val="Arial"/>
        <family val="2"/>
      </rPr>
      <t>(Per Connection)</t>
    </r>
  </si>
  <si>
    <t>GENERAL SERVICE &lt;50 KW CLASS</t>
  </si>
  <si>
    <t>GENERAL SERVICE &gt;50 KW NON TIME OF USE</t>
  </si>
  <si>
    <t>MONTHLY CONSUMPTION OF</t>
  </si>
  <si>
    <t>250 kWh</t>
  </si>
  <si>
    <t>100 kWh</t>
  </si>
  <si>
    <t>500 kWh</t>
  </si>
  <si>
    <t>750 kWh</t>
  </si>
  <si>
    <t>1000 kWh</t>
  </si>
  <si>
    <t>1500 kWh</t>
  </si>
  <si>
    <t>2000 kWh</t>
  </si>
  <si>
    <t>MONTHLY CONSUMPTION</t>
  </si>
  <si>
    <t xml:space="preserve"> 1000 kWh</t>
  </si>
  <si>
    <t xml:space="preserve"> 2000 kWh</t>
  </si>
  <si>
    <t xml:space="preserve"> 5000 kWh</t>
  </si>
  <si>
    <t xml:space="preserve"> 10,000 kWh</t>
  </si>
  <si>
    <t>100kW, 40,000kWh</t>
  </si>
  <si>
    <t>500kW, 100,000kWh</t>
  </si>
  <si>
    <t>1000kW, 400,000kWh</t>
  </si>
  <si>
    <t>3,000kW, 1,000,000kWh</t>
  </si>
  <si>
    <t>4,000kW, 1,800,000kWh</t>
  </si>
  <si>
    <t>$/kWh</t>
  </si>
  <si>
    <t>DISTRIBUTION kW</t>
  </si>
  <si>
    <r>
      <t xml:space="preserve">Number of Customers </t>
    </r>
    <r>
      <rPr>
        <b/>
        <sz val="8"/>
        <rFont val="Arial"/>
        <family val="2"/>
      </rPr>
      <t>(Connections)</t>
    </r>
  </si>
  <si>
    <t>Diversity Adjustment Credit (per KW)</t>
  </si>
  <si>
    <t>(discontinued at Market Opening)</t>
  </si>
  <si>
    <t>Winter</t>
  </si>
  <si>
    <t>Summer</t>
  </si>
  <si>
    <t>4000kW, 1,200,000kWh</t>
  </si>
  <si>
    <t>Monthly Service Charge</t>
  </si>
  <si>
    <t>Distribution Volumetric Rate</t>
  </si>
  <si>
    <t>(per month)</t>
  </si>
  <si>
    <t>(per kWh)</t>
  </si>
  <si>
    <t>GENERAL SERVICE &gt; 50 KW (Non Time of Use)</t>
  </si>
  <si>
    <t>(per kW)</t>
  </si>
  <si>
    <t>GENERAL SERVICE &gt; 50 KW (Time of Use)</t>
  </si>
  <si>
    <t>SENTINEL LIGHTS (Non Time of Use)</t>
  </si>
  <si>
    <t>STREET LIGHTING (Time of Use)</t>
  </si>
  <si>
    <t>SHEET 1 - December 31, 2002 Regulatory Assets</t>
  </si>
  <si>
    <t>Enter the total applied-for regulatory asset amounts for each account in the appropriate cells below:</t>
  </si>
  <si>
    <t>(These amounts should correspond to your December 31, 2002 regulatory filings with the OEB.)</t>
  </si>
  <si>
    <t>Description</t>
  </si>
  <si>
    <t>Account</t>
  </si>
  <si>
    <t>Number</t>
  </si>
  <si>
    <t>RSVA - Wholesale Market Service Charge</t>
  </si>
  <si>
    <t>RSVA - Retail Transmission Network Charge</t>
  </si>
  <si>
    <t>RSVA - Retail Transmission Connection Charge</t>
  </si>
  <si>
    <t>RSVA - Power</t>
  </si>
  <si>
    <t>RSVA - One-time Wholesale Market Service</t>
  </si>
  <si>
    <t>Other Regulatory Assets</t>
  </si>
  <si>
    <t>Retail Cost Variance Account - Retail</t>
  </si>
  <si>
    <t>Retail Cost Variance Account - STR</t>
  </si>
  <si>
    <t>Misc. Deferred Debits - incl. Rebate Cheques</t>
  </si>
  <si>
    <t>Deferred Payments in Lieu of Taxes</t>
  </si>
  <si>
    <t>Qualifing Transition Costs</t>
  </si>
  <si>
    <t>Extra-Ordinary Event Losses</t>
  </si>
  <si>
    <t>Deferred Rate Impact Amounts</t>
  </si>
  <si>
    <t>Other Deferred Credits</t>
  </si>
  <si>
    <t>Applied-for</t>
  </si>
  <si>
    <t>Amount</t>
  </si>
  <si>
    <t>Total Applied-for Regulatory Assets</t>
  </si>
  <si>
    <t>(1) Total of 4 RSVA Accounts</t>
  </si>
  <si>
    <t>Enter this amount on Sheet 3</t>
  </si>
  <si>
    <t>SHEET 2 - 2002 Base Rate Schedule</t>
  </si>
  <si>
    <t>(This removes the impact of the recovery of Q4 2001 PILs, 2002 PILs, and any Z-factors or Interim Transition Cost approvals from Existing Rates).</t>
  </si>
  <si>
    <t>Enter the values for your 2002 Base Rates as shown in your 2002 RA Model at Sheet 4.</t>
  </si>
  <si>
    <t>This is the version of the model that was used to determine your current OEB approved rate schedule.</t>
  </si>
  <si>
    <t>Please add your own specific charges as necessary.</t>
  </si>
  <si>
    <t>2002 Statistics by Class</t>
  </si>
  <si>
    <t>Use the Table below to enter the 2002 statistics for your LDC.</t>
  </si>
  <si>
    <t>Enter this amount on Sheet 5</t>
  </si>
  <si>
    <t>If the total of the 4 major RSVA related Regulatory Assets is less than 25% of the total Regualtory Assets applied for,</t>
  </si>
  <si>
    <t>This schedule requires LDCs to input the 2002 statistics which will be used to allocate Regulatory Assets related to the 4 major RSVA accounts.</t>
  </si>
  <si>
    <t>The 4 RSVA related accounts will be allocated to the customer classes on the basis of kWh sales.</t>
  </si>
  <si>
    <t>2002 kWh Shares</t>
  </si>
  <si>
    <t>2002 Reg. Asset RSVA Allocations</t>
  </si>
  <si>
    <t>Allocated Total for 4 major RSVA accounts ==&gt;</t>
  </si>
  <si>
    <t>SHEET 3 - Calculating Rate Increases using 2002 LDC Data and adding the 4 major 2004 RSVA related Approved Regulatory Assets</t>
  </si>
  <si>
    <t xml:space="preserve">The share of class kWh sold in 2002 is used to allocate the approved final Regulatory Asset amounts related to the 4 major RSVA accounts. </t>
  </si>
  <si>
    <t xml:space="preserve">      (Total in Cell G22 above)</t>
  </si>
  <si>
    <t>VARIABLE CHARGE RECOVERY</t>
  </si>
  <si>
    <t>SERVICE CHARGE RECOVERY</t>
  </si>
  <si>
    <t xml:space="preserve">      (Total in Cell G23 above)</t>
  </si>
  <si>
    <t xml:space="preserve">      (Total in Cell G24 above)</t>
  </si>
  <si>
    <t>Regulatory Assets will be recovered only in the distribution kWh charge.</t>
  </si>
  <si>
    <t>Regulatory Assets will be recovered only in the distribution kW charge.</t>
  </si>
  <si>
    <t xml:space="preserve">      (Total in Cell G25 above)</t>
  </si>
  <si>
    <t xml:space="preserve">(A) ALLOCATED 4 Major RSVA Account Recovery </t>
  </si>
  <si>
    <t xml:space="preserve">This schedule includes the 2004 distribution rates which have been adjusted for the recovery of the 4 major RSVA accounts. </t>
  </si>
  <si>
    <t>(B) RETAIL KW in 2002</t>
  </si>
  <si>
    <t>(B) RETAIL kWh in 2002</t>
  </si>
  <si>
    <t>SHEET 5 - Calculating Rate Increases using 2002 LDC Data and additional Interim Regulatory Assets</t>
  </si>
  <si>
    <t>This schedule replicates the 2002 statistics from Sheet 3 which will be used to allocate interim approved Regulatory Asset amounts</t>
  </si>
  <si>
    <t>required to achieve the 25% threshold. (If the 4 major RSVA accounts do not total to 25% or more of total Reguatory Assets applied for.)</t>
  </si>
  <si>
    <t>The interim Regulatory Assets will be allocated to the customer classes on the basis of distribution revenue.</t>
  </si>
  <si>
    <t>2002 Dist. Rev. Shares</t>
  </si>
  <si>
    <t>Allocated Total for additional interim amounts ==&gt;</t>
  </si>
  <si>
    <t>TOTAL 2002 ALLOCATED    4 RSVA Regulatory Asset Recovery</t>
  </si>
  <si>
    <t xml:space="preserve">(A) ALLOCATED Interim Regulatory Asset Recovery </t>
  </si>
  <si>
    <t>enter the additional interim approved amount on Sheet 5.</t>
  </si>
  <si>
    <t>2002 Interim Reg. Asset Allocations</t>
  </si>
  <si>
    <t>TOTAL 2002 ALLOCATED Interim Regulatory Asset Recovery</t>
  </si>
  <si>
    <t>SHEET 4 - 2004 Rates including 2004 Recovery of the 4 Major RSVA Accounts</t>
  </si>
  <si>
    <t>SHEET 6 - 2004 Rates including 2004 Recovery of Interim Regulatory Asset Amounts</t>
  </si>
  <si>
    <t xml:space="preserve">This schedule includes the 2004 distribution rates which have been adjusted for the recovery of interim Regulatory Asset Amounts </t>
  </si>
  <si>
    <t>if required to achieve the 25% Regulatory Asset threshold.</t>
  </si>
  <si>
    <t>SHEET 7 - Calculating Rate Increases using 2002 LDC Data and the 2004 PILs Proxy</t>
  </si>
  <si>
    <t>This schedule replicates the 2002 statistics from Sheet 3 which will be used to allocate the 2004 PILs proxy amount.</t>
  </si>
  <si>
    <t>The PILS proxy amount is the same amount used for the PILs proxy in 2002.</t>
  </si>
  <si>
    <t>The 2004 PILs Proxy will be allocated to the customer classes on the basis of distribution revenue.</t>
  </si>
  <si>
    <t>2004 PILs Proxy Allocations</t>
  </si>
  <si>
    <t>The 2004 PILs proxy will be recovered only in the distribution kWh charge.</t>
  </si>
  <si>
    <t>TOTAL 2004 ALLOCATED PILs Proxy Recovery</t>
  </si>
  <si>
    <t xml:space="preserve">(A) ALLOCATED 2004 PILs Proxy Recovery </t>
  </si>
  <si>
    <t>Schedule of Distribution Rates and Charges</t>
  </si>
  <si>
    <t>SPECIFIC SERVICE CHARGES</t>
  </si>
  <si>
    <t>ADD 2002 OEB APPROVED SPECIFIC SERVICE CHARGES HERE (as on Sheet 2)</t>
  </si>
  <si>
    <t>ADD 2002 OEB APPROVED SPECIFIC SERVICE CHARGES BELOW.</t>
  </si>
  <si>
    <t>Please enter these charges exactly as they are entered on your current approved rate schedule.</t>
  </si>
  <si>
    <t>Effective April 1, 2004 until February 28, 2005</t>
  </si>
  <si>
    <t>(continued)</t>
  </si>
  <si>
    <t>service territory.</t>
  </si>
  <si>
    <t>SHEET 8 - 2004 Rates including Recovery of 2004 PILs</t>
  </si>
  <si>
    <t xml:space="preserve">This schedule includes the 2004 distribution rates which have been adjusted for the recovery of 2004 PILs. </t>
  </si>
  <si>
    <t>Bill Impact Analysis for 2004 Rate Schedule after Regulatory Asset and 2004 PILs Adjustments</t>
  </si>
  <si>
    <t xml:space="preserve">This schedule provides an estimate of bill impacts using the 2004 Rate Schedule which includes the Regulatory Asset Recovery and the 2004 PILs amount. </t>
  </si>
  <si>
    <t>CURRENT 2003 BILL</t>
  </si>
  <si>
    <t xml:space="preserve">Enter your </t>
  </si>
  <si>
    <t>DISTRIBUTION kWh</t>
  </si>
  <si>
    <t>OTHER CHARGES kWh</t>
  </si>
  <si>
    <t>Debt Reduction Charge of $0.007 for a total of $0.0239/kWh.  These charges may differ slightly for your utility.</t>
  </si>
  <si>
    <t>Adjusted 2004 BILL</t>
  </si>
  <si>
    <r>
      <t xml:space="preserve">For the purpose of this estimate, </t>
    </r>
    <r>
      <rPr>
        <b/>
        <sz val="11"/>
        <rFont val="Arial"/>
        <family val="2"/>
      </rPr>
      <t>Other Charges</t>
    </r>
    <r>
      <rPr>
        <sz val="11"/>
        <rFont val="Arial"/>
        <family val="2"/>
      </rPr>
      <t xml:space="preserve"> include Retail Transmission Rate of $0.0107, Wholesale Market Service Rate of $0.0062 and </t>
    </r>
  </si>
  <si>
    <t>2004 BILL (25% of Regulatory Assets, 2004 PILs &amp; Tiered Commodity Price)</t>
  </si>
  <si>
    <t>The 2004 bill also includes the new tiered commodity rate that will come into effect on April 1, 2004.</t>
  </si>
  <si>
    <t>COST OF POWER      kWh</t>
  </si>
  <si>
    <r>
      <t xml:space="preserve">For the purpose of this estimate, </t>
    </r>
    <r>
      <rPr>
        <b/>
        <sz val="11"/>
        <rFont val="Arial"/>
        <family val="2"/>
      </rPr>
      <t>Other Charges</t>
    </r>
    <r>
      <rPr>
        <sz val="11"/>
        <rFont val="Arial"/>
        <family val="2"/>
      </rPr>
      <t xml:space="preserve"> include Retail Transmission Rate of $0.0097, Wholesale Market Service Rate of $0.0062 and </t>
    </r>
  </si>
  <si>
    <t>Debt Reduction Charge of $0.007 for a total of $0.0229/kWh.  These charges may differ slightly for your utility.</t>
  </si>
  <si>
    <t>(commodity price constant)</t>
  </si>
  <si>
    <t>(commodity price increase on April 1, 2004)</t>
  </si>
  <si>
    <r>
      <t xml:space="preserve">The 2004 bill </t>
    </r>
    <r>
      <rPr>
        <u/>
        <sz val="11"/>
        <rFont val="Arial"/>
        <family val="2"/>
      </rPr>
      <t>does not</t>
    </r>
    <r>
      <rPr>
        <sz val="11"/>
        <rFont val="Arial"/>
        <family val="2"/>
      </rPr>
      <t xml:space="preserve"> include the new tiered commodity rate that will come into effect on April 1, 2004.</t>
    </r>
  </si>
  <si>
    <t>Debt Reduction Charge of $0.007 for a total of $0.0239/kWh. These charges may differ slightly for your utility.</t>
  </si>
  <si>
    <t>In addition, consumption has not been adjusted for line losses.</t>
  </si>
  <si>
    <t>2004 BILL (25% of Regulatory Assets, 2004 PILs &amp; Constant Commodity Price)</t>
  </si>
  <si>
    <t xml:space="preserve"> 15,000 KWh</t>
  </si>
  <si>
    <r>
      <t xml:space="preserve">This schedule provides an </t>
    </r>
    <r>
      <rPr>
        <u/>
        <sz val="11"/>
        <rFont val="Arial"/>
        <family val="2"/>
      </rPr>
      <t>estimate</t>
    </r>
    <r>
      <rPr>
        <sz val="11"/>
        <rFont val="Arial"/>
        <family val="2"/>
      </rPr>
      <t xml:space="preserve"> of bill impacts using the 2004 Rate Schedule which includes the Regulatory Asset Recovery and the 2004 PILs amount. </t>
    </r>
  </si>
  <si>
    <t>OTHER CHARGES kW</t>
  </si>
  <si>
    <r>
      <t>COST OF POWER k</t>
    </r>
    <r>
      <rPr>
        <sz val="10"/>
        <rFont val="Arial"/>
        <family val="2"/>
      </rPr>
      <t>Wh</t>
    </r>
  </si>
  <si>
    <r>
      <t xml:space="preserve">For the purpose of this estimate, </t>
    </r>
    <r>
      <rPr>
        <b/>
        <sz val="11"/>
        <rFont val="Arial"/>
        <family val="2"/>
      </rPr>
      <t>Other Charges</t>
    </r>
    <r>
      <rPr>
        <sz val="11"/>
        <rFont val="Arial"/>
        <family val="2"/>
      </rPr>
      <t xml:space="preserve"> include Retail Transmission Rate of $3.91/kW, Wholesale Market Service Rate of $0.0062 and </t>
    </r>
  </si>
  <si>
    <t>Debt Reduction Charge of $0.007 for a total of $0.0132/kWh.  These charges may differ slightly for your utility.</t>
  </si>
  <si>
    <t>Consumption has not been adjusted for line losses.</t>
  </si>
  <si>
    <t>DISTRIBUTION  kW</t>
  </si>
  <si>
    <t>Cost of Power is estimated to be 5 cents/kWh based on the estimate included in the Market Surveillance Panel Market Report of December 17, 2003.  You may have more accurate estimates for your utility.</t>
  </si>
  <si>
    <t>kW/kWh</t>
  </si>
  <si>
    <t>$kW/kWh</t>
  </si>
  <si>
    <r>
      <t xml:space="preserve">For the purpose of this estimate, </t>
    </r>
    <r>
      <rPr>
        <b/>
        <sz val="11"/>
        <rFont val="Arial"/>
        <family val="2"/>
      </rPr>
      <t>Other Charges</t>
    </r>
    <r>
      <rPr>
        <sz val="11"/>
        <rFont val="Arial"/>
        <family val="2"/>
      </rPr>
      <t xml:space="preserve"> include Retail Transmission Rate of $4.2138/kW, Wholesale Market Service Rate of $0.0062 and </t>
    </r>
  </si>
  <si>
    <t>GENERAL SERVICE INTERMEDIATE CLASS</t>
  </si>
  <si>
    <t>3000kW, 800,000 kWh</t>
  </si>
  <si>
    <t>3000kW, 1,000,000kWh</t>
  </si>
  <si>
    <t>4000kW, 1,800,000kWh</t>
  </si>
  <si>
    <t>LARGE USE CLASS</t>
  </si>
  <si>
    <r>
      <t xml:space="preserve">For the purpose of this estimate, </t>
    </r>
    <r>
      <rPr>
        <b/>
        <sz val="11"/>
        <rFont val="Arial"/>
        <family val="2"/>
      </rPr>
      <t>Other Charges</t>
    </r>
    <r>
      <rPr>
        <sz val="11"/>
        <rFont val="Arial"/>
        <family val="2"/>
      </rPr>
      <t xml:space="preserve"> include Retail Transmission Rate of $4.7369/kW, Wholesale Market Service Rate of $0.0062 and </t>
    </r>
  </si>
  <si>
    <t>15000kW, 10,000,000kWh</t>
  </si>
  <si>
    <t>5000 kWh</t>
  </si>
  <si>
    <t>10000 kWh</t>
  </si>
  <si>
    <t>15000 kWh</t>
  </si>
  <si>
    <t>Balance as at Dec. 31, 2002</t>
  </si>
  <si>
    <t>Sub-Total</t>
  </si>
  <si>
    <t>Pre-Market Opening Energy Variances Total</t>
  </si>
  <si>
    <t>Pre-Market Opening Energy Variances - 2001</t>
  </si>
  <si>
    <t>Pre-Market Opening Energy Variances - 2002</t>
  </si>
  <si>
    <t>(a)</t>
  </si>
  <si>
    <t>(b)</t>
  </si>
  <si>
    <t>(c)</t>
  </si>
  <si>
    <t>If (b) is greater than (c) go to Section 1</t>
  </si>
  <si>
    <t>Section 1:   For LDCs with 4 RSVA accounts greater than 25 % of Total:</t>
  </si>
  <si>
    <t>Gross Up for Recovery over 11 months:   Amount (c) x 12/11</t>
  </si>
  <si>
    <t xml:space="preserve">25% of total applied-for Regulatory Asset Accounts:  Amount (c) </t>
  </si>
  <si>
    <t>Remaining Final Amount to be recovered in future periods (b) - (c)</t>
  </si>
  <si>
    <t>If (b) is less than (c) go to Section 2</t>
  </si>
  <si>
    <t>Section 2:   For LDCs with 4 RSVA accounts less than 25 % of Total:</t>
  </si>
  <si>
    <t>Interim Amount to be recovered (c) - (b)</t>
  </si>
  <si>
    <t>(d)</t>
  </si>
  <si>
    <t>Gross Up for Recovery over 11 months:   Amount (d) x 12/11</t>
  </si>
  <si>
    <t xml:space="preserve">          4 RSVA accounts as a percent of total: (b) / (a)</t>
  </si>
  <si>
    <t>(2) 25 % of (a)</t>
  </si>
  <si>
    <t>Approved for 2004 Rate Recovery</t>
  </si>
  <si>
    <t>Approved for Final 2004 Rate Recovery</t>
  </si>
  <si>
    <t>Approved for 2004 Final Recovery</t>
  </si>
  <si>
    <t>Final 4 RSVA Amount as shown at (b)</t>
  </si>
  <si>
    <t>Gross Up for Recovery over 11 months:   Amount (b) x 12/11</t>
  </si>
  <si>
    <t>Total Final + Interim Amount for Recovery (b) + (d) (no gross up)</t>
  </si>
  <si>
    <t>Enter the 2002 PILs proxy amount as approved by the OEB in 2002 and shown on your 2002 RAM model at Sheet 8.</t>
  </si>
  <si>
    <t>(Therefore, entry on Sheet 5 is zero.)</t>
  </si>
  <si>
    <t>Ignore minus sign</t>
  </si>
  <si>
    <t>PILs Contra Account</t>
  </si>
  <si>
    <t>Enter the Approved Regulatory Asset recovery from Sheet 1 at either cell D57 or D72.</t>
  </si>
  <si>
    <t>Enter the Interim Regulatory Asset recovery from Sheet 1 at cell D76.</t>
  </si>
  <si>
    <t>Rate Implementation</t>
  </si>
  <si>
    <t>Check Box</t>
  </si>
  <si>
    <t>Yes or No</t>
  </si>
  <si>
    <t xml:space="preserve">Our utility is able to pro-rate the bill so that consumption before April 1 is at the old rates and </t>
  </si>
  <si>
    <t>new rates until the completion of an entire billing cycle.</t>
  </si>
  <si>
    <t>post April 1 consumption is billed at the new rates.</t>
  </si>
  <si>
    <t xml:space="preserve">Our utility is not able to pro-rate consumption and therefore our customers will not be charged the </t>
  </si>
  <si>
    <t>SHEET 9 - Adjustment to Maintain the Current Service Charge Level</t>
  </si>
  <si>
    <t xml:space="preserve">This sheet adjusts the resulting fixed Monthly Service Charge to maintain the charge at current levels. </t>
  </si>
  <si>
    <t>The kWh distribution rate is then adjusted to maintain revenue neutrality in the class.</t>
  </si>
  <si>
    <t>Difference</t>
  </si>
  <si>
    <t>Variable Rate Adjustment</t>
  </si>
  <si>
    <t>Adjusted Variable Rate</t>
  </si>
  <si>
    <t>$/kW</t>
  </si>
  <si>
    <t>Current Approved Fixed Charge</t>
  </si>
  <si>
    <t>Revenue from Current Monthly Service Charge</t>
  </si>
  <si>
    <t>General Service &lt;50 kW Class</t>
  </si>
  <si>
    <t>Residential Class (Time of Use)</t>
  </si>
  <si>
    <t>Revenue from Calculated Monthly Service Charge (Sheet 8)</t>
  </si>
  <si>
    <t>General Service &gt;50 kW Class (Non Time of Use)</t>
  </si>
  <si>
    <t>General Service &gt;50 kW Class (Time of Use)</t>
  </si>
  <si>
    <t>General Service Intermediate Use Class</t>
  </si>
  <si>
    <t>General Service Large Use Class</t>
  </si>
  <si>
    <t>Sentinal Lights (Non Time of Use)</t>
  </si>
  <si>
    <t>Sentinal Lights (Time of Use)</t>
  </si>
  <si>
    <t>Streetlighting (Non Time of Use)</t>
  </si>
  <si>
    <t>Streetlighting (Time of Use)</t>
  </si>
  <si>
    <t>OR</t>
  </si>
  <si>
    <t>LDCs may amend this schedule to reflect the rate classes that apply in their specific</t>
  </si>
  <si>
    <t>Current Distribution</t>
  </si>
  <si>
    <t xml:space="preserve">Monthly Service Charge is  </t>
  </si>
  <si>
    <t>Transferred from Sheet 9</t>
  </si>
  <si>
    <t>Note:  All Rates are transferred from Sheets 10 and 11.</t>
  </si>
  <si>
    <t>kWh Charge.</t>
  </si>
  <si>
    <r>
      <t xml:space="preserve">Note:  Enter your </t>
    </r>
    <r>
      <rPr>
        <u/>
        <sz val="11"/>
        <rFont val="Arial"/>
        <family val="2"/>
      </rPr>
      <t>current</t>
    </r>
    <r>
      <rPr>
        <sz val="11"/>
        <rFont val="Arial"/>
        <family val="2"/>
      </rPr>
      <t xml:space="preserve"> kWh rates, not the rates on Sheet 2.</t>
    </r>
  </si>
  <si>
    <t>Cost of Power is estimated to be 5.5 cents/kWh based on the estimate included in the Market Surveillance Panel Market Report of December 17, 2003.  You may have more accurate estimates for your utility.</t>
  </si>
  <si>
    <t>6000kW, 2,800,000 kWh</t>
  </si>
  <si>
    <t>Input the current approved Monthly Service Charge in the following table at Column E.</t>
  </si>
  <si>
    <t>You may adjust the rate classes if your LDC has non-standard classes.</t>
  </si>
  <si>
    <t>E.L.K. Energy Inc.</t>
  </si>
  <si>
    <t>Sandra Slater</t>
  </si>
  <si>
    <t>sslater@elkenergyinc.com</t>
  </si>
  <si>
    <t>ED-2003-0015</t>
  </si>
  <si>
    <t>Yes</t>
  </si>
  <si>
    <t>No</t>
  </si>
  <si>
    <t>Per month</t>
  </si>
  <si>
    <t>Dispute involvement charge</t>
  </si>
  <si>
    <t>Transformer allowance credit, less than 115kV(per kW)</t>
  </si>
  <si>
    <t>INTERMEDIATE USE - N/A</t>
  </si>
  <si>
    <t>LARGE USER CLASS - N/A</t>
  </si>
  <si>
    <t>RP-2004-0040</t>
  </si>
  <si>
    <t>EB-2004-0026</t>
  </si>
  <si>
    <t>519-776-5291</t>
  </si>
  <si>
    <t>V1.1</t>
  </si>
  <si>
    <t>GENERAL SERVICE &lt; 50 KW &amp; UNMETERED SCATTERED LOAD</t>
  </si>
  <si>
    <t>Total</t>
  </si>
  <si>
    <t>Additional recovery for rate stability - 20%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</si>
</sst>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$&quot;#,##0_);\(&quot;$&quot;#,##0\)"/>
    <numFmt numFmtId="166" formatCode="&quot;$&quot;#,##0.00_);\(&quot;$&quot;#,##0.00\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000"/>
    <numFmt numFmtId="173" formatCode="#,##0.000_);\(#,##0.000\)"/>
    <numFmt numFmtId="174" formatCode="0.000"/>
    <numFmt numFmtId="175" formatCode="&quot;$&quot;#,##0.0000_);\(&quot;$&quot;#,##0.0000\)"/>
    <numFmt numFmtId="176" formatCode="&quot;$&quot;#,##0.0000"/>
    <numFmt numFmtId="179" formatCode="&quot;$&quot;#,##0.00"/>
    <numFmt numFmtId="181" formatCode="&quot;$&quot;#,##0.00000"/>
    <numFmt numFmtId="182" formatCode="&quot;$&quot;#,##0.000000"/>
    <numFmt numFmtId="185" formatCode="_(* #,##0_);_(* \(#,##0\);_(* &quot;-&quot;??_);_(@_)"/>
    <numFmt numFmtId="196" formatCode="&quot;$&quot;#,##0.000000_);\(&quot;$&quot;#,##0.000000\)"/>
    <numFmt numFmtId="198" formatCode="#,##0.0000_);\(#,##0.0000\)"/>
    <numFmt numFmtId="199" formatCode="#,##0.0000"/>
    <numFmt numFmtId="200" formatCode="0.0%"/>
    <numFmt numFmtId="202" formatCode="_(&quot;$&quot;* #,##0.0000_);_(&quot;$&quot;* \(#,##0.0000\);_(&quot;$&quot;* &quot;-&quot;??_);_(@_)"/>
    <numFmt numFmtId="203" formatCode="#,##0.00000_);\(#,##0.00000\)"/>
    <numFmt numFmtId="206" formatCode="&quot;$&quot;#,##0"/>
  </numFmts>
  <fonts count="1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u/>
      <sz val="7.5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76">
    <xf numFmtId="0" fontId="0" fillId="0" borderId="0" xfId="0"/>
    <xf numFmtId="0" fontId="2" fillId="0" borderId="0" xfId="0" applyFont="1" applyProtection="1">
      <protection locked="0"/>
    </xf>
    <xf numFmtId="15" fontId="0" fillId="0" borderId="0" xfId="0" applyNumberFormat="1"/>
    <xf numFmtId="0" fontId="3" fillId="0" borderId="0" xfId="0" applyFont="1" applyFill="1"/>
    <xf numFmtId="0" fontId="4" fillId="0" borderId="0" xfId="0" applyFont="1"/>
    <xf numFmtId="170" fontId="0" fillId="0" borderId="0" xfId="2" applyFont="1"/>
    <xf numFmtId="0" fontId="0" fillId="0" borderId="0" xfId="0" applyAlignment="1">
      <alignment wrapText="1"/>
    </xf>
    <xf numFmtId="170" fontId="0" fillId="0" borderId="0" xfId="0" applyNumberFormat="1"/>
    <xf numFmtId="170" fontId="0" fillId="0" borderId="0" xfId="2" applyFont="1" applyFill="1" applyBorder="1"/>
    <xf numFmtId="0" fontId="0" fillId="0" borderId="0" xfId="0" quotePrefix="1"/>
    <xf numFmtId="170" fontId="0" fillId="2" borderId="0" xfId="2" applyFont="1" applyFill="1"/>
    <xf numFmtId="0" fontId="0" fillId="0" borderId="0" xfId="0" applyAlignment="1">
      <alignment horizontal="right"/>
    </xf>
    <xf numFmtId="3" fontId="0" fillId="0" borderId="0" xfId="0" applyNumberFormat="1"/>
    <xf numFmtId="175" fontId="0" fillId="0" borderId="0" xfId="2" applyNumberFormat="1" applyFont="1"/>
    <xf numFmtId="176" fontId="0" fillId="0" borderId="0" xfId="0" applyNumberFormat="1"/>
    <xf numFmtId="0" fontId="2" fillId="0" borderId="0" xfId="0" applyFont="1"/>
    <xf numFmtId="176" fontId="0" fillId="0" borderId="0" xfId="0" applyNumberFormat="1" applyAlignment="1">
      <alignment wrapText="1"/>
    </xf>
    <xf numFmtId="179" fontId="0" fillId="0" borderId="0" xfId="0" applyNumberFormat="1"/>
    <xf numFmtId="0" fontId="5" fillId="0" borderId="0" xfId="0" applyFont="1" applyAlignment="1">
      <alignment horizontal="center"/>
    </xf>
    <xf numFmtId="181" fontId="0" fillId="0" borderId="0" xfId="0" applyNumberFormat="1"/>
    <xf numFmtId="182" fontId="0" fillId="0" borderId="0" xfId="0" applyNumberFormat="1"/>
    <xf numFmtId="176" fontId="0" fillId="2" borderId="0" xfId="0" applyNumberFormat="1" applyFill="1"/>
    <xf numFmtId="179" fontId="0" fillId="2" borderId="0" xfId="0" applyNumberFormat="1" applyFill="1"/>
    <xf numFmtId="170" fontId="0" fillId="0" borderId="0" xfId="2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66" fontId="0" fillId="0" borderId="0" xfId="2" applyNumberFormat="1" applyFont="1"/>
    <xf numFmtId="0" fontId="3" fillId="0" borderId="0" xfId="0" applyFont="1"/>
    <xf numFmtId="37" fontId="0" fillId="0" borderId="0" xfId="2" applyNumberFormat="1" applyFont="1" applyAlignment="1">
      <alignment horizontal="center"/>
    </xf>
    <xf numFmtId="171" fontId="0" fillId="0" borderId="0" xfId="2" applyNumberFormat="1" applyFont="1"/>
    <xf numFmtId="166" fontId="0" fillId="0" borderId="0" xfId="2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174" fontId="0" fillId="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" xfId="0" applyBorder="1"/>
    <xf numFmtId="37" fontId="0" fillId="0" borderId="0" xfId="2" applyNumberFormat="1" applyFont="1" applyBorder="1" applyAlignment="1">
      <alignment horizontal="center"/>
    </xf>
    <xf numFmtId="170" fontId="0" fillId="0" borderId="2" xfId="2" applyFont="1" applyBorder="1"/>
    <xf numFmtId="170" fontId="0" fillId="0" borderId="3" xfId="2" applyFont="1" applyBorder="1"/>
    <xf numFmtId="170" fontId="0" fillId="0" borderId="0" xfId="2" applyFont="1" applyBorder="1"/>
    <xf numFmtId="173" fontId="0" fillId="0" borderId="0" xfId="1" applyNumberFormat="1" applyFont="1" applyBorder="1"/>
    <xf numFmtId="171" fontId="0" fillId="0" borderId="0" xfId="1" applyFont="1" applyBorder="1"/>
    <xf numFmtId="170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3" fontId="0" fillId="2" borderId="0" xfId="0" applyNumberFormat="1" applyFill="1" applyBorder="1"/>
    <xf numFmtId="166" fontId="0" fillId="2" borderId="0" xfId="2" applyNumberFormat="1" applyFont="1" applyFill="1" applyBorder="1" applyAlignment="1">
      <alignment horizontal="right"/>
    </xf>
    <xf numFmtId="37" fontId="0" fillId="2" borderId="0" xfId="2" applyNumberFormat="1" applyFont="1" applyFill="1" applyBorder="1"/>
    <xf numFmtId="37" fontId="0" fillId="2" borderId="5" xfId="2" applyNumberFormat="1" applyFont="1" applyFill="1" applyBorder="1"/>
    <xf numFmtId="166" fontId="0" fillId="2" borderId="0" xfId="2" applyNumberFormat="1" applyFont="1" applyFill="1" applyBorder="1"/>
    <xf numFmtId="166" fontId="0" fillId="2" borderId="5" xfId="2" applyNumberFormat="1" applyFont="1" applyFill="1" applyBorder="1"/>
    <xf numFmtId="0" fontId="3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/>
    <xf numFmtId="196" fontId="0" fillId="0" borderId="0" xfId="2" applyNumberFormat="1" applyFont="1"/>
    <xf numFmtId="0" fontId="7" fillId="0" borderId="0" xfId="0" applyFont="1"/>
    <xf numFmtId="0" fontId="8" fillId="0" borderId="0" xfId="0" applyFont="1"/>
    <xf numFmtId="10" fontId="0" fillId="2" borderId="0" xfId="2" applyNumberFormat="1" applyFont="1" applyFill="1"/>
    <xf numFmtId="170" fontId="1" fillId="2" borderId="0" xfId="2" applyFill="1"/>
    <xf numFmtId="170" fontId="1" fillId="0" borderId="0" xfId="2" applyFill="1"/>
    <xf numFmtId="170" fontId="1" fillId="0" borderId="0" xfId="2"/>
    <xf numFmtId="37" fontId="1" fillId="0" borderId="0" xfId="2" applyNumberFormat="1" applyFont="1" applyBorder="1" applyAlignment="1">
      <alignment horizontal="center"/>
    </xf>
    <xf numFmtId="166" fontId="1" fillId="2" borderId="0" xfId="2" applyNumberFormat="1" applyFill="1" applyBorder="1" applyAlignment="1">
      <alignment horizontal="right"/>
    </xf>
    <xf numFmtId="170" fontId="1" fillId="0" borderId="2" xfId="2" applyBorder="1"/>
    <xf numFmtId="166" fontId="1" fillId="0" borderId="0" xfId="2" applyNumberFormat="1"/>
    <xf numFmtId="37" fontId="1" fillId="2" borderId="0" xfId="2" applyNumberFormat="1" applyFill="1" applyBorder="1"/>
    <xf numFmtId="37" fontId="1" fillId="0" borderId="0" xfId="2" applyNumberFormat="1" applyFont="1" applyAlignment="1">
      <alignment horizontal="center"/>
    </xf>
    <xf numFmtId="37" fontId="1" fillId="2" borderId="5" xfId="2" applyNumberFormat="1" applyFill="1" applyBorder="1"/>
    <xf numFmtId="170" fontId="1" fillId="0" borderId="3" xfId="2" applyBorder="1"/>
    <xf numFmtId="166" fontId="1" fillId="0" borderId="0" xfId="2" applyNumberFormat="1" applyBorder="1"/>
    <xf numFmtId="170" fontId="1" fillId="0" borderId="0" xfId="2" applyBorder="1"/>
    <xf numFmtId="173" fontId="1" fillId="0" borderId="0" xfId="1" applyNumberFormat="1" applyBorder="1"/>
    <xf numFmtId="171" fontId="1" fillId="0" borderId="0" xfId="1" applyBorder="1"/>
    <xf numFmtId="171" fontId="1" fillId="0" borderId="0" xfId="2" applyNumberFormat="1"/>
    <xf numFmtId="196" fontId="1" fillId="0" borderId="0" xfId="2" applyNumberFormat="1"/>
    <xf numFmtId="175" fontId="1" fillId="0" borderId="0" xfId="2" applyNumberFormat="1"/>
    <xf numFmtId="0" fontId="9" fillId="0" borderId="0" xfId="0" applyFont="1"/>
    <xf numFmtId="2" fontId="0" fillId="0" borderId="0" xfId="0" applyNumberFormat="1"/>
    <xf numFmtId="0" fontId="10" fillId="0" borderId="0" xfId="0" applyFont="1"/>
    <xf numFmtId="199" fontId="0" fillId="0" borderId="0" xfId="0" applyNumberFormat="1"/>
    <xf numFmtId="200" fontId="0" fillId="0" borderId="0" xfId="0" applyNumberFormat="1"/>
    <xf numFmtId="172" fontId="0" fillId="0" borderId="0" xfId="0" applyNumberFormat="1"/>
    <xf numFmtId="170" fontId="0" fillId="0" borderId="9" xfId="2" applyFont="1" applyBorder="1"/>
    <xf numFmtId="200" fontId="0" fillId="0" borderId="9" xfId="0" applyNumberFormat="1" applyBorder="1"/>
    <xf numFmtId="2" fontId="0" fillId="0" borderId="5" xfId="0" applyNumberFormat="1" applyBorder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2" fontId="4" fillId="0" borderId="0" xfId="0" applyNumberFormat="1" applyFont="1" applyAlignment="1">
      <alignment horizontal="center"/>
    </xf>
    <xf numFmtId="200" fontId="0" fillId="0" borderId="0" xfId="0" applyNumberFormat="1" applyBorder="1"/>
    <xf numFmtId="0" fontId="11" fillId="0" borderId="4" xfId="0" applyFont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176" fontId="0" fillId="0" borderId="0" xfId="0" applyNumberFormat="1" applyFill="1"/>
    <xf numFmtId="176" fontId="0" fillId="0" borderId="0" xfId="0" applyNumberFormat="1" applyAlignment="1">
      <alignment horizontal="center"/>
    </xf>
    <xf numFmtId="0" fontId="13" fillId="0" borderId="0" xfId="0" applyFont="1" applyAlignment="1"/>
    <xf numFmtId="170" fontId="1" fillId="0" borderId="0" xfId="2" applyFont="1"/>
    <xf numFmtId="203" fontId="1" fillId="0" borderId="0" xfId="2" applyNumberFormat="1"/>
    <xf numFmtId="198" fontId="1" fillId="0" borderId="0" xfId="2" applyNumberFormat="1"/>
    <xf numFmtId="170" fontId="1" fillId="0" borderId="9" xfId="2" applyBorder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15" fontId="0" fillId="2" borderId="0" xfId="0" applyNumberFormat="1" applyFill="1"/>
    <xf numFmtId="0" fontId="3" fillId="0" borderId="0" xfId="0" applyFont="1" applyProtection="1">
      <protection locked="0"/>
    </xf>
    <xf numFmtId="0" fontId="1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4" fillId="0" borderId="0" xfId="0" applyFont="1" applyBorder="1" applyAlignment="1">
      <alignment horizontal="center"/>
    </xf>
    <xf numFmtId="170" fontId="4" fillId="0" borderId="0" xfId="2" applyFont="1" applyBorder="1" applyAlignment="1">
      <alignment horizontal="center"/>
    </xf>
    <xf numFmtId="0" fontId="0" fillId="0" borderId="10" xfId="0" applyBorder="1"/>
    <xf numFmtId="37" fontId="0" fillId="2" borderId="0" xfId="2" applyNumberFormat="1" applyFont="1" applyFill="1" applyBorder="1" applyAlignment="1">
      <alignment horizontal="right"/>
    </xf>
    <xf numFmtId="166" fontId="0" fillId="2" borderId="0" xfId="1" applyNumberFormat="1" applyFont="1" applyFill="1" applyBorder="1"/>
    <xf numFmtId="171" fontId="0" fillId="0" borderId="0" xfId="1" applyNumberFormat="1" applyFont="1" applyBorder="1"/>
    <xf numFmtId="166" fontId="1" fillId="2" borderId="0" xfId="1" applyNumberFormat="1" applyFill="1" applyBorder="1"/>
    <xf numFmtId="179" fontId="0" fillId="2" borderId="0" xfId="2" applyNumberFormat="1" applyFont="1" applyFill="1" applyBorder="1" applyAlignment="1">
      <alignment horizontal="right"/>
    </xf>
    <xf numFmtId="166" fontId="1" fillId="2" borderId="5" xfId="2" applyNumberFormat="1" applyFill="1" applyBorder="1" applyAlignment="1">
      <alignment horizontal="right"/>
    </xf>
    <xf numFmtId="0" fontId="14" fillId="0" borderId="0" xfId="0" applyFont="1"/>
    <xf numFmtId="0" fontId="11" fillId="0" borderId="0" xfId="0" applyFont="1" applyProtection="1">
      <protection locked="0"/>
    </xf>
    <xf numFmtId="170" fontId="1" fillId="0" borderId="10" xfId="2" applyBorder="1"/>
    <xf numFmtId="198" fontId="1" fillId="0" borderId="10" xfId="2" applyNumberFormat="1" applyBorder="1"/>
    <xf numFmtId="185" fontId="1" fillId="0" borderId="0" xfId="1" applyNumberFormat="1"/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76" fontId="6" fillId="0" borderId="0" xfId="0" applyNumberFormat="1" applyFont="1"/>
    <xf numFmtId="179" fontId="6" fillId="0" borderId="0" xfId="0" applyNumberFormat="1" applyFont="1"/>
    <xf numFmtId="181" fontId="6" fillId="0" borderId="0" xfId="0" applyNumberFormat="1" applyFont="1"/>
    <xf numFmtId="176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13" fillId="0" borderId="0" xfId="0" applyFont="1" applyFill="1"/>
    <xf numFmtId="176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79" fontId="0" fillId="0" borderId="0" xfId="0" applyNumberFormat="1" applyFill="1"/>
    <xf numFmtId="176" fontId="0" fillId="0" borderId="0" xfId="0" applyNumberFormat="1" applyFill="1" applyAlignment="1">
      <alignment horizontal="center"/>
    </xf>
    <xf numFmtId="179" fontId="0" fillId="0" borderId="0" xfId="0" applyNumberForma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4" fillId="0" borderId="0" xfId="0" applyFont="1" applyFill="1"/>
    <xf numFmtId="10" fontId="1" fillId="0" borderId="0" xfId="2" applyNumberFormat="1" applyFill="1"/>
    <xf numFmtId="0" fontId="14" fillId="0" borderId="0" xfId="0" applyFont="1" applyFill="1" applyAlignment="1">
      <alignment horizontal="right"/>
    </xf>
    <xf numFmtId="0" fontId="16" fillId="0" borderId="0" xfId="0" applyFont="1" applyFill="1"/>
    <xf numFmtId="0" fontId="14" fillId="0" borderId="0" xfId="0" applyFont="1" applyFill="1" applyAlignment="1">
      <alignment wrapText="1"/>
    </xf>
    <xf numFmtId="176" fontId="14" fillId="0" borderId="0" xfId="0" applyNumberFormat="1" applyFont="1" applyFill="1"/>
    <xf numFmtId="179" fontId="14" fillId="0" borderId="0" xfId="0" applyNumberFormat="1" applyFont="1" applyFill="1"/>
    <xf numFmtId="0" fontId="14" fillId="0" borderId="0" xfId="0" applyNumberFormat="1" applyFont="1" applyFill="1"/>
    <xf numFmtId="176" fontId="14" fillId="0" borderId="0" xfId="0" applyNumberFormat="1" applyFont="1" applyFill="1" applyAlignment="1">
      <alignment horizontal="center"/>
    </xf>
    <xf numFmtId="179" fontId="14" fillId="0" borderId="0" xfId="0" applyNumberFormat="1" applyFont="1" applyFill="1" applyAlignment="1">
      <alignment horizontal="center"/>
    </xf>
    <xf numFmtId="176" fontId="14" fillId="0" borderId="0" xfId="0" applyNumberFormat="1" applyFont="1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76" fontId="11" fillId="0" borderId="0" xfId="0" applyNumberFormat="1" applyFont="1" applyFill="1" applyAlignment="1">
      <alignment horizontal="center" wrapText="1"/>
    </xf>
    <xf numFmtId="0" fontId="14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206" fontId="14" fillId="0" borderId="0" xfId="0" applyNumberFormat="1" applyFont="1" applyFill="1"/>
    <xf numFmtId="206" fontId="14" fillId="0" borderId="0" xfId="0" applyNumberFormat="1" applyFont="1" applyFill="1" applyAlignment="1">
      <alignment horizontal="right"/>
    </xf>
    <xf numFmtId="200" fontId="14" fillId="0" borderId="0" xfId="0" applyNumberFormat="1" applyFont="1" applyFill="1"/>
    <xf numFmtId="176" fontId="0" fillId="0" borderId="11" xfId="0" applyNumberFormat="1" applyFill="1" applyBorder="1"/>
    <xf numFmtId="206" fontId="14" fillId="0" borderId="11" xfId="0" applyNumberFormat="1" applyFont="1" applyFill="1" applyBorder="1"/>
    <xf numFmtId="176" fontId="0" fillId="0" borderId="12" xfId="0" applyNumberFormat="1" applyFill="1" applyBorder="1"/>
    <xf numFmtId="0" fontId="0" fillId="0" borderId="1" xfId="0" applyFill="1" applyBorder="1"/>
    <xf numFmtId="179" fontId="0" fillId="0" borderId="0" xfId="0" applyNumberFormat="1" applyFill="1" applyBorder="1"/>
    <xf numFmtId="176" fontId="0" fillId="0" borderId="0" xfId="0" applyNumberFormat="1" applyFill="1" applyBorder="1"/>
    <xf numFmtId="176" fontId="0" fillId="0" borderId="2" xfId="0" applyNumberFormat="1" applyFill="1" applyBorder="1"/>
    <xf numFmtId="0" fontId="0" fillId="0" borderId="4" xfId="0" applyFill="1" applyBorder="1"/>
    <xf numFmtId="176" fontId="0" fillId="0" borderId="5" xfId="0" applyNumberFormat="1" applyFill="1" applyBorder="1"/>
    <xf numFmtId="179" fontId="0" fillId="0" borderId="5" xfId="0" applyNumberFormat="1" applyFill="1" applyBorder="1"/>
    <xf numFmtId="176" fontId="0" fillId="0" borderId="3" xfId="0" applyNumberFormat="1" applyFill="1" applyBorder="1"/>
    <xf numFmtId="0" fontId="11" fillId="0" borderId="1" xfId="0" applyFont="1" applyFill="1" applyBorder="1"/>
    <xf numFmtId="176" fontId="14" fillId="0" borderId="0" xfId="0" applyNumberFormat="1" applyFont="1" applyFill="1" applyBorder="1"/>
    <xf numFmtId="206" fontId="14" fillId="0" borderId="9" xfId="0" applyNumberFormat="1" applyFont="1" applyFill="1" applyBorder="1"/>
    <xf numFmtId="176" fontId="14" fillId="0" borderId="2" xfId="0" applyNumberFormat="1" applyFont="1" applyFill="1" applyBorder="1"/>
    <xf numFmtId="179" fontId="14" fillId="0" borderId="0" xfId="0" applyNumberFormat="1" applyFont="1" applyFill="1" applyBorder="1"/>
    <xf numFmtId="0" fontId="14" fillId="0" borderId="1" xfId="0" applyFont="1" applyFill="1" applyBorder="1"/>
    <xf numFmtId="206" fontId="14" fillId="0" borderId="0" xfId="0" applyNumberFormat="1" applyFont="1" applyFill="1" applyBorder="1"/>
    <xf numFmtId="0" fontId="14" fillId="0" borderId="1" xfId="0" applyFont="1" applyBorder="1"/>
    <xf numFmtId="3" fontId="0" fillId="2" borderId="5" xfId="0" applyNumberFormat="1" applyFill="1" applyBorder="1"/>
    <xf numFmtId="37" fontId="0" fillId="2" borderId="5" xfId="2" applyNumberFormat="1" applyFont="1" applyFill="1" applyBorder="1" applyAlignment="1">
      <alignment horizontal="right"/>
    </xf>
    <xf numFmtId="200" fontId="0" fillId="0" borderId="0" xfId="2" applyNumberFormat="1" applyFont="1" applyBorder="1" applyAlignment="1">
      <alignment horizontal="center"/>
    </xf>
    <xf numFmtId="200" fontId="0" fillId="0" borderId="5" xfId="2" applyNumberFormat="1" applyFont="1" applyBorder="1" applyAlignment="1">
      <alignment horizontal="center"/>
    </xf>
    <xf numFmtId="3" fontId="0" fillId="2" borderId="0" xfId="1" applyNumberFormat="1" applyFont="1" applyFill="1" applyBorder="1"/>
    <xf numFmtId="170" fontId="1" fillId="0" borderId="0" xfId="2" applyFill="1" applyBorder="1"/>
    <xf numFmtId="37" fontId="1" fillId="2" borderId="0" xfId="2" applyNumberFormat="1" applyFont="1" applyFill="1" applyBorder="1" applyAlignment="1">
      <alignment horizontal="right"/>
    </xf>
    <xf numFmtId="200" fontId="1" fillId="0" borderId="0" xfId="2" applyNumberFormat="1" applyBorder="1" applyAlignment="1">
      <alignment horizontal="center"/>
    </xf>
    <xf numFmtId="37" fontId="1" fillId="2" borderId="5" xfId="2" applyNumberFormat="1" applyFont="1" applyFill="1" applyBorder="1" applyAlignment="1">
      <alignment horizontal="right"/>
    </xf>
    <xf numFmtId="200" fontId="1" fillId="0" borderId="5" xfId="2" applyNumberFormat="1" applyBorder="1" applyAlignment="1">
      <alignment horizontal="center"/>
    </xf>
    <xf numFmtId="3" fontId="1" fillId="2" borderId="0" xfId="1" applyNumberFormat="1" applyFill="1" applyBorder="1"/>
    <xf numFmtId="171" fontId="1" fillId="0" borderId="0" xfId="1" applyNumberFormat="1" applyBorder="1"/>
    <xf numFmtId="179" fontId="14" fillId="0" borderId="0" xfId="0" applyNumberFormat="1" applyFont="1" applyBorder="1"/>
    <xf numFmtId="206" fontId="14" fillId="0" borderId="13" xfId="0" applyNumberFormat="1" applyFont="1" applyBorder="1"/>
    <xf numFmtId="0" fontId="14" fillId="0" borderId="0" xfId="0" applyFont="1" applyAlignment="1">
      <alignment horizontal="center"/>
    </xf>
    <xf numFmtId="179" fontId="10" fillId="0" borderId="0" xfId="0" applyNumberFormat="1" applyFont="1" applyAlignment="1">
      <alignment horizontal="center"/>
    </xf>
    <xf numFmtId="170" fontId="1" fillId="2" borderId="0" xfId="2" applyFont="1" applyFill="1"/>
    <xf numFmtId="199" fontId="0" fillId="2" borderId="0" xfId="0" applyNumberFormat="1" applyFill="1"/>
    <xf numFmtId="199" fontId="0" fillId="0" borderId="0" xfId="0" applyNumberFormat="1" applyFill="1"/>
    <xf numFmtId="185" fontId="1" fillId="0" borderId="0" xfId="1" applyNumberFormat="1" applyAlignment="1">
      <alignment horizontal="right"/>
    </xf>
    <xf numFmtId="3" fontId="0" fillId="0" borderId="0" xfId="0" applyNumberFormat="1" applyAlignment="1">
      <alignment horizontal="right"/>
    </xf>
    <xf numFmtId="2" fontId="0" fillId="0" borderId="0" xfId="0" applyNumberFormat="1" applyBorder="1"/>
    <xf numFmtId="0" fontId="3" fillId="0" borderId="0" xfId="0" applyFont="1" applyBorder="1"/>
    <xf numFmtId="198" fontId="1" fillId="0" borderId="0" xfId="2" applyNumberFormat="1" applyBorder="1"/>
    <xf numFmtId="0" fontId="11" fillId="0" borderId="0" xfId="0" applyFont="1" applyBorder="1"/>
    <xf numFmtId="0" fontId="4" fillId="0" borderId="0" xfId="0" applyFont="1" applyBorder="1"/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12" fillId="0" borderId="0" xfId="0" applyFon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70" fontId="1" fillId="0" borderId="0" xfId="2" applyFont="1" applyBorder="1"/>
    <xf numFmtId="199" fontId="0" fillId="0" borderId="0" xfId="0" applyNumberFormat="1" applyBorder="1"/>
    <xf numFmtId="203" fontId="1" fillId="0" borderId="0" xfId="2" applyNumberFormat="1" applyBorder="1"/>
    <xf numFmtId="0" fontId="0" fillId="0" borderId="0" xfId="0" applyBorder="1" applyAlignment="1">
      <alignment wrapText="1"/>
    </xf>
    <xf numFmtId="185" fontId="1" fillId="0" borderId="0" xfId="1" applyNumberFormat="1" applyBorder="1"/>
    <xf numFmtId="172" fontId="0" fillId="0" borderId="0" xfId="0" applyNumberFormat="1" applyBorder="1"/>
    <xf numFmtId="3" fontId="0" fillId="0" borderId="0" xfId="0" applyNumberFormat="1" applyBorder="1"/>
    <xf numFmtId="170" fontId="4" fillId="0" borderId="0" xfId="2" applyFont="1" applyBorder="1"/>
    <xf numFmtId="0" fontId="0" fillId="0" borderId="10" xfId="0" applyBorder="1" applyAlignment="1">
      <alignment wrapText="1"/>
    </xf>
    <xf numFmtId="172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/>
    <xf numFmtId="199" fontId="0" fillId="0" borderId="10" xfId="0" applyNumberFormat="1" applyBorder="1"/>
    <xf numFmtId="185" fontId="1" fillId="0" borderId="10" xfId="1" applyNumberFormat="1" applyBorder="1"/>
    <xf numFmtId="200" fontId="0" fillId="0" borderId="10" xfId="0" applyNumberFormat="1" applyBorder="1"/>
    <xf numFmtId="179" fontId="14" fillId="0" borderId="5" xfId="0" applyNumberFormat="1" applyFont="1" applyFill="1" applyBorder="1" applyAlignment="1">
      <alignment horizontal="center"/>
    </xf>
    <xf numFmtId="206" fontId="14" fillId="0" borderId="14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16" fillId="0" borderId="0" xfId="0" applyFont="1" applyBorder="1"/>
    <xf numFmtId="0" fontId="11" fillId="0" borderId="1" xfId="0" applyFont="1" applyFill="1" applyBorder="1" applyAlignment="1">
      <alignment horizontal="left"/>
    </xf>
    <xf numFmtId="0" fontId="13" fillId="0" borderId="5" xfId="0" applyFont="1" applyFill="1" applyBorder="1"/>
    <xf numFmtId="176" fontId="11" fillId="0" borderId="0" xfId="0" applyNumberFormat="1" applyFont="1" applyFill="1" applyAlignment="1">
      <alignment horizontal="center"/>
    </xf>
    <xf numFmtId="206" fontId="14" fillId="2" borderId="0" xfId="0" applyNumberFormat="1" applyFont="1" applyFill="1"/>
    <xf numFmtId="206" fontId="14" fillId="2" borderId="5" xfId="0" applyNumberFormat="1" applyFont="1" applyFill="1" applyBorder="1"/>
    <xf numFmtId="206" fontId="14" fillId="2" borderId="0" xfId="0" applyNumberFormat="1" applyFont="1" applyFill="1" applyAlignment="1">
      <alignment horizontal="right"/>
    </xf>
    <xf numFmtId="15" fontId="14" fillId="2" borderId="0" xfId="0" applyNumberFormat="1" applyFont="1" applyFill="1"/>
    <xf numFmtId="15" fontId="10" fillId="2" borderId="0" xfId="0" applyNumberFormat="1" applyFont="1" applyFill="1"/>
    <xf numFmtId="0" fontId="7" fillId="0" borderId="0" xfId="0" applyFont="1" applyFill="1"/>
    <xf numFmtId="176" fontId="4" fillId="0" borderId="0" xfId="0" applyNumberFormat="1" applyFont="1" applyFill="1" applyAlignment="1">
      <alignment horizontal="center"/>
    </xf>
    <xf numFmtId="176" fontId="0" fillId="0" borderId="13" xfId="0" applyNumberForma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 vertical="top" wrapText="1"/>
    </xf>
    <xf numFmtId="170" fontId="0" fillId="0" borderId="0" xfId="0" applyNumberFormat="1" applyBorder="1"/>
    <xf numFmtId="166" fontId="1" fillId="2" borderId="2" xfId="1" applyNumberFormat="1" applyFill="1" applyBorder="1"/>
    <xf numFmtId="166" fontId="6" fillId="2" borderId="2" xfId="2" applyNumberFormat="1" applyFont="1" applyFill="1" applyBorder="1" applyAlignment="1">
      <alignment horizontal="right"/>
    </xf>
    <xf numFmtId="0" fontId="0" fillId="0" borderId="15" xfId="0" applyBorder="1"/>
    <xf numFmtId="166" fontId="10" fillId="2" borderId="16" xfId="2" applyNumberFormat="1" applyFont="1" applyFill="1" applyBorder="1" applyAlignment="1">
      <alignment horizontal="right"/>
    </xf>
    <xf numFmtId="166" fontId="10" fillId="2" borderId="17" xfId="2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202" fontId="10" fillId="0" borderId="0" xfId="0" applyNumberFormat="1" applyFont="1"/>
    <xf numFmtId="164" fontId="10" fillId="0" borderId="0" xfId="0" applyNumberFormat="1" applyFont="1"/>
    <xf numFmtId="164" fontId="10" fillId="0" borderId="0" xfId="2" applyNumberFormat="1" applyFont="1"/>
    <xf numFmtId="202" fontId="10" fillId="0" borderId="13" xfId="2" applyNumberFormat="1" applyFont="1" applyBorder="1"/>
    <xf numFmtId="0" fontId="10" fillId="0" borderId="0" xfId="0" applyNumberFormat="1" applyFont="1"/>
    <xf numFmtId="4" fontId="10" fillId="0" borderId="0" xfId="0" applyNumberFormat="1" applyFont="1"/>
    <xf numFmtId="0" fontId="4" fillId="0" borderId="9" xfId="0" applyFont="1" applyBorder="1" applyAlignment="1">
      <alignment horizontal="center" vertical="top" wrapText="1"/>
    </xf>
    <xf numFmtId="174" fontId="0" fillId="0" borderId="0" xfId="0" applyNumberFormat="1" applyFill="1" applyAlignment="1">
      <alignment horizontal="center"/>
    </xf>
    <xf numFmtId="199" fontId="10" fillId="0" borderId="0" xfId="0" applyNumberFormat="1" applyFont="1"/>
    <xf numFmtId="166" fontId="1" fillId="2" borderId="0" xfId="2" applyNumberFormat="1" applyFont="1" applyFill="1"/>
    <xf numFmtId="15" fontId="18" fillId="2" borderId="0" xfId="3" applyNumberFormat="1" applyFill="1" applyAlignment="1" applyProtection="1"/>
    <xf numFmtId="10" fontId="0" fillId="0" borderId="0" xfId="2" applyNumberFormat="1" applyFont="1"/>
    <xf numFmtId="10" fontId="0" fillId="0" borderId="0" xfId="2" applyNumberFormat="1" applyFont="1" applyFill="1"/>
    <xf numFmtId="0" fontId="4" fillId="0" borderId="4" xfId="0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later@elkenergyinc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zoomScale="75" workbookViewId="0">
      <selection activeCell="H8" sqref="H8"/>
    </sheetView>
  </sheetViews>
  <sheetFormatPr defaultRowHeight="12.75" x14ac:dyDescent="0.2"/>
  <cols>
    <col min="1" max="1" width="44.85546875" customWidth="1"/>
    <col min="2" max="2" width="14.7109375" customWidth="1"/>
    <col min="3" max="3" width="20.5703125" customWidth="1"/>
    <col min="4" max="4" width="14.140625" customWidth="1"/>
    <col min="5" max="5" width="19.42578125" customWidth="1"/>
    <col min="6" max="6" width="18.42578125" customWidth="1"/>
    <col min="7" max="7" width="2.5703125" customWidth="1"/>
    <col min="8" max="8" width="17.5703125" customWidth="1"/>
  </cols>
  <sheetData>
    <row r="1" spans="1:7" ht="18" x14ac:dyDescent="0.25">
      <c r="A1" s="15" t="s">
        <v>120</v>
      </c>
      <c r="D1" s="137" t="s">
        <v>333</v>
      </c>
    </row>
    <row r="3" spans="1:7" ht="18" x14ac:dyDescent="0.25">
      <c r="A3" s="111" t="s">
        <v>0</v>
      </c>
      <c r="B3" s="112" t="s">
        <v>319</v>
      </c>
      <c r="C3" s="108"/>
      <c r="E3" s="111" t="s">
        <v>1</v>
      </c>
      <c r="F3" s="109" t="s">
        <v>322</v>
      </c>
    </row>
    <row r="4" spans="1:7" ht="18" x14ac:dyDescent="0.25">
      <c r="A4" s="111" t="s">
        <v>3</v>
      </c>
      <c r="B4" s="107" t="s">
        <v>320</v>
      </c>
      <c r="C4" s="15"/>
      <c r="E4" s="111" t="s">
        <v>4</v>
      </c>
      <c r="F4" s="107" t="s">
        <v>332</v>
      </c>
    </row>
    <row r="5" spans="1:7" ht="18" x14ac:dyDescent="0.25">
      <c r="A5" s="27" t="s">
        <v>38</v>
      </c>
      <c r="B5" s="268" t="s">
        <v>321</v>
      </c>
      <c r="C5" s="15"/>
    </row>
    <row r="6" spans="1:7" ht="18" x14ac:dyDescent="0.25">
      <c r="A6" s="111" t="s">
        <v>2</v>
      </c>
      <c r="B6" s="107">
        <v>1</v>
      </c>
      <c r="C6" s="15"/>
    </row>
    <row r="7" spans="1:7" ht="15.75" x14ac:dyDescent="0.25">
      <c r="A7" s="27" t="s">
        <v>39</v>
      </c>
      <c r="B7" s="110">
        <v>38031</v>
      </c>
    </row>
    <row r="8" spans="1:7" ht="18" x14ac:dyDescent="0.25">
      <c r="C8" s="15"/>
    </row>
    <row r="9" spans="1:7" ht="16.5" customHeight="1" x14ac:dyDescent="0.3">
      <c r="A9" s="125" t="s">
        <v>121</v>
      </c>
      <c r="C9" s="4"/>
      <c r="D9" s="18"/>
    </row>
    <row r="10" spans="1:7" ht="14.25" customHeight="1" x14ac:dyDescent="0.3">
      <c r="A10" s="125" t="s">
        <v>122</v>
      </c>
      <c r="B10" s="2"/>
      <c r="C10" s="4"/>
      <c r="D10" s="18"/>
    </row>
    <row r="11" spans="1:7" ht="14.25" customHeight="1" x14ac:dyDescent="0.3">
      <c r="A11" s="125"/>
      <c r="B11" s="2"/>
      <c r="C11" s="4"/>
      <c r="D11" s="18"/>
    </row>
    <row r="12" spans="1:7" ht="13.5" customHeight="1" x14ac:dyDescent="0.3">
      <c r="A12" s="62"/>
      <c r="B12" s="2"/>
      <c r="C12" s="4"/>
      <c r="D12" s="18"/>
    </row>
    <row r="13" spans="1:7" ht="15" customHeight="1" x14ac:dyDescent="0.25">
      <c r="A13" s="15"/>
      <c r="B13" s="2"/>
      <c r="C13" s="4"/>
      <c r="D13" s="163" t="s">
        <v>140</v>
      </c>
    </row>
    <row r="14" spans="1:7" ht="15" x14ac:dyDescent="0.25">
      <c r="A14" s="159" t="s">
        <v>123</v>
      </c>
      <c r="B14" s="160" t="s">
        <v>124</v>
      </c>
      <c r="C14" s="150"/>
      <c r="D14" s="160" t="s">
        <v>141</v>
      </c>
      <c r="E14" s="139"/>
      <c r="F14" s="139"/>
    </row>
    <row r="15" spans="1:7" ht="14.25" customHeight="1" x14ac:dyDescent="0.25">
      <c r="A15" s="151"/>
      <c r="B15" s="161" t="s">
        <v>125</v>
      </c>
      <c r="C15" s="152"/>
      <c r="D15" s="160" t="s">
        <v>248</v>
      </c>
      <c r="E15" s="100"/>
      <c r="F15" s="138"/>
      <c r="G15" s="14"/>
    </row>
    <row r="16" spans="1:7" ht="14.25" x14ac:dyDescent="0.2">
      <c r="A16" s="148"/>
      <c r="B16" s="153"/>
      <c r="C16" s="153"/>
      <c r="D16" s="154"/>
      <c r="E16" s="100"/>
      <c r="F16" s="100"/>
      <c r="G16" s="14"/>
    </row>
    <row r="17" spans="1:7" ht="14.25" x14ac:dyDescent="0.2">
      <c r="A17" s="148" t="s">
        <v>126</v>
      </c>
      <c r="B17" s="162">
        <v>1580</v>
      </c>
      <c r="C17" s="153"/>
      <c r="D17" s="241">
        <v>430522.71</v>
      </c>
      <c r="E17" s="100"/>
      <c r="F17" s="100"/>
      <c r="G17" s="14"/>
    </row>
    <row r="18" spans="1:7" ht="14.25" x14ac:dyDescent="0.2">
      <c r="A18" s="148" t="s">
        <v>127</v>
      </c>
      <c r="B18" s="162">
        <v>1584</v>
      </c>
      <c r="C18" s="153"/>
      <c r="D18" s="241">
        <v>45864.1</v>
      </c>
      <c r="E18" s="100"/>
      <c r="F18" s="100"/>
      <c r="G18" s="14"/>
    </row>
    <row r="19" spans="1:7" ht="14.25" x14ac:dyDescent="0.2">
      <c r="A19" s="148" t="s">
        <v>128</v>
      </c>
      <c r="B19" s="162">
        <v>1586</v>
      </c>
      <c r="C19" s="153"/>
      <c r="D19" s="241">
        <v>-24979.88</v>
      </c>
      <c r="E19" s="100"/>
      <c r="F19" s="100"/>
      <c r="G19" s="14"/>
    </row>
    <row r="20" spans="1:7" ht="14.25" x14ac:dyDescent="0.2">
      <c r="A20" s="148" t="s">
        <v>129</v>
      </c>
      <c r="B20" s="162">
        <v>1588</v>
      </c>
      <c r="C20" s="153"/>
      <c r="D20" s="242">
        <v>30690.76</v>
      </c>
      <c r="E20" s="100"/>
      <c r="F20" s="100"/>
      <c r="G20" s="14"/>
    </row>
    <row r="21" spans="1:7" ht="15" x14ac:dyDescent="0.25">
      <c r="A21" s="164" t="s">
        <v>249</v>
      </c>
      <c r="B21" s="162"/>
      <c r="C21" s="153"/>
      <c r="D21" s="165">
        <f>SUM(D17:D20)</f>
        <v>482097.69</v>
      </c>
      <c r="E21" s="100"/>
      <c r="F21" s="100"/>
      <c r="G21" s="14"/>
    </row>
    <row r="22" spans="1:7" ht="14.25" x14ac:dyDescent="0.2">
      <c r="A22" s="148"/>
      <c r="B22" s="162"/>
      <c r="C22" s="153"/>
      <c r="D22" s="165"/>
      <c r="E22" s="100"/>
      <c r="F22" s="100"/>
      <c r="G22" s="14"/>
    </row>
    <row r="23" spans="1:7" ht="14.25" x14ac:dyDescent="0.2">
      <c r="A23" s="148" t="s">
        <v>130</v>
      </c>
      <c r="B23" s="162">
        <v>1582</v>
      </c>
      <c r="C23" s="153"/>
      <c r="D23" s="241">
        <v>0</v>
      </c>
      <c r="E23" s="100"/>
      <c r="F23" s="100"/>
      <c r="G23" s="14"/>
    </row>
    <row r="24" spans="1:7" ht="14.25" x14ac:dyDescent="0.2">
      <c r="A24" s="148" t="s">
        <v>131</v>
      </c>
      <c r="B24" s="162">
        <v>1508</v>
      </c>
      <c r="C24" s="153"/>
      <c r="D24" s="241">
        <v>0</v>
      </c>
      <c r="E24" s="100"/>
      <c r="F24" s="100"/>
      <c r="G24" s="14"/>
    </row>
    <row r="25" spans="1:7" ht="14.25" x14ac:dyDescent="0.2">
      <c r="A25" s="148" t="s">
        <v>132</v>
      </c>
      <c r="B25" s="162">
        <v>1518</v>
      </c>
      <c r="C25" s="153"/>
      <c r="D25" s="241">
        <v>0</v>
      </c>
      <c r="E25" s="100"/>
      <c r="F25" s="100"/>
      <c r="G25" s="14"/>
    </row>
    <row r="26" spans="1:7" ht="14.25" x14ac:dyDescent="0.2">
      <c r="A26" s="148" t="s">
        <v>133</v>
      </c>
      <c r="B26" s="162">
        <v>1548</v>
      </c>
      <c r="C26" s="152"/>
      <c r="D26" s="241">
        <v>0</v>
      </c>
      <c r="E26" s="100"/>
      <c r="F26" s="100"/>
      <c r="G26" s="14"/>
    </row>
    <row r="27" spans="1:7" ht="14.25" x14ac:dyDescent="0.2">
      <c r="A27" s="148" t="s">
        <v>134</v>
      </c>
      <c r="B27" s="162">
        <v>1525</v>
      </c>
      <c r="C27" s="153"/>
      <c r="D27" s="241">
        <v>0</v>
      </c>
      <c r="E27" s="100"/>
      <c r="F27" s="100"/>
      <c r="G27" s="14"/>
    </row>
    <row r="28" spans="1:7" ht="14.25" x14ac:dyDescent="0.2">
      <c r="A28" s="148" t="s">
        <v>135</v>
      </c>
      <c r="B28" s="162">
        <v>1562</v>
      </c>
      <c r="C28" s="153"/>
      <c r="D28" s="241">
        <v>0</v>
      </c>
      <c r="E28" s="100"/>
      <c r="F28" s="100"/>
      <c r="G28" s="14"/>
    </row>
    <row r="29" spans="1:7" ht="14.25" x14ac:dyDescent="0.2">
      <c r="A29" s="150" t="s">
        <v>277</v>
      </c>
      <c r="B29" s="162">
        <v>1563</v>
      </c>
      <c r="C29" s="153"/>
      <c r="D29" s="241">
        <v>0</v>
      </c>
      <c r="E29" s="100"/>
      <c r="F29" s="100"/>
      <c r="G29" s="14"/>
    </row>
    <row r="30" spans="1:7" ht="14.25" x14ac:dyDescent="0.2">
      <c r="A30" s="148" t="s">
        <v>136</v>
      </c>
      <c r="B30" s="162">
        <v>1570</v>
      </c>
      <c r="C30" s="153"/>
      <c r="D30" s="241">
        <v>384608.3</v>
      </c>
      <c r="E30" s="100"/>
      <c r="F30" s="100"/>
      <c r="G30" s="14"/>
    </row>
    <row r="31" spans="1:7" ht="14.25" x14ac:dyDescent="0.2">
      <c r="A31" s="148" t="s">
        <v>250</v>
      </c>
      <c r="B31" s="162">
        <v>1571</v>
      </c>
      <c r="C31" s="153"/>
      <c r="D31" s="165">
        <f>C32+C33</f>
        <v>0</v>
      </c>
      <c r="E31" s="100"/>
      <c r="F31" s="100"/>
      <c r="G31" s="14"/>
    </row>
    <row r="32" spans="1:7" ht="14.25" x14ac:dyDescent="0.2">
      <c r="A32" s="150" t="s">
        <v>251</v>
      </c>
      <c r="B32" s="162"/>
      <c r="C32" s="241">
        <v>0</v>
      </c>
      <c r="D32" s="165"/>
      <c r="E32" s="100"/>
      <c r="F32" s="100"/>
      <c r="G32" s="14"/>
    </row>
    <row r="33" spans="1:8" ht="14.25" x14ac:dyDescent="0.2">
      <c r="A33" s="150" t="s">
        <v>252</v>
      </c>
      <c r="B33" s="162"/>
      <c r="C33" s="241">
        <v>0</v>
      </c>
      <c r="D33" s="165"/>
      <c r="E33" s="100"/>
      <c r="F33" s="100"/>
      <c r="G33" s="14"/>
    </row>
    <row r="34" spans="1:8" ht="14.25" x14ac:dyDescent="0.2">
      <c r="A34" s="148" t="s">
        <v>137</v>
      </c>
      <c r="B34" s="162">
        <v>1572</v>
      </c>
      <c r="C34" s="153"/>
      <c r="D34" s="241">
        <v>0</v>
      </c>
      <c r="E34" s="100"/>
      <c r="F34" s="100"/>
      <c r="G34" s="14"/>
    </row>
    <row r="35" spans="1:8" ht="14.25" x14ac:dyDescent="0.2">
      <c r="A35" s="148" t="s">
        <v>138</v>
      </c>
      <c r="B35" s="162">
        <v>1574</v>
      </c>
      <c r="C35" s="156"/>
      <c r="D35" s="243">
        <v>0</v>
      </c>
      <c r="E35" s="144"/>
      <c r="F35" s="100"/>
      <c r="G35" s="14"/>
    </row>
    <row r="36" spans="1:8" ht="14.25" x14ac:dyDescent="0.2">
      <c r="A36" s="148" t="s">
        <v>139</v>
      </c>
      <c r="B36" s="162">
        <v>2425</v>
      </c>
      <c r="C36" s="156"/>
      <c r="D36" s="243">
        <v>0</v>
      </c>
      <c r="E36" s="144"/>
      <c r="F36" s="100"/>
      <c r="G36" s="14"/>
    </row>
    <row r="37" spans="1:8" ht="14.25" x14ac:dyDescent="0.2">
      <c r="A37" s="148"/>
      <c r="B37" s="155"/>
      <c r="C37" s="156"/>
      <c r="D37" s="234"/>
      <c r="E37" s="144"/>
      <c r="F37" s="100"/>
      <c r="G37" s="14"/>
    </row>
    <row r="38" spans="1:8" ht="15.75" thickBot="1" x14ac:dyDescent="0.3">
      <c r="A38" s="159" t="s">
        <v>142</v>
      </c>
      <c r="B38" s="155"/>
      <c r="C38" s="240" t="s">
        <v>253</v>
      </c>
      <c r="D38" s="235">
        <f>SUM(D21:D37)</f>
        <v>866705.99</v>
      </c>
      <c r="E38" s="144"/>
      <c r="F38" s="100"/>
      <c r="G38" s="14"/>
    </row>
    <row r="39" spans="1:8" ht="15" thickTop="1" x14ac:dyDescent="0.2">
      <c r="A39" s="148"/>
      <c r="B39" s="155"/>
      <c r="C39" s="153"/>
      <c r="D39" s="154"/>
      <c r="E39" s="100"/>
      <c r="F39" s="100"/>
      <c r="G39" s="14"/>
    </row>
    <row r="40" spans="1:8" ht="15" x14ac:dyDescent="0.25">
      <c r="A40" s="159" t="s">
        <v>143</v>
      </c>
      <c r="B40" s="155"/>
      <c r="C40" s="240" t="s">
        <v>254</v>
      </c>
      <c r="D40" s="166">
        <f>D21</f>
        <v>482097.69</v>
      </c>
      <c r="E40" s="153" t="s">
        <v>270</v>
      </c>
      <c r="F40" s="100"/>
      <c r="G40" s="14"/>
    </row>
    <row r="41" spans="1:8" ht="14.25" x14ac:dyDescent="0.2">
      <c r="A41" s="148"/>
      <c r="B41" s="155"/>
      <c r="C41" s="153"/>
      <c r="D41" s="154"/>
      <c r="E41" s="100"/>
      <c r="F41" s="100"/>
      <c r="G41" s="14"/>
    </row>
    <row r="42" spans="1:8" ht="15" x14ac:dyDescent="0.25">
      <c r="A42" s="236" t="s">
        <v>266</v>
      </c>
      <c r="B42" s="158"/>
      <c r="C42" s="152"/>
      <c r="D42" s="167">
        <f>D40/D38</f>
        <v>0.55624132700409745</v>
      </c>
      <c r="E42" s="100"/>
      <c r="F42" s="100"/>
      <c r="G42" s="14"/>
      <c r="H42" s="116"/>
    </row>
    <row r="43" spans="1:8" ht="15" x14ac:dyDescent="0.25">
      <c r="A43" s="236"/>
      <c r="B43" s="158"/>
      <c r="C43" s="152"/>
      <c r="D43" s="167"/>
      <c r="E43" s="100"/>
      <c r="F43" s="100"/>
      <c r="G43" s="14"/>
      <c r="H43" s="116"/>
    </row>
    <row r="44" spans="1:8" ht="15" x14ac:dyDescent="0.25">
      <c r="A44" s="159" t="s">
        <v>267</v>
      </c>
      <c r="B44" s="158"/>
      <c r="C44" s="240" t="s">
        <v>255</v>
      </c>
      <c r="D44" s="165">
        <f>D38*0.25</f>
        <v>216676.4975</v>
      </c>
      <c r="E44" s="100"/>
      <c r="F44" s="100"/>
      <c r="G44" s="14"/>
      <c r="H44" s="116"/>
    </row>
    <row r="45" spans="1:8" ht="15" x14ac:dyDescent="0.25">
      <c r="A45" s="159" t="s">
        <v>336</v>
      </c>
      <c r="B45" s="158"/>
      <c r="C45" s="156"/>
      <c r="D45" s="165">
        <f>D38*0.2</f>
        <v>173341.198</v>
      </c>
      <c r="E45" s="100"/>
      <c r="F45" s="100"/>
      <c r="G45" s="14"/>
      <c r="H45" s="116"/>
    </row>
    <row r="46" spans="1:8" ht="15" x14ac:dyDescent="0.25">
      <c r="A46" s="159" t="s">
        <v>335</v>
      </c>
      <c r="B46" s="100"/>
      <c r="C46" s="100"/>
      <c r="D46" s="154">
        <f>SUM(D44:D45)</f>
        <v>390017.69550000003</v>
      </c>
      <c r="E46" s="100"/>
      <c r="F46" s="100"/>
      <c r="G46" s="14"/>
      <c r="H46" s="116"/>
    </row>
    <row r="47" spans="1:8" ht="15" x14ac:dyDescent="0.25">
      <c r="A47" s="98" t="s">
        <v>256</v>
      </c>
      <c r="E47" s="100"/>
      <c r="F47" s="100"/>
      <c r="G47" s="14"/>
      <c r="H47" s="116"/>
    </row>
    <row r="48" spans="1:8" ht="15" x14ac:dyDescent="0.25">
      <c r="A48" s="98"/>
      <c r="E48" s="100"/>
      <c r="F48" s="100"/>
      <c r="G48" s="14"/>
      <c r="H48" s="116"/>
    </row>
    <row r="49" spans="1:8" ht="15" x14ac:dyDescent="0.25">
      <c r="A49" s="98" t="s">
        <v>261</v>
      </c>
      <c r="E49" s="100"/>
      <c r="F49" s="100"/>
      <c r="G49" s="14"/>
      <c r="H49" s="116"/>
    </row>
    <row r="50" spans="1:8" ht="15" x14ac:dyDescent="0.25">
      <c r="A50" s="98"/>
      <c r="E50" s="100"/>
      <c r="F50" s="100"/>
      <c r="G50" s="14"/>
      <c r="H50" s="116"/>
    </row>
    <row r="51" spans="1:8" x14ac:dyDescent="0.2">
      <c r="A51" s="47"/>
      <c r="B51" s="47"/>
      <c r="E51" s="100"/>
      <c r="F51" s="100"/>
      <c r="G51" s="14"/>
      <c r="H51" s="116"/>
    </row>
    <row r="52" spans="1:8" ht="15" x14ac:dyDescent="0.25">
      <c r="A52" s="237" t="s">
        <v>257</v>
      </c>
      <c r="B52" s="36"/>
      <c r="C52" s="168"/>
      <c r="D52" s="169"/>
      <c r="E52" s="168"/>
      <c r="F52" s="170"/>
      <c r="G52" s="14"/>
    </row>
    <row r="53" spans="1:8" ht="15" x14ac:dyDescent="0.25">
      <c r="A53" s="237"/>
      <c r="B53" s="36"/>
      <c r="C53" s="173"/>
      <c r="D53" s="185"/>
      <c r="E53" s="173"/>
      <c r="F53" s="174"/>
      <c r="G53" s="14"/>
    </row>
    <row r="54" spans="1:8" x14ac:dyDescent="0.2">
      <c r="A54" s="171"/>
      <c r="B54" s="172"/>
      <c r="C54" s="173"/>
      <c r="D54" s="172"/>
      <c r="E54" s="173"/>
      <c r="F54" s="174"/>
      <c r="G54" s="14"/>
    </row>
    <row r="55" spans="1:8" ht="15" x14ac:dyDescent="0.25">
      <c r="A55" s="179" t="s">
        <v>259</v>
      </c>
      <c r="B55" s="180"/>
      <c r="C55" s="180"/>
      <c r="D55" s="181">
        <f>D46</f>
        <v>390017.69550000003</v>
      </c>
      <c r="E55" s="180" t="s">
        <v>269</v>
      </c>
      <c r="F55" s="182"/>
      <c r="G55" s="14"/>
    </row>
    <row r="56" spans="1:8" ht="15.75" thickBot="1" x14ac:dyDescent="0.3">
      <c r="A56" s="179"/>
      <c r="B56" s="180"/>
      <c r="C56" s="180"/>
      <c r="D56" s="185"/>
      <c r="E56" s="180"/>
      <c r="F56" s="182"/>
      <c r="G56" s="14"/>
      <c r="H56" s="199"/>
    </row>
    <row r="57" spans="1:8" ht="15.75" thickBot="1" x14ac:dyDescent="0.3">
      <c r="A57" s="238" t="s">
        <v>258</v>
      </c>
      <c r="B57" s="180"/>
      <c r="C57" s="180"/>
      <c r="D57" s="200">
        <f>D55*12/11</f>
        <v>425473.84963636374</v>
      </c>
      <c r="E57" s="180" t="s">
        <v>144</v>
      </c>
      <c r="F57" s="182"/>
      <c r="G57" s="14"/>
      <c r="H57" s="180"/>
    </row>
    <row r="58" spans="1:8" ht="14.25" x14ac:dyDescent="0.2">
      <c r="A58" s="184"/>
      <c r="B58" s="180"/>
      <c r="C58" s="180"/>
      <c r="D58" s="183"/>
      <c r="E58" s="180" t="s">
        <v>275</v>
      </c>
      <c r="F58" s="182"/>
      <c r="G58" s="14"/>
      <c r="H58" s="125"/>
    </row>
    <row r="59" spans="1:8" ht="14.25" x14ac:dyDescent="0.2">
      <c r="A59" s="184"/>
      <c r="B59" s="180"/>
      <c r="C59" s="180"/>
      <c r="D59" s="183"/>
      <c r="E59" s="180"/>
      <c r="F59" s="182"/>
      <c r="G59" s="14"/>
      <c r="H59" s="125"/>
    </row>
    <row r="60" spans="1:8" ht="15" x14ac:dyDescent="0.25">
      <c r="A60" s="179" t="s">
        <v>260</v>
      </c>
      <c r="B60" s="180"/>
      <c r="C60" s="180"/>
      <c r="D60" s="185">
        <f>D40-D55</f>
        <v>92079.994499999972</v>
      </c>
      <c r="E60" s="180" t="s">
        <v>276</v>
      </c>
      <c r="F60" s="182"/>
      <c r="G60" s="14"/>
    </row>
    <row r="61" spans="1:8" x14ac:dyDescent="0.2">
      <c r="A61" s="175"/>
      <c r="B61" s="176"/>
      <c r="C61" s="176"/>
      <c r="D61" s="177"/>
      <c r="E61" s="176"/>
      <c r="F61" s="178"/>
      <c r="G61" s="14"/>
    </row>
    <row r="62" spans="1:8" x14ac:dyDescent="0.2">
      <c r="A62" s="138"/>
      <c r="B62" s="100"/>
      <c r="C62" s="100"/>
      <c r="D62" s="143"/>
      <c r="E62" s="100"/>
      <c r="F62" s="100"/>
      <c r="G62" s="14"/>
    </row>
    <row r="63" spans="1:8" ht="15" x14ac:dyDescent="0.25">
      <c r="A63" s="159"/>
      <c r="B63" s="100"/>
      <c r="C63" s="100"/>
      <c r="D63" s="143"/>
      <c r="E63" s="100"/>
      <c r="F63" s="100"/>
      <c r="G63" s="14"/>
    </row>
    <row r="64" spans="1:8" ht="12" customHeight="1" x14ac:dyDescent="0.25">
      <c r="A64" s="239"/>
      <c r="B64" s="141"/>
      <c r="C64" s="142"/>
      <c r="D64" s="143"/>
      <c r="E64" s="100"/>
      <c r="F64" s="100"/>
      <c r="G64" s="14"/>
    </row>
    <row r="65" spans="1:8" ht="15" x14ac:dyDescent="0.25">
      <c r="A65" s="237" t="s">
        <v>262</v>
      </c>
      <c r="B65" s="168"/>
      <c r="C65" s="168"/>
      <c r="D65" s="169"/>
      <c r="E65" s="168"/>
      <c r="F65" s="170"/>
      <c r="G65" s="100"/>
    </row>
    <row r="66" spans="1:8" ht="14.25" x14ac:dyDescent="0.2">
      <c r="A66" s="36"/>
      <c r="B66" s="173"/>
      <c r="C66" s="173"/>
      <c r="D66" s="185"/>
      <c r="E66" s="173"/>
      <c r="F66" s="174"/>
      <c r="G66" s="100"/>
    </row>
    <row r="67" spans="1:8" ht="15" x14ac:dyDescent="0.25">
      <c r="A67" s="179"/>
      <c r="B67" s="172"/>
      <c r="C67" s="173"/>
      <c r="D67" s="172"/>
      <c r="E67" s="173"/>
      <c r="F67" s="174"/>
      <c r="G67" s="100"/>
    </row>
    <row r="68" spans="1:8" ht="15" x14ac:dyDescent="0.25">
      <c r="A68" s="179" t="s">
        <v>259</v>
      </c>
      <c r="B68" s="180"/>
      <c r="C68" s="180"/>
      <c r="D68" s="185">
        <f>D38*0.25</f>
        <v>216676.4975</v>
      </c>
      <c r="E68" s="180" t="s">
        <v>268</v>
      </c>
      <c r="F68" s="182"/>
      <c r="G68" s="100"/>
    </row>
    <row r="69" spans="1:8" ht="15" x14ac:dyDescent="0.25">
      <c r="A69" s="179"/>
      <c r="B69" s="180"/>
      <c r="C69" s="180"/>
      <c r="D69" s="183"/>
      <c r="E69" s="125"/>
      <c r="F69" s="182"/>
      <c r="G69" s="100"/>
    </row>
    <row r="70" spans="1:8" ht="15" x14ac:dyDescent="0.25">
      <c r="A70" s="179" t="s">
        <v>271</v>
      </c>
      <c r="B70" s="180"/>
      <c r="C70" s="180"/>
      <c r="D70" s="185">
        <f>D40</f>
        <v>482097.69</v>
      </c>
      <c r="E70" s="180"/>
      <c r="F70" s="182"/>
      <c r="G70" s="100"/>
    </row>
    <row r="71" spans="1:8" ht="15.75" thickBot="1" x14ac:dyDescent="0.3">
      <c r="A71" s="179"/>
      <c r="B71" s="180"/>
      <c r="C71" s="180"/>
      <c r="D71" s="185"/>
      <c r="E71" s="180"/>
      <c r="F71" s="182"/>
      <c r="G71" s="100"/>
      <c r="H71" s="180"/>
    </row>
    <row r="72" spans="1:8" ht="15.75" thickBot="1" x14ac:dyDescent="0.3">
      <c r="A72" s="238" t="s">
        <v>272</v>
      </c>
      <c r="B72" s="180"/>
      <c r="C72" s="180"/>
      <c r="D72" s="200">
        <f>D70*12/11</f>
        <v>525924.7527272728</v>
      </c>
      <c r="E72" s="180" t="s">
        <v>144</v>
      </c>
      <c r="F72" s="182"/>
      <c r="G72" s="100"/>
      <c r="H72" s="125"/>
    </row>
    <row r="73" spans="1:8" ht="14.25" x14ac:dyDescent="0.2">
      <c r="A73" s="186"/>
      <c r="B73" s="180"/>
      <c r="C73" s="180"/>
      <c r="D73" s="125"/>
      <c r="E73" s="180"/>
      <c r="F73" s="182"/>
      <c r="G73" s="100"/>
    </row>
    <row r="74" spans="1:8" ht="15" x14ac:dyDescent="0.25">
      <c r="A74" s="179" t="s">
        <v>263</v>
      </c>
      <c r="B74" s="180"/>
      <c r="C74" s="240" t="s">
        <v>264</v>
      </c>
      <c r="D74" s="185">
        <f>D68-D70</f>
        <v>-265421.1925</v>
      </c>
      <c r="E74" s="180"/>
      <c r="F74" s="182"/>
      <c r="G74" s="100"/>
    </row>
    <row r="75" spans="1:8" ht="15.75" thickBot="1" x14ac:dyDescent="0.3">
      <c r="A75" s="179"/>
      <c r="B75" s="180"/>
      <c r="C75" s="180"/>
      <c r="D75" s="185"/>
      <c r="E75" s="180"/>
      <c r="F75" s="182"/>
      <c r="G75" s="100"/>
      <c r="H75" s="199"/>
    </row>
    <row r="76" spans="1:8" ht="15.75" thickBot="1" x14ac:dyDescent="0.3">
      <c r="A76" s="238" t="s">
        <v>265</v>
      </c>
      <c r="B76" s="180"/>
      <c r="C76" s="180"/>
      <c r="D76" s="200">
        <f>D74*12/11</f>
        <v>-289550.39181818184</v>
      </c>
      <c r="E76" s="180" t="s">
        <v>152</v>
      </c>
      <c r="F76" s="182"/>
      <c r="G76" s="100"/>
      <c r="H76" s="199"/>
    </row>
    <row r="77" spans="1:8" ht="14.25" x14ac:dyDescent="0.2">
      <c r="A77" s="184"/>
      <c r="B77" s="156"/>
      <c r="C77" s="156"/>
      <c r="D77" s="157"/>
      <c r="E77" s="156"/>
      <c r="F77" s="182"/>
      <c r="G77" s="100"/>
      <c r="H77" s="180"/>
    </row>
    <row r="78" spans="1:8" ht="15" x14ac:dyDescent="0.25">
      <c r="A78" s="179" t="s">
        <v>273</v>
      </c>
      <c r="B78" s="156"/>
      <c r="C78" s="156"/>
      <c r="D78" s="166">
        <f>D70+D74</f>
        <v>216676.4975</v>
      </c>
      <c r="E78" s="180"/>
      <c r="F78" s="182"/>
      <c r="G78" s="100"/>
      <c r="H78" s="125"/>
    </row>
    <row r="79" spans="1:8" x14ac:dyDescent="0.2">
      <c r="A79" s="175"/>
      <c r="B79" s="176"/>
      <c r="C79" s="176"/>
      <c r="D79" s="177"/>
      <c r="E79" s="176"/>
      <c r="F79" s="178"/>
      <c r="G79" s="100"/>
    </row>
    <row r="80" spans="1:8" x14ac:dyDescent="0.2">
      <c r="A80" s="138"/>
      <c r="B80" s="100"/>
      <c r="C80" s="100"/>
      <c r="D80" s="143"/>
      <c r="E80" s="100"/>
      <c r="F80" s="100"/>
      <c r="G80" s="100"/>
    </row>
    <row r="81" spans="1:7" x14ac:dyDescent="0.2">
      <c r="A81" s="138"/>
      <c r="B81" s="100"/>
      <c r="C81" s="100"/>
      <c r="D81" s="143"/>
      <c r="E81" s="100"/>
      <c r="F81" s="100"/>
      <c r="G81" s="100"/>
    </row>
    <row r="82" spans="1:7" ht="14.25" customHeight="1" x14ac:dyDescent="0.25">
      <c r="A82" s="246" t="s">
        <v>280</v>
      </c>
      <c r="B82" s="141"/>
      <c r="C82" s="142"/>
      <c r="D82" s="143"/>
      <c r="E82" s="247" t="s">
        <v>281</v>
      </c>
      <c r="F82" s="100"/>
      <c r="G82" s="100"/>
    </row>
    <row r="83" spans="1:7" x14ac:dyDescent="0.2">
      <c r="A83" s="138"/>
      <c r="B83" s="100"/>
      <c r="C83" s="100"/>
      <c r="D83" s="143"/>
      <c r="E83" s="144" t="s">
        <v>282</v>
      </c>
      <c r="F83" s="100"/>
      <c r="G83" s="100"/>
    </row>
    <row r="84" spans="1:7" ht="15" thickBot="1" x14ac:dyDescent="0.25">
      <c r="A84" s="148" t="s">
        <v>283</v>
      </c>
      <c r="B84" s="100"/>
      <c r="C84" s="100"/>
      <c r="D84" s="143"/>
      <c r="E84" s="100"/>
      <c r="F84" s="100"/>
      <c r="G84" s="100"/>
    </row>
    <row r="85" spans="1:7" ht="15" thickBot="1" x14ac:dyDescent="0.25">
      <c r="A85" s="148" t="s">
        <v>285</v>
      </c>
      <c r="B85" s="100"/>
      <c r="C85" s="100"/>
      <c r="D85" s="143"/>
      <c r="E85" s="248" t="s">
        <v>323</v>
      </c>
      <c r="F85" s="100"/>
      <c r="G85" s="100"/>
    </row>
    <row r="86" spans="1:7" x14ac:dyDescent="0.2">
      <c r="A86" s="138"/>
      <c r="B86" s="143"/>
      <c r="C86" s="100"/>
      <c r="D86" s="143"/>
      <c r="E86" s="100"/>
      <c r="F86" s="100"/>
      <c r="G86" s="100"/>
    </row>
    <row r="87" spans="1:7" x14ac:dyDescent="0.2">
      <c r="A87" s="138"/>
      <c r="B87" s="100"/>
      <c r="C87" s="100"/>
      <c r="D87" s="143"/>
      <c r="E87" s="100"/>
      <c r="F87" s="100"/>
      <c r="G87" s="100"/>
    </row>
    <row r="88" spans="1:7" ht="15" thickBot="1" x14ac:dyDescent="0.25">
      <c r="A88" s="148" t="s">
        <v>286</v>
      </c>
      <c r="B88" s="100"/>
      <c r="C88" s="100"/>
      <c r="D88" s="143"/>
      <c r="E88" s="100"/>
      <c r="F88" s="100"/>
      <c r="G88" s="100"/>
    </row>
    <row r="89" spans="1:7" ht="15" thickBot="1" x14ac:dyDescent="0.25">
      <c r="A89" s="148" t="s">
        <v>284</v>
      </c>
      <c r="B89" s="100"/>
      <c r="C89" s="100"/>
      <c r="D89" s="143"/>
      <c r="E89" s="248" t="s">
        <v>324</v>
      </c>
      <c r="F89" s="100"/>
      <c r="G89" s="100"/>
    </row>
    <row r="90" spans="1:7" x14ac:dyDescent="0.2">
      <c r="A90" s="138"/>
      <c r="B90" s="100"/>
      <c r="C90" s="100"/>
      <c r="D90" s="143"/>
      <c r="E90" s="100"/>
      <c r="F90" s="100"/>
      <c r="G90" s="100"/>
    </row>
    <row r="91" spans="1:7" x14ac:dyDescent="0.2">
      <c r="A91" s="138"/>
      <c r="B91" s="100"/>
      <c r="C91" s="100"/>
      <c r="D91" s="143"/>
      <c r="E91" s="100"/>
      <c r="F91" s="100"/>
      <c r="G91" s="100"/>
    </row>
    <row r="92" spans="1:7" x14ac:dyDescent="0.2">
      <c r="A92" s="138"/>
      <c r="B92" s="100"/>
      <c r="C92" s="100"/>
      <c r="D92" s="143"/>
      <c r="E92" s="100"/>
      <c r="F92" s="100"/>
      <c r="G92" s="100"/>
    </row>
    <row r="93" spans="1:7" x14ac:dyDescent="0.2">
      <c r="A93" s="138"/>
      <c r="B93" s="100"/>
      <c r="C93" s="100"/>
      <c r="D93" s="143"/>
      <c r="E93" s="100"/>
      <c r="F93" s="100"/>
      <c r="G93" s="100"/>
    </row>
    <row r="94" spans="1:7" ht="18" x14ac:dyDescent="0.25">
      <c r="A94" s="140"/>
      <c r="B94" s="141"/>
      <c r="C94" s="142"/>
      <c r="D94" s="143"/>
      <c r="E94" s="100"/>
      <c r="F94" s="100"/>
      <c r="G94" s="100"/>
    </row>
    <row r="95" spans="1:7" ht="18" x14ac:dyDescent="0.25">
      <c r="A95" s="146"/>
      <c r="B95" s="100"/>
      <c r="C95" s="100"/>
      <c r="D95" s="143"/>
      <c r="E95" s="100"/>
      <c r="F95" s="100"/>
      <c r="G95" s="100"/>
    </row>
    <row r="96" spans="1:7" x14ac:dyDescent="0.2">
      <c r="A96" s="138"/>
      <c r="B96" s="100"/>
      <c r="C96" s="100"/>
      <c r="D96" s="143"/>
      <c r="E96" s="100"/>
      <c r="F96" s="100"/>
      <c r="G96" s="100"/>
    </row>
    <row r="97" spans="1:7" x14ac:dyDescent="0.2">
      <c r="A97" s="138"/>
      <c r="B97" s="100"/>
      <c r="C97" s="100"/>
      <c r="D97" s="143"/>
      <c r="E97" s="100"/>
      <c r="F97" s="100"/>
      <c r="G97" s="100"/>
    </row>
    <row r="98" spans="1:7" x14ac:dyDescent="0.2">
      <c r="A98" s="138"/>
      <c r="B98" s="143"/>
      <c r="C98" s="100"/>
      <c r="D98" s="143"/>
      <c r="E98" s="100"/>
      <c r="F98" s="100"/>
      <c r="G98" s="100"/>
    </row>
    <row r="99" spans="1:7" x14ac:dyDescent="0.2">
      <c r="A99" s="138"/>
      <c r="B99" s="100"/>
      <c r="C99" s="100"/>
      <c r="D99" s="143"/>
      <c r="E99" s="100"/>
      <c r="F99" s="100"/>
      <c r="G99" s="100"/>
    </row>
    <row r="100" spans="1:7" x14ac:dyDescent="0.2">
      <c r="A100" s="138"/>
      <c r="B100" s="144"/>
      <c r="C100" s="144"/>
      <c r="D100" s="144"/>
      <c r="E100" s="144"/>
      <c r="F100" s="145"/>
      <c r="G100" s="144"/>
    </row>
    <row r="101" spans="1:7" x14ac:dyDescent="0.2">
      <c r="A101" s="138"/>
      <c r="B101" s="144"/>
      <c r="C101" s="144"/>
      <c r="D101" s="144"/>
      <c r="E101" s="144"/>
      <c r="F101" s="145"/>
      <c r="G101" s="144"/>
    </row>
    <row r="102" spans="1:7" x14ac:dyDescent="0.2">
      <c r="A102" s="138"/>
      <c r="B102" s="144"/>
      <c r="C102" s="144"/>
      <c r="D102" s="144"/>
      <c r="E102" s="144"/>
      <c r="F102" s="145"/>
      <c r="G102" s="144"/>
    </row>
    <row r="103" spans="1:7" ht="12.75" customHeight="1" x14ac:dyDescent="0.25">
      <c r="A103" s="146"/>
      <c r="B103" s="145"/>
      <c r="C103" s="145"/>
      <c r="D103" s="144"/>
      <c r="E103" s="144"/>
      <c r="F103" s="144"/>
      <c r="G103" s="144"/>
    </row>
    <row r="104" spans="1:7" ht="12.75" customHeight="1" x14ac:dyDescent="0.25">
      <c r="A104" s="146"/>
      <c r="B104" s="100"/>
      <c r="C104" s="100"/>
      <c r="D104" s="100"/>
      <c r="E104" s="100"/>
      <c r="F104" s="100"/>
      <c r="G104" s="100"/>
    </row>
    <row r="105" spans="1:7" ht="12.75" customHeight="1" x14ac:dyDescent="0.25">
      <c r="A105" s="146"/>
      <c r="B105" s="100"/>
      <c r="C105" s="100"/>
      <c r="D105" s="100"/>
      <c r="E105" s="100"/>
      <c r="F105" s="100"/>
      <c r="G105" s="100"/>
    </row>
    <row r="106" spans="1:7" ht="11.25" customHeight="1" x14ac:dyDescent="0.25">
      <c r="A106" s="146"/>
      <c r="B106" s="100"/>
      <c r="C106" s="100"/>
      <c r="D106" s="143"/>
      <c r="E106" s="100"/>
      <c r="F106" s="100"/>
      <c r="G106" s="100"/>
    </row>
    <row r="107" spans="1:7" ht="18" x14ac:dyDescent="0.25">
      <c r="A107" s="140"/>
      <c r="B107" s="100"/>
      <c r="C107" s="100"/>
      <c r="D107" s="143"/>
      <c r="E107" s="100"/>
      <c r="F107" s="100"/>
      <c r="G107" s="100"/>
    </row>
    <row r="108" spans="1:7" x14ac:dyDescent="0.2">
      <c r="A108" s="138"/>
      <c r="B108" s="100"/>
      <c r="C108" s="100"/>
      <c r="D108" s="143"/>
      <c r="E108" s="100"/>
      <c r="F108" s="100"/>
      <c r="G108" s="100"/>
    </row>
    <row r="109" spans="1:7" x14ac:dyDescent="0.2">
      <c r="A109" s="138"/>
      <c r="B109" s="100"/>
      <c r="C109" s="100"/>
      <c r="D109" s="143"/>
      <c r="E109" s="100"/>
      <c r="F109" s="100"/>
      <c r="G109" s="100"/>
    </row>
    <row r="110" spans="1:7" x14ac:dyDescent="0.2">
      <c r="A110" s="138"/>
      <c r="B110" s="100"/>
      <c r="C110" s="100"/>
      <c r="D110" s="143"/>
      <c r="E110" s="100"/>
      <c r="F110" s="100"/>
      <c r="G110" s="100"/>
    </row>
    <row r="111" spans="1:7" x14ac:dyDescent="0.2">
      <c r="A111" s="138"/>
      <c r="B111" s="143"/>
      <c r="C111" s="100"/>
      <c r="D111" s="143"/>
      <c r="E111" s="100"/>
      <c r="F111" s="100"/>
      <c r="G111" s="100"/>
    </row>
    <row r="112" spans="1:7" x14ac:dyDescent="0.2">
      <c r="A112" s="138"/>
      <c r="B112" s="100"/>
      <c r="C112" s="100"/>
      <c r="D112" s="143"/>
      <c r="E112" s="100"/>
      <c r="F112" s="100"/>
      <c r="G112" s="100"/>
    </row>
    <row r="113" spans="1:7" x14ac:dyDescent="0.2">
      <c r="A113" s="138"/>
      <c r="B113" s="144"/>
      <c r="C113" s="144"/>
      <c r="D113" s="144"/>
      <c r="E113" s="144"/>
      <c r="F113" s="145"/>
      <c r="G113" s="144"/>
    </row>
    <row r="114" spans="1:7" x14ac:dyDescent="0.2">
      <c r="A114" s="138"/>
      <c r="B114" s="144"/>
      <c r="C114" s="144"/>
      <c r="D114" s="144"/>
      <c r="E114" s="144"/>
      <c r="F114" s="145"/>
      <c r="G114" s="144"/>
    </row>
    <row r="115" spans="1:7" x14ac:dyDescent="0.2">
      <c r="A115" s="138"/>
      <c r="B115" s="144"/>
      <c r="C115" s="144"/>
      <c r="D115" s="144"/>
      <c r="E115" s="144"/>
      <c r="F115" s="145"/>
      <c r="G115" s="144"/>
    </row>
    <row r="116" spans="1:7" x14ac:dyDescent="0.2">
      <c r="A116" s="147"/>
      <c r="B116" s="145"/>
      <c r="C116" s="145"/>
      <c r="D116" s="144"/>
      <c r="E116" s="144"/>
      <c r="F116" s="144"/>
      <c r="G116" s="144"/>
    </row>
    <row r="117" spans="1:7" x14ac:dyDescent="0.2">
      <c r="A117" s="138"/>
      <c r="B117" s="100"/>
      <c r="C117" s="100"/>
      <c r="D117" s="143"/>
      <c r="E117" s="100"/>
      <c r="F117" s="100"/>
      <c r="G117" s="100"/>
    </row>
    <row r="118" spans="1:7" x14ac:dyDescent="0.2">
      <c r="A118" s="138"/>
      <c r="B118" s="100"/>
      <c r="C118" s="100"/>
      <c r="D118" s="143"/>
      <c r="E118" s="100"/>
      <c r="F118" s="100"/>
      <c r="G118" s="100"/>
    </row>
    <row r="119" spans="1:7" x14ac:dyDescent="0.2">
      <c r="A119" s="138"/>
      <c r="B119" s="100"/>
      <c r="C119" s="100"/>
      <c r="D119" s="143"/>
      <c r="E119" s="100"/>
      <c r="F119" s="100"/>
      <c r="G119" s="100"/>
    </row>
    <row r="120" spans="1:7" ht="18" x14ac:dyDescent="0.25">
      <c r="A120" s="140"/>
      <c r="B120" s="100"/>
      <c r="C120" s="100"/>
      <c r="D120" s="143"/>
      <c r="E120" s="100"/>
      <c r="F120" s="100"/>
      <c r="G120" s="100"/>
    </row>
    <row r="121" spans="1:7" x14ac:dyDescent="0.2">
      <c r="A121" s="138"/>
      <c r="B121" s="100"/>
      <c r="C121" s="100"/>
      <c r="D121" s="143"/>
      <c r="E121" s="100"/>
      <c r="F121" s="100"/>
      <c r="G121" s="100"/>
    </row>
    <row r="122" spans="1:7" x14ac:dyDescent="0.2">
      <c r="A122" s="138"/>
      <c r="B122" s="100"/>
      <c r="C122" s="100"/>
      <c r="D122" s="143"/>
      <c r="E122" s="100"/>
      <c r="F122" s="100"/>
      <c r="G122" s="100"/>
    </row>
    <row r="123" spans="1:7" x14ac:dyDescent="0.2">
      <c r="A123" s="138"/>
      <c r="B123" s="100"/>
      <c r="C123" s="100"/>
      <c r="D123" s="143"/>
      <c r="E123" s="100"/>
      <c r="F123" s="100"/>
      <c r="G123" s="100"/>
    </row>
    <row r="124" spans="1:7" x14ac:dyDescent="0.2">
      <c r="A124" s="138"/>
      <c r="B124" s="143"/>
      <c r="C124" s="100"/>
      <c r="D124" s="143"/>
      <c r="E124" s="100"/>
      <c r="F124" s="100"/>
      <c r="G124" s="100"/>
    </row>
    <row r="125" spans="1:7" x14ac:dyDescent="0.2">
      <c r="A125" s="138"/>
      <c r="B125" s="100"/>
      <c r="C125" s="100"/>
      <c r="D125" s="143"/>
      <c r="E125" s="100"/>
      <c r="F125" s="100"/>
      <c r="G125" s="100"/>
    </row>
    <row r="126" spans="1:7" x14ac:dyDescent="0.2">
      <c r="A126" s="138"/>
      <c r="B126" s="144"/>
      <c r="C126" s="144"/>
      <c r="D126" s="144"/>
      <c r="E126" s="144"/>
      <c r="F126" s="145"/>
      <c r="G126" s="144"/>
    </row>
    <row r="127" spans="1:7" x14ac:dyDescent="0.2">
      <c r="A127" s="138"/>
      <c r="B127" s="144"/>
      <c r="C127" s="144"/>
      <c r="D127" s="144"/>
      <c r="E127" s="144"/>
      <c r="F127" s="145"/>
      <c r="G127" s="144"/>
    </row>
    <row r="128" spans="1:7" x14ac:dyDescent="0.2">
      <c r="A128" s="138"/>
      <c r="B128" s="144"/>
      <c r="C128" s="144"/>
      <c r="D128" s="144"/>
      <c r="E128" s="144"/>
      <c r="F128" s="145"/>
      <c r="G128" s="144"/>
    </row>
    <row r="129" spans="1:7" x14ac:dyDescent="0.2">
      <c r="A129" s="147"/>
      <c r="B129" s="144"/>
      <c r="C129" s="144"/>
      <c r="D129" s="144"/>
      <c r="E129" s="144"/>
      <c r="F129" s="144"/>
      <c r="G129" s="144"/>
    </row>
    <row r="130" spans="1:7" x14ac:dyDescent="0.2">
      <c r="A130" s="147"/>
      <c r="B130" s="100"/>
      <c r="C130" s="100"/>
      <c r="D130" s="100"/>
      <c r="E130" s="100"/>
      <c r="F130" s="100"/>
      <c r="G130" s="100"/>
    </row>
    <row r="131" spans="1:7" x14ac:dyDescent="0.2">
      <c r="A131" s="147"/>
      <c r="B131" s="100"/>
      <c r="C131" s="100"/>
      <c r="D131" s="100"/>
      <c r="E131" s="100"/>
      <c r="F131" s="100"/>
      <c r="G131" s="100"/>
    </row>
    <row r="132" spans="1:7" x14ac:dyDescent="0.2">
      <c r="A132" s="138"/>
      <c r="B132" s="138"/>
      <c r="C132" s="100"/>
      <c r="D132" s="138"/>
      <c r="E132" s="100"/>
      <c r="F132" s="100"/>
      <c r="G132" s="100"/>
    </row>
    <row r="133" spans="1:7" ht="18" x14ac:dyDescent="0.25">
      <c r="A133" s="140"/>
      <c r="B133" s="100"/>
      <c r="C133" s="100"/>
      <c r="D133" s="143"/>
      <c r="E133" s="100"/>
      <c r="F133" s="100"/>
      <c r="G133" s="100"/>
    </row>
    <row r="134" spans="1:7" x14ac:dyDescent="0.2">
      <c r="A134" s="138"/>
      <c r="B134" s="100"/>
      <c r="C134" s="100"/>
      <c r="D134" s="143"/>
      <c r="E134" s="100"/>
      <c r="F134" s="100"/>
      <c r="G134" s="100"/>
    </row>
    <row r="135" spans="1:7" x14ac:dyDescent="0.2">
      <c r="A135" s="138"/>
      <c r="B135" s="100"/>
      <c r="C135" s="100"/>
      <c r="D135" s="143"/>
      <c r="E135" s="100"/>
      <c r="F135" s="100"/>
      <c r="G135" s="100"/>
    </row>
    <row r="136" spans="1:7" x14ac:dyDescent="0.2">
      <c r="A136" s="138"/>
      <c r="B136" s="100"/>
      <c r="C136" s="100"/>
      <c r="D136" s="143"/>
      <c r="E136" s="100"/>
      <c r="F136" s="100"/>
      <c r="G136" s="100"/>
    </row>
    <row r="137" spans="1:7" x14ac:dyDescent="0.2">
      <c r="A137" s="138"/>
      <c r="B137" s="143"/>
      <c r="C137" s="100"/>
      <c r="D137" s="143"/>
      <c r="E137" s="100"/>
      <c r="F137" s="100"/>
      <c r="G137" s="100"/>
    </row>
    <row r="138" spans="1:7" x14ac:dyDescent="0.2">
      <c r="A138" s="138"/>
      <c r="B138" s="100"/>
      <c r="C138" s="100"/>
      <c r="D138" s="143"/>
      <c r="E138" s="100"/>
      <c r="F138" s="100"/>
      <c r="G138" s="100"/>
    </row>
    <row r="139" spans="1:7" x14ac:dyDescent="0.2">
      <c r="A139" s="138"/>
      <c r="B139" s="100"/>
      <c r="C139" s="100"/>
      <c r="D139" s="143"/>
      <c r="E139" s="100"/>
      <c r="F139" s="100"/>
      <c r="G139" s="100"/>
    </row>
    <row r="140" spans="1:7" x14ac:dyDescent="0.2">
      <c r="A140" s="138"/>
      <c r="B140" s="100"/>
      <c r="C140" s="100"/>
      <c r="D140" s="143"/>
      <c r="E140" s="100"/>
      <c r="F140" s="100"/>
      <c r="G140" s="100"/>
    </row>
    <row r="141" spans="1:7" x14ac:dyDescent="0.2">
      <c r="A141" s="147"/>
      <c r="B141" s="100"/>
      <c r="C141" s="100"/>
      <c r="D141" s="143"/>
      <c r="E141" s="100"/>
      <c r="F141" s="100"/>
      <c r="G141" s="100"/>
    </row>
    <row r="142" spans="1:7" x14ac:dyDescent="0.2">
      <c r="A142" s="138"/>
      <c r="B142" s="100"/>
      <c r="C142" s="100"/>
      <c r="D142" s="143"/>
      <c r="E142" s="100"/>
      <c r="F142" s="100"/>
      <c r="G142" s="100"/>
    </row>
    <row r="143" spans="1:7" ht="18" x14ac:dyDescent="0.25">
      <c r="A143" s="140"/>
      <c r="B143" s="100"/>
      <c r="C143" s="100"/>
      <c r="D143" s="143"/>
      <c r="E143" s="100"/>
      <c r="F143" s="100"/>
      <c r="G143" s="100"/>
    </row>
    <row r="144" spans="1:7" x14ac:dyDescent="0.2">
      <c r="A144" s="138"/>
      <c r="B144" s="100"/>
      <c r="C144" s="100"/>
      <c r="D144" s="143"/>
      <c r="E144" s="100"/>
      <c r="F144" s="100"/>
      <c r="G144" s="100"/>
    </row>
    <row r="145" spans="1:7" x14ac:dyDescent="0.2">
      <c r="A145" s="138"/>
      <c r="B145" s="100"/>
      <c r="C145" s="100"/>
      <c r="D145" s="143"/>
      <c r="E145" s="100"/>
      <c r="F145" s="100"/>
      <c r="G145" s="100"/>
    </row>
    <row r="146" spans="1:7" x14ac:dyDescent="0.2">
      <c r="A146" s="138"/>
      <c r="B146" s="100"/>
      <c r="C146" s="100"/>
      <c r="D146" s="143"/>
      <c r="E146" s="100"/>
      <c r="F146" s="100"/>
      <c r="G146" s="100"/>
    </row>
    <row r="147" spans="1:7" x14ac:dyDescent="0.2">
      <c r="A147" s="138"/>
      <c r="B147" s="143"/>
      <c r="C147" s="100"/>
      <c r="D147" s="143"/>
      <c r="E147" s="100"/>
      <c r="F147" s="100"/>
      <c r="G147" s="100"/>
    </row>
    <row r="148" spans="1:7" x14ac:dyDescent="0.2">
      <c r="A148" s="138"/>
      <c r="B148" s="100"/>
      <c r="C148" s="100"/>
      <c r="D148" s="143"/>
      <c r="E148" s="100"/>
      <c r="F148" s="100"/>
      <c r="G148" s="100"/>
    </row>
    <row r="149" spans="1:7" x14ac:dyDescent="0.2">
      <c r="A149" s="138"/>
      <c r="B149" s="144"/>
      <c r="C149" s="144"/>
      <c r="D149" s="143"/>
      <c r="E149" s="100"/>
      <c r="F149" s="100"/>
      <c r="G149" s="100"/>
    </row>
    <row r="150" spans="1:7" x14ac:dyDescent="0.2">
      <c r="A150" s="138"/>
      <c r="B150" s="144"/>
      <c r="C150" s="144"/>
      <c r="D150" s="143"/>
      <c r="E150" s="100"/>
      <c r="F150" s="100"/>
      <c r="G150" s="100"/>
    </row>
    <row r="151" spans="1:7" x14ac:dyDescent="0.2">
      <c r="A151" s="138"/>
      <c r="B151" s="144"/>
      <c r="C151" s="144"/>
      <c r="D151" s="143"/>
      <c r="E151" s="100"/>
      <c r="F151" s="100"/>
      <c r="G151" s="100"/>
    </row>
    <row r="152" spans="1:7" ht="12.75" customHeight="1" x14ac:dyDescent="0.25">
      <c r="A152" s="146"/>
      <c r="B152" s="100"/>
      <c r="C152" s="100"/>
      <c r="D152" s="143"/>
      <c r="E152" s="100"/>
      <c r="F152" s="100"/>
      <c r="G152" s="100"/>
    </row>
    <row r="153" spans="1:7" ht="14.25" customHeight="1" x14ac:dyDescent="0.25">
      <c r="A153" s="146"/>
      <c r="B153" s="100"/>
      <c r="C153" s="100"/>
      <c r="D153" s="143"/>
      <c r="E153" s="100"/>
      <c r="F153" s="100"/>
      <c r="G153" s="100"/>
    </row>
    <row r="154" spans="1:7" x14ac:dyDescent="0.2">
      <c r="A154" s="138"/>
      <c r="B154" s="100"/>
      <c r="C154" s="100"/>
      <c r="D154" s="143"/>
      <c r="E154" s="100"/>
      <c r="F154" s="100"/>
      <c r="G154" s="100"/>
    </row>
    <row r="155" spans="1:7" ht="18" x14ac:dyDescent="0.25">
      <c r="A155" s="140"/>
      <c r="B155" s="100"/>
      <c r="C155" s="100"/>
      <c r="D155" s="143"/>
      <c r="E155" s="100"/>
      <c r="F155" s="100"/>
      <c r="G155" s="100"/>
    </row>
    <row r="156" spans="1:7" x14ac:dyDescent="0.2">
      <c r="A156" s="138"/>
      <c r="B156" s="100"/>
      <c r="C156" s="100"/>
      <c r="D156" s="143"/>
      <c r="E156" s="100"/>
      <c r="F156" s="100"/>
      <c r="G156" s="100"/>
    </row>
    <row r="157" spans="1:7" x14ac:dyDescent="0.2">
      <c r="A157" s="138"/>
      <c r="B157" s="100"/>
      <c r="C157" s="100"/>
      <c r="D157" s="143"/>
      <c r="E157" s="100"/>
      <c r="F157" s="100"/>
      <c r="G157" s="100"/>
    </row>
    <row r="158" spans="1:7" x14ac:dyDescent="0.2">
      <c r="A158" s="138"/>
      <c r="B158" s="100"/>
      <c r="C158" s="100"/>
      <c r="D158" s="143"/>
      <c r="E158" s="100"/>
      <c r="F158" s="100"/>
      <c r="G158" s="100"/>
    </row>
    <row r="159" spans="1:7" x14ac:dyDescent="0.2">
      <c r="A159" s="138"/>
      <c r="B159" s="143"/>
      <c r="C159" s="100"/>
      <c r="D159" s="143"/>
      <c r="E159" s="100"/>
      <c r="F159" s="100"/>
      <c r="G159" s="100"/>
    </row>
    <row r="160" spans="1:7" x14ac:dyDescent="0.2">
      <c r="A160" s="138"/>
      <c r="B160" s="100"/>
      <c r="C160" s="100"/>
      <c r="D160" s="143"/>
      <c r="E160" s="100"/>
      <c r="F160" s="100"/>
      <c r="G160" s="100"/>
    </row>
    <row r="161" spans="1:7" x14ac:dyDescent="0.2">
      <c r="A161" s="138"/>
      <c r="B161" s="100"/>
      <c r="C161" s="100"/>
      <c r="D161" s="143"/>
      <c r="E161" s="100"/>
      <c r="F161" s="100"/>
      <c r="G161" s="100"/>
    </row>
    <row r="162" spans="1:7" x14ac:dyDescent="0.2">
      <c r="A162" s="138"/>
      <c r="B162" s="100"/>
      <c r="C162" s="100"/>
      <c r="D162" s="143"/>
      <c r="E162" s="100"/>
      <c r="F162" s="100"/>
      <c r="G162" s="100"/>
    </row>
    <row r="163" spans="1:7" x14ac:dyDescent="0.2">
      <c r="A163" s="147"/>
      <c r="B163" s="100"/>
      <c r="C163" s="100"/>
      <c r="D163" s="143"/>
      <c r="E163" s="100"/>
      <c r="F163" s="100"/>
      <c r="G163" s="100"/>
    </row>
    <row r="164" spans="1:7" x14ac:dyDescent="0.2">
      <c r="A164" s="138"/>
      <c r="B164" s="100"/>
      <c r="C164" s="100"/>
      <c r="D164" s="143"/>
      <c r="E164" s="100"/>
      <c r="F164" s="100"/>
      <c r="G164" s="100"/>
    </row>
    <row r="165" spans="1:7" ht="18" x14ac:dyDescent="0.25">
      <c r="A165" s="140"/>
      <c r="B165" s="100"/>
      <c r="C165" s="100"/>
      <c r="D165" s="143"/>
      <c r="E165" s="100"/>
      <c r="F165" s="100"/>
      <c r="G165" s="100"/>
    </row>
    <row r="166" spans="1:7" x14ac:dyDescent="0.2">
      <c r="A166" s="138"/>
      <c r="B166" s="100"/>
      <c r="C166" s="100"/>
      <c r="D166" s="143"/>
      <c r="E166" s="100"/>
      <c r="F166" s="100"/>
      <c r="G166" s="100"/>
    </row>
    <row r="167" spans="1:7" x14ac:dyDescent="0.2">
      <c r="A167" s="138"/>
      <c r="B167" s="100"/>
      <c r="C167" s="100"/>
      <c r="D167" s="143"/>
      <c r="E167" s="100"/>
      <c r="F167" s="100"/>
      <c r="G167" s="100"/>
    </row>
    <row r="168" spans="1:7" x14ac:dyDescent="0.2">
      <c r="A168" s="138"/>
      <c r="B168" s="100"/>
      <c r="C168" s="100"/>
      <c r="D168" s="143"/>
      <c r="E168" s="100"/>
      <c r="F168" s="100"/>
      <c r="G168" s="100"/>
    </row>
    <row r="169" spans="1:7" x14ac:dyDescent="0.2">
      <c r="A169" s="138"/>
      <c r="B169" s="143"/>
      <c r="C169" s="100"/>
      <c r="D169" s="143"/>
      <c r="E169" s="100"/>
      <c r="F169" s="100"/>
      <c r="G169" s="100"/>
    </row>
    <row r="170" spans="1:7" x14ac:dyDescent="0.2">
      <c r="A170" s="138"/>
      <c r="B170" s="100"/>
      <c r="C170" s="100"/>
      <c r="D170" s="143"/>
      <c r="E170" s="100"/>
      <c r="F170" s="100"/>
      <c r="G170" s="100"/>
    </row>
    <row r="171" spans="1:7" x14ac:dyDescent="0.2">
      <c r="A171" s="138"/>
      <c r="B171" s="144"/>
      <c r="C171" s="144"/>
      <c r="D171" s="143"/>
      <c r="E171" s="100"/>
      <c r="F171" s="100"/>
      <c r="G171" s="100"/>
    </row>
    <row r="172" spans="1:7" x14ac:dyDescent="0.2">
      <c r="A172" s="138"/>
      <c r="B172" s="144"/>
      <c r="C172" s="144"/>
      <c r="D172" s="143"/>
      <c r="E172" s="100"/>
      <c r="F172" s="100"/>
      <c r="G172" s="100"/>
    </row>
    <row r="173" spans="1:7" x14ac:dyDescent="0.2">
      <c r="A173" s="138"/>
      <c r="B173" s="144"/>
      <c r="C173" s="144"/>
      <c r="D173" s="138"/>
      <c r="E173" s="100"/>
      <c r="F173" s="100"/>
      <c r="G173" s="100"/>
    </row>
    <row r="174" spans="1:7" x14ac:dyDescent="0.2">
      <c r="A174" s="138"/>
      <c r="B174" s="100"/>
      <c r="C174" s="100"/>
      <c r="D174" s="143"/>
      <c r="E174" s="100"/>
      <c r="F174" s="100"/>
      <c r="G174" s="100"/>
    </row>
    <row r="175" spans="1:7" x14ac:dyDescent="0.2">
      <c r="A175" s="138"/>
      <c r="B175" s="100"/>
      <c r="C175" s="100"/>
      <c r="D175" s="143"/>
      <c r="E175" s="100"/>
      <c r="F175" s="100"/>
      <c r="G175" s="100"/>
    </row>
    <row r="176" spans="1:7" x14ac:dyDescent="0.2">
      <c r="A176" s="138"/>
      <c r="B176" s="138"/>
      <c r="C176" s="138"/>
      <c r="D176" s="138"/>
      <c r="E176" s="138"/>
      <c r="F176" s="138"/>
      <c r="G176" s="138"/>
    </row>
    <row r="177" spans="1:7" ht="18" x14ac:dyDescent="0.25">
      <c r="A177" s="140"/>
      <c r="B177" s="138"/>
      <c r="C177" s="138"/>
      <c r="D177" s="138"/>
      <c r="E177" s="138"/>
      <c r="F177" s="138"/>
      <c r="G177" s="138"/>
    </row>
    <row r="178" spans="1:7" x14ac:dyDescent="0.2">
      <c r="A178" s="138"/>
      <c r="B178" s="138"/>
      <c r="C178" s="138"/>
      <c r="D178" s="138"/>
      <c r="E178" s="138"/>
      <c r="F178" s="138"/>
      <c r="G178" s="138"/>
    </row>
    <row r="179" spans="1:7" ht="14.25" x14ac:dyDescent="0.2">
      <c r="A179" s="148"/>
      <c r="B179" s="138"/>
      <c r="C179" s="138"/>
      <c r="D179" s="138"/>
      <c r="E179" s="138"/>
      <c r="F179" s="138"/>
      <c r="G179" s="138"/>
    </row>
    <row r="180" spans="1:7" ht="14.25" x14ac:dyDescent="0.2">
      <c r="A180" s="148"/>
      <c r="B180" s="138"/>
      <c r="C180" s="138"/>
      <c r="D180" s="138"/>
      <c r="E180" s="138"/>
      <c r="F180" s="138"/>
      <c r="G180" s="138"/>
    </row>
    <row r="181" spans="1:7" ht="14.25" x14ac:dyDescent="0.2">
      <c r="A181" s="148"/>
      <c r="B181" s="138"/>
      <c r="C181" s="138"/>
      <c r="D181" s="138"/>
      <c r="E181" s="138"/>
      <c r="F181" s="138"/>
      <c r="G181" s="138"/>
    </row>
    <row r="182" spans="1:7" x14ac:dyDescent="0.2">
      <c r="A182" s="138"/>
      <c r="B182" s="138"/>
      <c r="C182" s="138"/>
      <c r="D182" s="138"/>
      <c r="E182" s="138"/>
      <c r="F182" s="138"/>
      <c r="G182" s="138"/>
    </row>
    <row r="183" spans="1:7" x14ac:dyDescent="0.2">
      <c r="A183" s="138"/>
      <c r="B183" s="138"/>
      <c r="C183" s="138"/>
      <c r="D183" s="138"/>
      <c r="E183" s="138"/>
      <c r="F183" s="138"/>
      <c r="G183" s="138"/>
    </row>
    <row r="184" spans="1:7" x14ac:dyDescent="0.2">
      <c r="A184" s="138"/>
      <c r="B184" s="65"/>
      <c r="C184" s="65"/>
      <c r="D184" s="138"/>
      <c r="E184" s="138"/>
      <c r="F184" s="138"/>
      <c r="G184" s="138"/>
    </row>
    <row r="185" spans="1:7" x14ac:dyDescent="0.2">
      <c r="A185" s="138"/>
      <c r="B185" s="65"/>
      <c r="C185" s="65"/>
      <c r="D185" s="138"/>
      <c r="E185" s="138"/>
      <c r="F185" s="138"/>
      <c r="G185" s="138"/>
    </row>
    <row r="186" spans="1:7" x14ac:dyDescent="0.2">
      <c r="A186" s="138"/>
      <c r="B186" s="65"/>
      <c r="C186" s="65"/>
      <c r="D186" s="138"/>
      <c r="E186" s="138"/>
      <c r="F186" s="138"/>
      <c r="G186" s="138"/>
    </row>
    <row r="187" spans="1:7" x14ac:dyDescent="0.2">
      <c r="A187" s="138"/>
      <c r="B187" s="65"/>
      <c r="C187" s="65"/>
      <c r="D187" s="138"/>
      <c r="E187" s="138"/>
      <c r="F187" s="138"/>
      <c r="G187" s="138"/>
    </row>
    <row r="188" spans="1:7" x14ac:dyDescent="0.2">
      <c r="A188" s="138"/>
      <c r="B188" s="65"/>
      <c r="C188" s="65"/>
      <c r="D188" s="138"/>
      <c r="E188" s="138"/>
      <c r="F188" s="138"/>
      <c r="G188" s="138"/>
    </row>
    <row r="189" spans="1:7" x14ac:dyDescent="0.2">
      <c r="A189" s="138"/>
      <c r="B189" s="65"/>
      <c r="C189" s="65"/>
      <c r="D189" s="138"/>
      <c r="E189" s="138"/>
      <c r="F189" s="138"/>
      <c r="G189" s="138"/>
    </row>
    <row r="190" spans="1:7" x14ac:dyDescent="0.2">
      <c r="A190" s="138"/>
      <c r="B190" s="65"/>
      <c r="C190" s="65"/>
      <c r="D190" s="138"/>
      <c r="E190" s="138"/>
      <c r="F190" s="138"/>
      <c r="G190" s="138"/>
    </row>
    <row r="191" spans="1:7" x14ac:dyDescent="0.2">
      <c r="A191" s="138"/>
      <c r="B191" s="65"/>
      <c r="C191" s="65"/>
      <c r="D191" s="138"/>
      <c r="E191" s="138"/>
      <c r="F191" s="138"/>
      <c r="G191" s="138"/>
    </row>
    <row r="192" spans="1:7" x14ac:dyDescent="0.2">
      <c r="A192" s="138"/>
      <c r="B192" s="149"/>
      <c r="C192" s="149"/>
      <c r="D192" s="138"/>
      <c r="E192" s="138"/>
      <c r="F192" s="138"/>
      <c r="G192" s="138"/>
    </row>
    <row r="193" spans="1:7" x14ac:dyDescent="0.2">
      <c r="A193" s="138"/>
      <c r="B193" s="65"/>
      <c r="C193" s="65"/>
      <c r="D193" s="138"/>
      <c r="E193" s="138"/>
      <c r="F193" s="138"/>
      <c r="G193" s="138"/>
    </row>
    <row r="194" spans="1:7" x14ac:dyDescent="0.2">
      <c r="A194" s="138"/>
      <c r="B194" s="65"/>
      <c r="C194" s="65"/>
      <c r="D194" s="138"/>
      <c r="E194" s="138"/>
      <c r="F194" s="138"/>
      <c r="G194" s="138"/>
    </row>
    <row r="195" spans="1:7" x14ac:dyDescent="0.2">
      <c r="A195" s="138"/>
      <c r="B195" s="65"/>
      <c r="C195" s="65"/>
      <c r="D195" s="138"/>
      <c r="E195" s="138"/>
      <c r="F195" s="138"/>
      <c r="G195" s="138"/>
    </row>
    <row r="196" spans="1:7" x14ac:dyDescent="0.2">
      <c r="A196" s="138"/>
      <c r="B196" s="65"/>
      <c r="C196" s="65"/>
      <c r="D196" s="138"/>
      <c r="E196" s="138"/>
      <c r="F196" s="138"/>
      <c r="G196" s="138"/>
    </row>
    <row r="197" spans="1:7" x14ac:dyDescent="0.2">
      <c r="A197" s="138"/>
      <c r="B197" s="65"/>
      <c r="C197" s="65"/>
      <c r="D197" s="138"/>
      <c r="E197" s="138"/>
      <c r="F197" s="138"/>
      <c r="G197" s="138"/>
    </row>
    <row r="198" spans="1:7" x14ac:dyDescent="0.2">
      <c r="A198" s="138"/>
      <c r="B198" s="65"/>
      <c r="C198" s="65"/>
      <c r="D198" s="138"/>
      <c r="E198" s="138"/>
      <c r="F198" s="138"/>
      <c r="G198" s="138"/>
    </row>
    <row r="199" spans="1:7" x14ac:dyDescent="0.2">
      <c r="A199" s="138"/>
      <c r="B199" s="65"/>
      <c r="C199" s="65"/>
      <c r="D199" s="138"/>
      <c r="E199" s="138"/>
      <c r="F199" s="138"/>
      <c r="G199" s="138"/>
    </row>
    <row r="200" spans="1:7" x14ac:dyDescent="0.2">
      <c r="A200" s="138"/>
      <c r="B200" s="65"/>
      <c r="C200" s="65"/>
      <c r="D200" s="138"/>
      <c r="E200" s="138"/>
      <c r="F200" s="138"/>
      <c r="G200" s="138"/>
    </row>
    <row r="201" spans="1:7" x14ac:dyDescent="0.2">
      <c r="A201" s="138"/>
      <c r="B201" s="65"/>
      <c r="C201" s="65"/>
      <c r="D201" s="138"/>
      <c r="E201" s="138"/>
      <c r="F201" s="138"/>
      <c r="G201" s="138"/>
    </row>
    <row r="202" spans="1:7" x14ac:dyDescent="0.2">
      <c r="A202" s="138"/>
      <c r="B202" s="65"/>
      <c r="C202" s="65"/>
      <c r="D202" s="138"/>
      <c r="E202" s="138"/>
      <c r="F202" s="138"/>
      <c r="G202" s="138"/>
    </row>
    <row r="203" spans="1:7" x14ac:dyDescent="0.2">
      <c r="A203" s="138"/>
      <c r="B203" s="65"/>
      <c r="C203" s="65"/>
      <c r="D203" s="138"/>
      <c r="E203" s="138"/>
      <c r="F203" s="138"/>
      <c r="G203" s="138"/>
    </row>
    <row r="204" spans="1:7" x14ac:dyDescent="0.2">
      <c r="A204" s="138"/>
      <c r="B204" s="65"/>
      <c r="C204" s="65"/>
      <c r="D204" s="138"/>
      <c r="E204" s="138"/>
      <c r="F204" s="138"/>
      <c r="G204" s="138"/>
    </row>
    <row r="205" spans="1:7" x14ac:dyDescent="0.2">
      <c r="A205" s="138"/>
      <c r="B205" s="65"/>
      <c r="C205" s="65"/>
      <c r="D205" s="138"/>
      <c r="E205" s="138"/>
      <c r="F205" s="138"/>
      <c r="G205" s="138"/>
    </row>
    <row r="206" spans="1:7" x14ac:dyDescent="0.2">
      <c r="A206" s="138"/>
      <c r="B206" s="138"/>
      <c r="C206" s="65"/>
      <c r="D206" s="138"/>
      <c r="E206" s="138"/>
      <c r="F206" s="138"/>
      <c r="G206" s="138"/>
    </row>
    <row r="207" spans="1:7" x14ac:dyDescent="0.2">
      <c r="A207" s="138"/>
      <c r="B207" s="138"/>
      <c r="C207" s="65"/>
      <c r="D207" s="138"/>
      <c r="E207" s="138"/>
      <c r="F207" s="138"/>
      <c r="G207" s="138"/>
    </row>
    <row r="208" spans="1:7" x14ac:dyDescent="0.2">
      <c r="A208" s="138"/>
      <c r="B208" s="138"/>
      <c r="C208" s="138"/>
      <c r="D208" s="138"/>
      <c r="E208" s="138"/>
      <c r="F208" s="138"/>
      <c r="G208" s="138"/>
    </row>
    <row r="209" spans="1:7" x14ac:dyDescent="0.2">
      <c r="A209" s="138"/>
      <c r="B209" s="138"/>
      <c r="C209" s="138"/>
      <c r="D209" s="138"/>
      <c r="E209" s="138"/>
      <c r="F209" s="138"/>
      <c r="G209" s="138"/>
    </row>
    <row r="210" spans="1:7" x14ac:dyDescent="0.2">
      <c r="A210" s="138"/>
      <c r="B210" s="138"/>
      <c r="C210" s="138"/>
      <c r="D210" s="138"/>
      <c r="E210" s="138"/>
      <c r="F210" s="138"/>
      <c r="G210" s="138"/>
    </row>
  </sheetData>
  <phoneticPr fontId="0" type="noConversion"/>
  <hyperlinks>
    <hyperlink ref="B5" r:id="rId1"/>
  </hyperlinks>
  <pageMargins left="0.32" right="0.17" top="0.42" bottom="0.57999999999999996" header="0.32" footer="0.33"/>
  <pageSetup scale="75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22" zoomScale="75" workbookViewId="0"/>
  </sheetViews>
  <sheetFormatPr defaultRowHeight="12.75" x14ac:dyDescent="0.2"/>
  <cols>
    <col min="1" max="1" width="19.28515625" customWidth="1"/>
    <col min="2" max="2" width="10.42578125" customWidth="1"/>
    <col min="3" max="3" width="9" customWidth="1"/>
    <col min="4" max="4" width="22" customWidth="1"/>
    <col min="5" max="5" width="23.5703125" customWidth="1"/>
    <col min="6" max="6" width="20.5703125" customWidth="1"/>
    <col min="7" max="7" width="14" customWidth="1"/>
  </cols>
  <sheetData>
    <row r="1" spans="1:8" ht="15.75" x14ac:dyDescent="0.25">
      <c r="A1" s="27"/>
      <c r="B1" s="31"/>
      <c r="C1" s="31"/>
      <c r="D1" s="136" t="s">
        <v>319</v>
      </c>
      <c r="E1" s="31"/>
      <c r="F1" s="11" t="s">
        <v>330</v>
      </c>
    </row>
    <row r="2" spans="1:8" ht="15.75" x14ac:dyDescent="0.25">
      <c r="A2" s="31"/>
      <c r="B2" s="31"/>
      <c r="C2" s="31"/>
      <c r="D2" s="136" t="s">
        <v>196</v>
      </c>
      <c r="E2" s="31"/>
      <c r="F2" s="11" t="s">
        <v>331</v>
      </c>
    </row>
    <row r="3" spans="1:8" ht="15.75" x14ac:dyDescent="0.25">
      <c r="A3" s="111"/>
      <c r="D3" s="201" t="s">
        <v>201</v>
      </c>
      <c r="E3" s="111"/>
    </row>
    <row r="4" spans="1:8" ht="15.75" x14ac:dyDescent="0.25">
      <c r="A4" s="111"/>
      <c r="D4" s="31"/>
      <c r="E4" s="111"/>
    </row>
    <row r="5" spans="1:8" ht="15.75" x14ac:dyDescent="0.25">
      <c r="A5" s="126" t="s">
        <v>308</v>
      </c>
      <c r="D5" s="31"/>
      <c r="E5" s="111"/>
    </row>
    <row r="6" spans="1:8" ht="15.75" x14ac:dyDescent="0.25">
      <c r="A6" s="98" t="s">
        <v>203</v>
      </c>
      <c r="B6" s="31"/>
      <c r="C6" s="31"/>
      <c r="D6" s="31"/>
      <c r="E6" s="31"/>
    </row>
    <row r="7" spans="1:8" ht="15.75" x14ac:dyDescent="0.25">
      <c r="A7" s="98"/>
      <c r="B7" s="31"/>
      <c r="C7" s="31"/>
      <c r="D7" s="31"/>
      <c r="E7" s="31"/>
    </row>
    <row r="8" spans="1:8" ht="15.75" x14ac:dyDescent="0.25">
      <c r="A8" s="61" t="s">
        <v>6</v>
      </c>
      <c r="B8" s="130"/>
      <c r="C8" s="131"/>
      <c r="D8" s="27"/>
      <c r="E8" s="132"/>
      <c r="G8" s="14"/>
    </row>
    <row r="9" spans="1:8" ht="15" x14ac:dyDescent="0.2">
      <c r="A9" s="31"/>
      <c r="B9" s="132"/>
      <c r="C9" s="132"/>
      <c r="D9" s="133"/>
      <c r="E9" s="132"/>
      <c r="F9" s="14"/>
      <c r="G9" s="14"/>
    </row>
    <row r="10" spans="1:8" ht="15" x14ac:dyDescent="0.2">
      <c r="A10" s="31"/>
      <c r="B10" s="134"/>
      <c r="C10" s="133" t="s">
        <v>111</v>
      </c>
      <c r="E10" s="135" t="s">
        <v>113</v>
      </c>
      <c r="F10" s="17">
        <f>'9. Service Charge Adj.'!E22</f>
        <v>14.66</v>
      </c>
      <c r="G10" s="19"/>
      <c r="H10" s="19"/>
    </row>
    <row r="11" spans="1:8" ht="15" x14ac:dyDescent="0.2">
      <c r="A11" s="31"/>
      <c r="B11" s="132"/>
      <c r="C11" s="133" t="s">
        <v>112</v>
      </c>
      <c r="E11" s="135" t="s">
        <v>114</v>
      </c>
      <c r="F11" s="14">
        <f>'9. Service Charge Adj.'!D41</f>
        <v>7.9885402519283086E-3</v>
      </c>
      <c r="G11" s="14"/>
    </row>
    <row r="12" spans="1:8" ht="15" x14ac:dyDescent="0.2">
      <c r="A12" s="31"/>
      <c r="B12" s="134"/>
      <c r="C12" s="133"/>
      <c r="E12" s="135"/>
      <c r="F12" s="14"/>
      <c r="G12" s="81"/>
      <c r="H12" s="19"/>
    </row>
    <row r="13" spans="1:8" ht="15" x14ac:dyDescent="0.2">
      <c r="A13" s="31"/>
      <c r="B13" s="132"/>
      <c r="C13" s="132"/>
      <c r="D13" s="132"/>
      <c r="E13" s="132"/>
      <c r="F13" s="14"/>
      <c r="G13" s="14"/>
    </row>
    <row r="14" spans="1:8" ht="15.75" x14ac:dyDescent="0.25">
      <c r="A14" s="61" t="s">
        <v>10</v>
      </c>
      <c r="B14" s="130"/>
      <c r="C14" s="131"/>
      <c r="D14" s="133"/>
      <c r="E14" s="132"/>
      <c r="F14" s="14"/>
      <c r="G14" s="14"/>
    </row>
    <row r="15" spans="1:8" ht="15" x14ac:dyDescent="0.2">
      <c r="A15" s="31"/>
      <c r="B15" s="132"/>
      <c r="C15" s="132"/>
      <c r="D15" s="133"/>
      <c r="E15" s="132"/>
      <c r="F15" s="14"/>
      <c r="G15" s="14"/>
    </row>
    <row r="16" spans="1:8" ht="15" x14ac:dyDescent="0.2">
      <c r="A16" s="31"/>
      <c r="B16" s="134"/>
      <c r="C16" s="133" t="s">
        <v>111</v>
      </c>
      <c r="E16" s="135" t="s">
        <v>113</v>
      </c>
      <c r="F16" s="17">
        <f>'9. Service Charge Adj.'!E23</f>
        <v>15.14</v>
      </c>
      <c r="G16" s="20"/>
      <c r="H16" s="19"/>
    </row>
    <row r="17" spans="1:8" ht="15" x14ac:dyDescent="0.2">
      <c r="A17" s="31"/>
      <c r="B17" s="132"/>
      <c r="C17" s="133" t="s">
        <v>112</v>
      </c>
      <c r="E17" s="135" t="s">
        <v>114</v>
      </c>
      <c r="F17" s="14">
        <f>'9. Service Charge Adj.'!D61</f>
        <v>2.2018931206899033E-3</v>
      </c>
      <c r="G17" s="20"/>
    </row>
    <row r="18" spans="1:8" ht="15" x14ac:dyDescent="0.2">
      <c r="A18" s="31"/>
      <c r="B18" s="134"/>
      <c r="C18" s="133"/>
      <c r="E18" s="135"/>
      <c r="F18" s="14"/>
      <c r="G18" s="20"/>
      <c r="H18" s="19"/>
    </row>
    <row r="19" spans="1:8" ht="15" x14ac:dyDescent="0.2">
      <c r="A19" s="31"/>
      <c r="B19" s="132"/>
      <c r="C19" s="132"/>
      <c r="D19" s="133"/>
      <c r="E19" s="132"/>
      <c r="F19" s="14"/>
      <c r="G19" s="14"/>
    </row>
    <row r="20" spans="1:8" ht="15.75" x14ac:dyDescent="0.25">
      <c r="A20" s="61" t="s">
        <v>115</v>
      </c>
      <c r="B20" s="130"/>
      <c r="C20" s="131"/>
      <c r="D20" s="133"/>
      <c r="E20" s="132"/>
      <c r="F20" s="14"/>
      <c r="G20" s="14"/>
    </row>
    <row r="21" spans="1:8" ht="15" x14ac:dyDescent="0.2">
      <c r="A21" s="31"/>
      <c r="B21" s="132"/>
      <c r="C21" s="132"/>
      <c r="D21" s="133"/>
      <c r="E21" s="132"/>
      <c r="F21" s="14"/>
      <c r="G21" s="14"/>
    </row>
    <row r="22" spans="1:8" ht="15" x14ac:dyDescent="0.2">
      <c r="A22" s="31"/>
      <c r="B22" s="134"/>
      <c r="C22" s="133" t="s">
        <v>111</v>
      </c>
      <c r="E22" s="135" t="s">
        <v>113</v>
      </c>
      <c r="F22" s="17">
        <f>'9. Service Charge Adj.'!E24</f>
        <v>554.38</v>
      </c>
      <c r="G22" s="14"/>
    </row>
    <row r="23" spans="1:8" ht="15" x14ac:dyDescent="0.2">
      <c r="A23" s="31"/>
      <c r="B23" s="132"/>
      <c r="C23" s="133" t="s">
        <v>112</v>
      </c>
      <c r="E23" s="135" t="s">
        <v>116</v>
      </c>
      <c r="F23" s="14">
        <f>'9. Service Charge Adj.'!D71</f>
        <v>3.114892688513148</v>
      </c>
      <c r="G23" s="14"/>
    </row>
    <row r="24" spans="1:8" ht="15" x14ac:dyDescent="0.2">
      <c r="A24" s="31"/>
      <c r="B24" s="134"/>
      <c r="C24" s="133"/>
      <c r="E24" s="135"/>
      <c r="F24" s="14"/>
      <c r="G24" s="14"/>
    </row>
    <row r="25" spans="1:8" ht="15" x14ac:dyDescent="0.2">
      <c r="A25" s="31"/>
      <c r="B25" s="132"/>
      <c r="C25" s="132"/>
      <c r="D25" s="133"/>
      <c r="E25" s="132"/>
      <c r="F25" s="14"/>
      <c r="G25" s="14"/>
    </row>
    <row r="26" spans="1:8" ht="15.75" x14ac:dyDescent="0.25">
      <c r="A26" s="61" t="s">
        <v>117</v>
      </c>
      <c r="B26" s="132"/>
      <c r="C26" s="132"/>
      <c r="D26" s="133"/>
      <c r="E26" s="132"/>
      <c r="F26" s="14"/>
      <c r="G26" s="14"/>
    </row>
    <row r="27" spans="1:8" ht="15" x14ac:dyDescent="0.2">
      <c r="B27" s="130"/>
      <c r="C27" s="131"/>
      <c r="D27" s="133"/>
      <c r="E27" s="132"/>
      <c r="F27" s="14"/>
      <c r="G27" s="14"/>
    </row>
    <row r="28" spans="1:8" ht="15.75" x14ac:dyDescent="0.25">
      <c r="A28" s="27"/>
      <c r="B28" s="132"/>
      <c r="C28" s="133" t="s">
        <v>111</v>
      </c>
      <c r="E28" s="135" t="s">
        <v>113</v>
      </c>
      <c r="F28" s="17">
        <f>'9. Service Charge Adj.'!E25</f>
        <v>1113.07</v>
      </c>
      <c r="G28" s="14"/>
    </row>
    <row r="29" spans="1:8" ht="15" x14ac:dyDescent="0.2">
      <c r="A29" s="31"/>
      <c r="B29" s="134"/>
      <c r="C29" s="133" t="s">
        <v>112</v>
      </c>
      <c r="E29" s="135" t="s">
        <v>116</v>
      </c>
      <c r="F29" s="14">
        <f>'9. Service Charge Adj.'!D81</f>
        <v>0.80798823398259967</v>
      </c>
      <c r="G29" s="14"/>
    </row>
    <row r="30" spans="1:8" ht="15" x14ac:dyDescent="0.2">
      <c r="A30" s="31"/>
      <c r="B30" s="134"/>
      <c r="C30" s="133"/>
      <c r="E30" s="135"/>
      <c r="F30" s="14"/>
      <c r="G30" s="14"/>
    </row>
    <row r="31" spans="1:8" ht="15.75" x14ac:dyDescent="0.25">
      <c r="A31" s="27"/>
      <c r="B31" s="135"/>
      <c r="C31" s="135"/>
      <c r="D31" s="135"/>
      <c r="E31" s="135"/>
      <c r="F31" s="101"/>
      <c r="G31" s="101"/>
    </row>
    <row r="32" spans="1:8" ht="15" x14ac:dyDescent="0.2">
      <c r="A32" s="31"/>
      <c r="B32" s="134"/>
      <c r="C32" s="133"/>
      <c r="E32" s="135"/>
      <c r="F32" s="14"/>
      <c r="G32" s="14"/>
    </row>
    <row r="33" spans="1:7" ht="15" x14ac:dyDescent="0.2">
      <c r="A33" s="31"/>
      <c r="B33" s="134"/>
      <c r="C33" s="133"/>
      <c r="E33" s="135"/>
      <c r="F33" s="14"/>
      <c r="G33" s="14"/>
    </row>
    <row r="34" spans="1:7" ht="15" x14ac:dyDescent="0.2">
      <c r="A34" s="31"/>
      <c r="B34" s="134"/>
      <c r="C34" s="133"/>
      <c r="E34" s="135"/>
      <c r="F34" s="14"/>
      <c r="G34" s="14"/>
    </row>
    <row r="35" spans="1:7" ht="15" x14ac:dyDescent="0.2">
      <c r="A35" s="31"/>
      <c r="B35" s="134"/>
      <c r="C35" s="133"/>
      <c r="E35" s="135"/>
      <c r="F35" s="14"/>
      <c r="G35" s="14"/>
    </row>
    <row r="36" spans="1:7" ht="15" x14ac:dyDescent="0.2">
      <c r="A36" s="31"/>
      <c r="B36" s="134"/>
      <c r="C36" s="133"/>
      <c r="E36" s="135"/>
      <c r="F36" s="14"/>
      <c r="G36" s="14"/>
    </row>
    <row r="37" spans="1:7" ht="15" x14ac:dyDescent="0.2">
      <c r="A37" s="31"/>
      <c r="B37" s="134"/>
      <c r="C37" s="133"/>
      <c r="E37" s="135"/>
      <c r="F37" s="14"/>
      <c r="G37" s="14"/>
    </row>
    <row r="38" spans="1:7" ht="15" x14ac:dyDescent="0.2">
      <c r="A38" s="31"/>
      <c r="B38" s="134"/>
      <c r="C38" s="133"/>
      <c r="E38" s="135"/>
      <c r="F38" s="14"/>
      <c r="G38" s="14"/>
    </row>
    <row r="39" spans="1:7" ht="15" x14ac:dyDescent="0.2">
      <c r="A39" s="31"/>
      <c r="B39" s="134"/>
      <c r="C39" s="133"/>
      <c r="E39" s="135"/>
      <c r="F39" s="14"/>
      <c r="G39" s="14"/>
    </row>
    <row r="40" spans="1:7" ht="15" x14ac:dyDescent="0.2">
      <c r="A40" s="31"/>
      <c r="B40" s="134"/>
      <c r="C40" s="133"/>
      <c r="E40" s="135"/>
      <c r="F40" s="14"/>
      <c r="G40" s="14"/>
    </row>
    <row r="41" spans="1:7" ht="15" x14ac:dyDescent="0.2">
      <c r="A41" s="31"/>
      <c r="B41" s="134"/>
      <c r="C41" s="133"/>
      <c r="E41" s="135"/>
      <c r="F41" s="14"/>
      <c r="G41" s="14"/>
    </row>
    <row r="42" spans="1:7" ht="15" x14ac:dyDescent="0.2">
      <c r="A42" s="31"/>
      <c r="B42" s="134"/>
      <c r="C42" s="133"/>
      <c r="E42" s="135"/>
      <c r="F42" s="14"/>
      <c r="G42" s="14"/>
    </row>
    <row r="43" spans="1:7" ht="15" x14ac:dyDescent="0.2">
      <c r="A43" s="31"/>
      <c r="B43" s="134"/>
      <c r="C43" s="133"/>
      <c r="E43" s="135"/>
      <c r="F43" s="14"/>
      <c r="G43" s="14"/>
    </row>
    <row r="44" spans="1:7" ht="15" x14ac:dyDescent="0.2">
      <c r="A44" s="31"/>
      <c r="B44" s="134"/>
      <c r="C44" s="133"/>
      <c r="E44" s="135"/>
      <c r="F44" s="14"/>
      <c r="G44" s="14"/>
    </row>
    <row r="45" spans="1:7" ht="15" x14ac:dyDescent="0.2">
      <c r="A45" s="31"/>
      <c r="B45" s="134"/>
      <c r="C45" s="133"/>
      <c r="E45" s="135"/>
      <c r="F45" s="14"/>
      <c r="G45" s="14"/>
    </row>
    <row r="46" spans="1:7" ht="15" x14ac:dyDescent="0.2">
      <c r="A46" s="31"/>
      <c r="B46" s="134"/>
      <c r="C46" s="133"/>
      <c r="E46" s="135"/>
      <c r="F46" s="14"/>
      <c r="G46" s="14"/>
    </row>
    <row r="47" spans="1:7" ht="15" x14ac:dyDescent="0.2">
      <c r="A47" s="31"/>
      <c r="B47" s="134"/>
      <c r="C47" s="133"/>
      <c r="E47" s="135"/>
      <c r="F47" s="14"/>
      <c r="G47" s="14"/>
    </row>
    <row r="48" spans="1:7" ht="15" x14ac:dyDescent="0.2">
      <c r="A48" s="31"/>
      <c r="B48" s="134"/>
      <c r="C48" s="133"/>
      <c r="E48" s="135"/>
      <c r="F48" s="14"/>
      <c r="G48" s="14"/>
    </row>
    <row r="49" spans="1:7" ht="15" x14ac:dyDescent="0.2">
      <c r="A49" s="31"/>
      <c r="B49" s="134"/>
      <c r="C49" s="133"/>
      <c r="E49" s="135"/>
      <c r="F49" s="14"/>
      <c r="G49" s="14"/>
    </row>
    <row r="50" spans="1:7" ht="15" x14ac:dyDescent="0.2">
      <c r="A50" s="31"/>
      <c r="B50" s="134"/>
      <c r="C50" s="133"/>
      <c r="E50" s="135"/>
      <c r="F50" s="14"/>
      <c r="G50" s="14"/>
    </row>
    <row r="51" spans="1:7" ht="15" x14ac:dyDescent="0.2">
      <c r="A51" s="31"/>
      <c r="B51" s="134"/>
      <c r="C51" s="133"/>
      <c r="E51" s="135"/>
      <c r="F51" s="14"/>
      <c r="G51" s="14"/>
    </row>
    <row r="52" spans="1:7" ht="15" x14ac:dyDescent="0.2">
      <c r="A52" s="31"/>
      <c r="B52" s="134"/>
      <c r="C52" s="133"/>
      <c r="E52" s="135"/>
      <c r="F52" s="14"/>
      <c r="G52" s="14"/>
    </row>
    <row r="53" spans="1:7" ht="15" x14ac:dyDescent="0.2">
      <c r="A53" s="31"/>
      <c r="B53" s="134"/>
      <c r="C53" s="133"/>
      <c r="E53" s="135"/>
      <c r="F53" s="14"/>
      <c r="G53" s="14"/>
    </row>
    <row r="54" spans="1:7" ht="15.75" x14ac:dyDescent="0.25">
      <c r="A54" s="31"/>
      <c r="B54" s="132"/>
      <c r="C54" s="132"/>
      <c r="D54" s="136" t="s">
        <v>319</v>
      </c>
      <c r="E54" s="132"/>
      <c r="F54" s="11" t="s">
        <v>330</v>
      </c>
      <c r="G54" s="14"/>
    </row>
    <row r="55" spans="1:7" ht="15.75" x14ac:dyDescent="0.25">
      <c r="A55" s="31"/>
      <c r="B55" s="132"/>
      <c r="C55" s="132"/>
      <c r="D55" s="136" t="s">
        <v>196</v>
      </c>
      <c r="E55" s="132"/>
      <c r="F55" s="11" t="s">
        <v>331</v>
      </c>
      <c r="G55" s="14"/>
    </row>
    <row r="56" spans="1:7" ht="15" x14ac:dyDescent="0.2">
      <c r="A56" s="31"/>
      <c r="B56" s="132"/>
      <c r="C56" s="132"/>
      <c r="D56" s="201" t="s">
        <v>201</v>
      </c>
      <c r="E56" s="132"/>
      <c r="F56" s="14"/>
      <c r="G56" s="14"/>
    </row>
    <row r="57" spans="1:7" ht="15" x14ac:dyDescent="0.2">
      <c r="A57" s="31"/>
      <c r="B57" s="132"/>
      <c r="C57" s="132"/>
      <c r="D57" s="202" t="s">
        <v>202</v>
      </c>
      <c r="E57" s="132"/>
      <c r="F57" s="14"/>
      <c r="G57" s="14"/>
    </row>
    <row r="58" spans="1:7" ht="15" x14ac:dyDescent="0.2">
      <c r="A58" s="31"/>
      <c r="B58" s="132"/>
      <c r="C58" s="132"/>
      <c r="D58" s="202"/>
      <c r="E58" s="132"/>
      <c r="F58" s="14"/>
      <c r="G58" s="14"/>
    </row>
    <row r="59" spans="1:7" ht="15" x14ac:dyDescent="0.2">
      <c r="A59" s="31"/>
      <c r="B59" s="132"/>
      <c r="C59" s="132"/>
      <c r="D59" s="133"/>
      <c r="E59" s="132"/>
      <c r="F59" s="14"/>
      <c r="G59" s="14"/>
    </row>
    <row r="60" spans="1:7" ht="15.75" x14ac:dyDescent="0.25">
      <c r="A60" s="61" t="s">
        <v>118</v>
      </c>
      <c r="B60" s="134"/>
      <c r="C60" s="132"/>
      <c r="D60" s="133"/>
      <c r="E60" s="132"/>
      <c r="F60" s="14"/>
      <c r="G60" s="14"/>
    </row>
    <row r="61" spans="1:7" ht="15" x14ac:dyDescent="0.2">
      <c r="A61" s="31"/>
      <c r="B61" s="132"/>
      <c r="C61" s="132"/>
      <c r="D61" s="133"/>
      <c r="E61" s="132"/>
      <c r="F61" s="14"/>
      <c r="G61" s="14"/>
    </row>
    <row r="62" spans="1:7" ht="15" x14ac:dyDescent="0.2">
      <c r="A62" s="31"/>
      <c r="B62" s="134"/>
      <c r="C62" s="133" t="s">
        <v>111</v>
      </c>
      <c r="E62" s="135" t="s">
        <v>113</v>
      </c>
      <c r="F62" s="17">
        <f>'9. Service Charge Adj.'!E28</f>
        <v>0.52</v>
      </c>
      <c r="G62" s="14"/>
    </row>
    <row r="63" spans="1:7" ht="15" x14ac:dyDescent="0.2">
      <c r="A63" s="31"/>
      <c r="B63" s="132"/>
      <c r="C63" s="133" t="s">
        <v>112</v>
      </c>
      <c r="E63" s="135" t="s">
        <v>116</v>
      </c>
      <c r="F63" s="14">
        <f>'9. Service Charge Adj.'!D111</f>
        <v>1.0817447449330595</v>
      </c>
      <c r="G63" s="14"/>
    </row>
    <row r="64" spans="1:7" ht="15" x14ac:dyDescent="0.2">
      <c r="A64" s="31"/>
      <c r="B64" s="132"/>
      <c r="C64" s="133"/>
      <c r="E64" s="135"/>
      <c r="F64" s="14"/>
      <c r="G64" s="14"/>
    </row>
    <row r="65" spans="1:7" ht="15.75" x14ac:dyDescent="0.25">
      <c r="A65" s="27"/>
      <c r="B65" s="132"/>
      <c r="C65" s="132"/>
      <c r="D65" s="133"/>
      <c r="E65" s="132"/>
      <c r="F65" s="14"/>
      <c r="G65" s="14"/>
    </row>
    <row r="66" spans="1:7" ht="15.75" x14ac:dyDescent="0.25">
      <c r="A66" s="61" t="s">
        <v>119</v>
      </c>
      <c r="B66" s="132"/>
      <c r="C66" s="132"/>
      <c r="D66" s="133"/>
      <c r="E66" s="132"/>
      <c r="F66" s="14"/>
      <c r="G66" s="14"/>
    </row>
    <row r="67" spans="1:7" ht="15" x14ac:dyDescent="0.2">
      <c r="B67" s="132"/>
      <c r="C67" s="132"/>
      <c r="D67" s="133"/>
      <c r="E67" s="132"/>
      <c r="F67" s="14"/>
      <c r="G67" s="14"/>
    </row>
    <row r="68" spans="1:7" ht="15" x14ac:dyDescent="0.2">
      <c r="A68" s="31"/>
      <c r="B68" s="134"/>
      <c r="C68" s="133" t="s">
        <v>111</v>
      </c>
      <c r="E68" s="135" t="s">
        <v>113</v>
      </c>
      <c r="F68" s="17">
        <f>'9. Service Charge Adj.'!E29</f>
        <v>0.08</v>
      </c>
      <c r="G68" s="14"/>
    </row>
    <row r="69" spans="1:7" ht="15" x14ac:dyDescent="0.2">
      <c r="A69" s="31"/>
      <c r="B69" s="132"/>
      <c r="C69" s="133" t="s">
        <v>112</v>
      </c>
      <c r="E69" s="135" t="s">
        <v>116</v>
      </c>
      <c r="F69" s="14">
        <f>'9. Service Charge Adj.'!D143</f>
        <v>0.65382603956028507</v>
      </c>
      <c r="G69" s="14"/>
    </row>
    <row r="70" spans="1:7" ht="15" x14ac:dyDescent="0.2">
      <c r="A70" s="31"/>
      <c r="B70" s="134"/>
      <c r="C70" s="132"/>
      <c r="E70" s="135"/>
      <c r="F70" s="14"/>
      <c r="G70" s="14"/>
    </row>
    <row r="71" spans="1:7" ht="15.75" x14ac:dyDescent="0.25">
      <c r="A71" s="27"/>
      <c r="B71" s="132"/>
      <c r="C71" s="132"/>
      <c r="D71" s="133"/>
      <c r="E71" s="132"/>
      <c r="F71" s="14"/>
      <c r="G71" s="14"/>
    </row>
    <row r="72" spans="1:7" ht="15" x14ac:dyDescent="0.2">
      <c r="A72" s="31"/>
      <c r="B72" s="132"/>
      <c r="C72" s="132"/>
      <c r="D72" s="133"/>
      <c r="E72" s="132"/>
      <c r="F72" s="14"/>
      <c r="G72" s="14"/>
    </row>
    <row r="73" spans="1:7" ht="18" x14ac:dyDescent="0.25">
      <c r="A73" s="99" t="s">
        <v>197</v>
      </c>
      <c r="B73" s="132"/>
      <c r="C73" s="132"/>
      <c r="D73" s="133"/>
      <c r="E73" s="132"/>
      <c r="F73" s="14"/>
      <c r="G73" s="14"/>
    </row>
    <row r="74" spans="1:7" ht="15" x14ac:dyDescent="0.2">
      <c r="B74" s="134"/>
      <c r="C74" s="132"/>
      <c r="D74" s="133"/>
      <c r="E74" s="132"/>
      <c r="F74" s="14"/>
      <c r="G74" s="14"/>
    </row>
    <row r="75" spans="1:7" ht="15" x14ac:dyDescent="0.2">
      <c r="A75" t="s">
        <v>198</v>
      </c>
      <c r="B75" s="132"/>
      <c r="C75" s="132"/>
      <c r="D75" s="133"/>
      <c r="E75" s="132"/>
      <c r="F75" s="14"/>
      <c r="G75" s="14"/>
    </row>
    <row r="76" spans="1:7" ht="15" x14ac:dyDescent="0.2">
      <c r="A76" s="31"/>
      <c r="B76" s="134"/>
      <c r="C76" s="132"/>
      <c r="D76" s="133"/>
      <c r="E76" s="132"/>
      <c r="F76" s="14"/>
      <c r="G76" s="14"/>
    </row>
    <row r="77" spans="1:7" x14ac:dyDescent="0.2">
      <c r="A77" t="s">
        <v>21</v>
      </c>
      <c r="B77" s="5"/>
      <c r="E77" s="23">
        <v>9</v>
      </c>
      <c r="F77" s="14"/>
      <c r="G77" s="14"/>
    </row>
    <row r="78" spans="1:7" x14ac:dyDescent="0.2">
      <c r="A78" t="s">
        <v>27</v>
      </c>
      <c r="B78" s="5"/>
      <c r="E78" s="23">
        <v>10.7</v>
      </c>
    </row>
    <row r="79" spans="1:7" x14ac:dyDescent="0.2">
      <c r="A79" t="s">
        <v>28</v>
      </c>
      <c r="B79" s="269" t="s">
        <v>325</v>
      </c>
      <c r="E79" s="270">
        <v>1.4999999999999999E-2</v>
      </c>
    </row>
    <row r="80" spans="1:7" x14ac:dyDescent="0.2">
      <c r="A80" t="s">
        <v>29</v>
      </c>
      <c r="B80" s="5"/>
      <c r="E80" s="23">
        <v>9</v>
      </c>
    </row>
    <row r="81" spans="1:5" x14ac:dyDescent="0.2">
      <c r="A81" t="s">
        <v>30</v>
      </c>
      <c r="B81" s="5"/>
      <c r="E81" s="23">
        <v>9</v>
      </c>
    </row>
    <row r="82" spans="1:5" x14ac:dyDescent="0.2">
      <c r="B82" s="5"/>
      <c r="E82" s="23"/>
    </row>
    <row r="83" spans="1:5" x14ac:dyDescent="0.2">
      <c r="A83" t="s">
        <v>31</v>
      </c>
      <c r="B83" s="5"/>
      <c r="E83" s="23"/>
    </row>
    <row r="84" spans="1:5" x14ac:dyDescent="0.2">
      <c r="A84" t="s">
        <v>32</v>
      </c>
      <c r="B84" s="5"/>
      <c r="E84" s="23">
        <v>20</v>
      </c>
    </row>
    <row r="85" spans="1:5" x14ac:dyDescent="0.2">
      <c r="A85" t="s">
        <v>33</v>
      </c>
      <c r="B85" s="5"/>
      <c r="E85" s="23">
        <v>50</v>
      </c>
    </row>
    <row r="86" spans="1:5" x14ac:dyDescent="0.2">
      <c r="E86" s="138"/>
    </row>
    <row r="87" spans="1:5" x14ac:dyDescent="0.2">
      <c r="A87" t="s">
        <v>326</v>
      </c>
      <c r="E87" s="23">
        <v>10</v>
      </c>
    </row>
    <row r="88" spans="1:5" x14ac:dyDescent="0.2">
      <c r="E88" s="138"/>
    </row>
    <row r="89" spans="1:5" x14ac:dyDescent="0.2">
      <c r="A89" t="s">
        <v>327</v>
      </c>
      <c r="E89" s="23">
        <v>0.6</v>
      </c>
    </row>
  </sheetData>
  <phoneticPr fontId="0" type="noConversion"/>
  <pageMargins left="0.59" right="0.42" top="0.46" bottom="0.6" header="0.34" footer="0.35"/>
  <pageSetup scale="90" orientation="portrait" r:id="rId1"/>
  <headerFooter alignWithMargins="0">
    <oddHeader xml:space="preserve">&amp;C&amp;"Arial,Bold"&amp;12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6"/>
  <sheetViews>
    <sheetView zoomScale="75" workbookViewId="0">
      <selection activeCell="F30" sqref="F30"/>
    </sheetView>
  </sheetViews>
  <sheetFormatPr defaultRowHeight="12.75" x14ac:dyDescent="0.2"/>
  <cols>
    <col min="1" max="1" width="31.42578125" customWidth="1"/>
    <col min="2" max="2" width="1.42578125" customWidth="1"/>
    <col min="3" max="3" width="15.85546875" customWidth="1"/>
    <col min="4" max="4" width="9.28515625" customWidth="1"/>
    <col min="5" max="5" width="10.140625" customWidth="1"/>
    <col min="6" max="6" width="19.7109375" customWidth="1"/>
    <col min="7" max="7" width="1.5703125" customWidth="1"/>
    <col min="8" max="8" width="16.140625" customWidth="1"/>
    <col min="9" max="9" width="10.42578125" customWidth="1"/>
    <col min="11" max="11" width="12.5703125" customWidth="1"/>
    <col min="12" max="12" width="0.85546875" customWidth="1"/>
    <col min="13" max="13" width="11.5703125" customWidth="1"/>
  </cols>
  <sheetData>
    <row r="1" spans="1:11" ht="18" x14ac:dyDescent="0.25">
      <c r="A1" s="15" t="s">
        <v>206</v>
      </c>
      <c r="B1" s="15"/>
    </row>
    <row r="2" spans="1:11" x14ac:dyDescent="0.2">
      <c r="A2" s="4" t="s">
        <v>220</v>
      </c>
    </row>
    <row r="3" spans="1:11" ht="18" x14ac:dyDescent="0.25">
      <c r="A3" s="111" t="s">
        <v>0</v>
      </c>
      <c r="B3" s="1"/>
      <c r="C3" s="107" t="str">
        <f>'2. 2002 Base Rate Schedule'!B3</f>
        <v>E.L.K. Energy Inc.</v>
      </c>
      <c r="D3" s="108"/>
      <c r="F3" s="111" t="s">
        <v>1</v>
      </c>
      <c r="H3" s="115" t="str">
        <f>'2. 2002 Base Rate Schedule'!F3</f>
        <v>ED-2003-0015</v>
      </c>
    </row>
    <row r="4" spans="1:11" ht="18" x14ac:dyDescent="0.25">
      <c r="A4" s="111" t="s">
        <v>3</v>
      </c>
      <c r="B4" s="1"/>
      <c r="C4" s="107" t="str">
        <f>'2. 2002 Base Rate Schedule'!B4</f>
        <v>Sandra Slater</v>
      </c>
      <c r="D4" s="15"/>
      <c r="F4" s="111" t="s">
        <v>4</v>
      </c>
      <c r="H4" s="115" t="str">
        <f>'2. 2002 Base Rate Schedule'!F4</f>
        <v>519-776-5291</v>
      </c>
    </row>
    <row r="5" spans="1:11" ht="18" x14ac:dyDescent="0.25">
      <c r="A5" s="27" t="s">
        <v>38</v>
      </c>
      <c r="B5" s="15"/>
      <c r="C5" s="107" t="str">
        <f>'2. 2002 Base Rate Schedule'!B5</f>
        <v>sslater@elkenergyinc.com</v>
      </c>
      <c r="D5" s="15"/>
    </row>
    <row r="6" spans="1:11" ht="18" x14ac:dyDescent="0.25">
      <c r="A6" s="111" t="s">
        <v>2</v>
      </c>
      <c r="B6" s="1"/>
      <c r="C6" s="107">
        <f>'2. 2002 Base Rate Schedule'!B6</f>
        <v>1</v>
      </c>
      <c r="D6" s="15"/>
    </row>
    <row r="7" spans="1:11" ht="18" x14ac:dyDescent="0.25">
      <c r="A7" s="27" t="s">
        <v>39</v>
      </c>
      <c r="B7" s="15"/>
      <c r="C7" s="110">
        <f>'2. 2002 Base Rate Schedule'!B7</f>
        <v>38031</v>
      </c>
      <c r="D7" s="15"/>
    </row>
    <row r="8" spans="1:11" ht="18" x14ac:dyDescent="0.25">
      <c r="D8" s="15"/>
    </row>
    <row r="9" spans="1:11" ht="14.25" x14ac:dyDescent="0.2">
      <c r="A9" s="125" t="s">
        <v>227</v>
      </c>
    </row>
    <row r="10" spans="1:11" ht="14.25" x14ac:dyDescent="0.2">
      <c r="A10" s="125" t="s">
        <v>222</v>
      </c>
    </row>
    <row r="11" spans="1:11" ht="14.25" x14ac:dyDescent="0.2">
      <c r="A11" s="125"/>
    </row>
    <row r="12" spans="1:11" ht="13.5" customHeight="1" x14ac:dyDescent="0.2">
      <c r="A12" s="125"/>
    </row>
    <row r="13" spans="1:11" ht="16.5" customHeight="1" x14ac:dyDescent="0.25">
      <c r="A13" s="82"/>
      <c r="B13" s="82"/>
      <c r="E13" s="274" t="s">
        <v>209</v>
      </c>
      <c r="F13" s="274"/>
      <c r="K13" s="83"/>
    </row>
    <row r="14" spans="1:11" ht="15.75" customHeight="1" x14ac:dyDescent="0.25">
      <c r="A14" s="125" t="s">
        <v>314</v>
      </c>
      <c r="B14" s="84"/>
      <c r="E14" s="274" t="s">
        <v>309</v>
      </c>
      <c r="F14" s="274"/>
      <c r="K14" s="83"/>
    </row>
    <row r="15" spans="1:11" ht="15.75" customHeight="1" x14ac:dyDescent="0.25">
      <c r="E15" s="274" t="s">
        <v>313</v>
      </c>
      <c r="F15" s="274"/>
      <c r="K15" s="83"/>
    </row>
    <row r="16" spans="1:11" ht="18" x14ac:dyDescent="0.25">
      <c r="A16" s="99" t="s">
        <v>44</v>
      </c>
      <c r="B16" s="27"/>
      <c r="D16" s="36"/>
      <c r="E16" s="274" t="s">
        <v>310</v>
      </c>
      <c r="F16" s="274"/>
      <c r="K16" s="83"/>
    </row>
    <row r="17" spans="1:15" ht="18" x14ac:dyDescent="0.25">
      <c r="A17" s="99"/>
      <c r="B17" s="27"/>
      <c r="D17" s="36"/>
      <c r="E17" s="274" t="s">
        <v>311</v>
      </c>
      <c r="F17" s="274"/>
      <c r="K17" s="83"/>
    </row>
    <row r="18" spans="1:15" ht="18" x14ac:dyDescent="0.25">
      <c r="A18" s="99"/>
      <c r="B18" s="27"/>
      <c r="D18" s="36"/>
      <c r="E18" s="136"/>
      <c r="F18" s="136"/>
      <c r="K18" s="83"/>
    </row>
    <row r="19" spans="1:15" ht="15.75" x14ac:dyDescent="0.25">
      <c r="A19" s="125" t="s">
        <v>214</v>
      </c>
      <c r="B19" s="27"/>
      <c r="D19" s="36"/>
      <c r="E19" s="136"/>
      <c r="F19" s="136"/>
      <c r="K19" s="83"/>
    </row>
    <row r="20" spans="1:15" ht="15.75" x14ac:dyDescent="0.25">
      <c r="A20" s="125" t="s">
        <v>212</v>
      </c>
      <c r="B20" s="27"/>
      <c r="D20" s="36"/>
      <c r="E20" s="136"/>
      <c r="F20" s="136"/>
      <c r="K20" s="83"/>
    </row>
    <row r="21" spans="1:15" ht="15.75" customHeight="1" x14ac:dyDescent="0.25">
      <c r="A21" s="125" t="s">
        <v>224</v>
      </c>
      <c r="E21" s="274"/>
      <c r="F21" s="274"/>
      <c r="K21" s="83"/>
    </row>
    <row r="22" spans="1:15" ht="15.75" customHeight="1" x14ac:dyDescent="0.25">
      <c r="A22" s="125"/>
      <c r="E22" s="136"/>
      <c r="F22" s="136"/>
      <c r="K22" s="83"/>
    </row>
    <row r="23" spans="1:15" ht="15" x14ac:dyDescent="0.25">
      <c r="C23" s="96" t="s">
        <v>208</v>
      </c>
      <c r="D23" s="47"/>
      <c r="E23" s="47"/>
      <c r="F23" s="47"/>
      <c r="H23" s="271" t="s">
        <v>225</v>
      </c>
      <c r="I23" s="47"/>
      <c r="J23" s="47"/>
      <c r="K23" s="90"/>
      <c r="L23" s="47"/>
      <c r="M23" s="47"/>
      <c r="N23" s="47"/>
      <c r="O23" s="36"/>
    </row>
    <row r="24" spans="1:15" x14ac:dyDescent="0.2">
      <c r="F24" s="83"/>
      <c r="K24" s="83"/>
    </row>
    <row r="25" spans="1:15" ht="15" x14ac:dyDescent="0.25">
      <c r="A25" s="98" t="s">
        <v>73</v>
      </c>
      <c r="B25" s="4"/>
      <c r="D25" s="91" t="s">
        <v>41</v>
      </c>
      <c r="E25" s="91" t="s">
        <v>68</v>
      </c>
      <c r="F25" s="92" t="s">
        <v>69</v>
      </c>
      <c r="I25" s="91" t="s">
        <v>41</v>
      </c>
      <c r="J25" s="91" t="s">
        <v>68</v>
      </c>
      <c r="K25" s="94" t="s">
        <v>69</v>
      </c>
      <c r="L25" s="4"/>
      <c r="M25" s="4" t="s">
        <v>70</v>
      </c>
      <c r="N25" s="4" t="s">
        <v>70</v>
      </c>
    </row>
    <row r="26" spans="1:15" x14ac:dyDescent="0.2">
      <c r="A26" s="4" t="s">
        <v>87</v>
      </c>
      <c r="D26" s="93" t="s">
        <v>76</v>
      </c>
      <c r="E26" s="91" t="s">
        <v>103</v>
      </c>
      <c r="F26" s="92" t="s">
        <v>71</v>
      </c>
      <c r="I26" s="91"/>
      <c r="J26" s="91" t="s">
        <v>103</v>
      </c>
      <c r="K26" s="94" t="s">
        <v>71</v>
      </c>
      <c r="L26" s="4"/>
      <c r="M26" s="4" t="s">
        <v>72</v>
      </c>
      <c r="N26" s="91" t="s">
        <v>78</v>
      </c>
    </row>
    <row r="27" spans="1:15" ht="38.25" x14ac:dyDescent="0.2">
      <c r="A27" s="97"/>
      <c r="B27" s="36"/>
      <c r="C27" s="24" t="s">
        <v>13</v>
      </c>
      <c r="D27" s="32" t="s">
        <v>77</v>
      </c>
      <c r="E27" s="32" t="s">
        <v>77</v>
      </c>
      <c r="F27" s="203">
        <v>14.66</v>
      </c>
      <c r="H27" s="24" t="s">
        <v>13</v>
      </c>
      <c r="I27" s="32" t="s">
        <v>77</v>
      </c>
      <c r="J27" s="32" t="s">
        <v>77</v>
      </c>
      <c r="K27" s="66">
        <f>'10. 2004 Rate Schedule '!F10</f>
        <v>14.66</v>
      </c>
      <c r="L27" s="66"/>
      <c r="M27" s="66"/>
    </row>
    <row r="28" spans="1:15" ht="25.5" x14ac:dyDescent="0.2">
      <c r="C28" s="24" t="s">
        <v>210</v>
      </c>
      <c r="D28">
        <v>100</v>
      </c>
      <c r="E28" s="204">
        <v>7.7999999999999996E-3</v>
      </c>
      <c r="F28" s="66">
        <f>D28*E28</f>
        <v>0.77999999999999992</v>
      </c>
      <c r="H28" s="24" t="s">
        <v>210</v>
      </c>
      <c r="I28">
        <f>D28</f>
        <v>100</v>
      </c>
      <c r="J28" s="105">
        <f>'10. 2004 Rate Schedule '!F11</f>
        <v>7.9885402519283086E-3</v>
      </c>
      <c r="K28" s="66">
        <f>I28*J28</f>
        <v>0.79885402519283089</v>
      </c>
      <c r="L28" s="66"/>
      <c r="M28" s="66"/>
    </row>
    <row r="29" spans="1:15" ht="27" customHeight="1" x14ac:dyDescent="0.2">
      <c r="C29" s="24" t="s">
        <v>211</v>
      </c>
      <c r="D29">
        <v>100</v>
      </c>
      <c r="E29" s="205">
        <v>2.3900000000000001E-2</v>
      </c>
      <c r="F29" s="66">
        <f>D29*E29</f>
        <v>2.39</v>
      </c>
      <c r="H29" s="24" t="s">
        <v>211</v>
      </c>
      <c r="I29">
        <v>100</v>
      </c>
      <c r="J29" s="105">
        <f>E29</f>
        <v>2.3900000000000001E-2</v>
      </c>
      <c r="K29" s="66">
        <f>I29*J29</f>
        <v>2.39</v>
      </c>
      <c r="L29" s="66"/>
      <c r="M29" s="66"/>
    </row>
    <row r="30" spans="1:15" ht="25.5" customHeight="1" x14ac:dyDescent="0.2">
      <c r="C30" s="24" t="s">
        <v>217</v>
      </c>
      <c r="D30">
        <v>100</v>
      </c>
      <c r="E30" s="85">
        <v>4.2999999999999997E-2</v>
      </c>
      <c r="F30" s="66">
        <f>D30*E30</f>
        <v>4.3</v>
      </c>
      <c r="H30" s="24" t="s">
        <v>217</v>
      </c>
      <c r="I30">
        <f>D30</f>
        <v>100</v>
      </c>
      <c r="J30" s="105">
        <v>4.2999999999999997E-2</v>
      </c>
      <c r="K30" s="66">
        <f>I30*J30</f>
        <v>4.3</v>
      </c>
      <c r="L30" s="66"/>
      <c r="M30" s="66"/>
    </row>
    <row r="31" spans="1:15" x14ac:dyDescent="0.2">
      <c r="C31" s="6"/>
      <c r="H31" s="6"/>
      <c r="J31" s="105"/>
    </row>
    <row r="32" spans="1:15" x14ac:dyDescent="0.2">
      <c r="C32" t="s">
        <v>208</v>
      </c>
      <c r="F32" s="106">
        <f>SUM(F27:F30)</f>
        <v>22.13</v>
      </c>
      <c r="H32" t="s">
        <v>213</v>
      </c>
      <c r="K32" s="106">
        <f>SUM(K27:K30)</f>
        <v>22.148854025192833</v>
      </c>
      <c r="L32" s="66"/>
      <c r="M32" s="66">
        <f>K32-F32</f>
        <v>1.8854025192833745E-2</v>
      </c>
      <c r="N32" s="89">
        <f>K32/F32-1</f>
        <v>8.5196679588039892E-4</v>
      </c>
    </row>
    <row r="33" spans="1:14" x14ac:dyDescent="0.2">
      <c r="K33" s="83"/>
    </row>
    <row r="34" spans="1:14" x14ac:dyDescent="0.2">
      <c r="F34" s="83"/>
      <c r="K34" s="83"/>
    </row>
    <row r="35" spans="1:14" ht="15" x14ac:dyDescent="0.25">
      <c r="A35" s="98" t="s">
        <v>85</v>
      </c>
      <c r="B35" s="4"/>
      <c r="D35" s="91" t="s">
        <v>41</v>
      </c>
      <c r="E35" s="91" t="s">
        <v>68</v>
      </c>
      <c r="F35" s="92" t="s">
        <v>69</v>
      </c>
      <c r="I35" s="91" t="s">
        <v>41</v>
      </c>
      <c r="J35" s="91" t="s">
        <v>68</v>
      </c>
      <c r="K35" s="94" t="s">
        <v>69</v>
      </c>
      <c r="L35" s="4"/>
      <c r="M35" s="4" t="s">
        <v>70</v>
      </c>
      <c r="N35" s="4" t="s">
        <v>70</v>
      </c>
    </row>
    <row r="36" spans="1:14" x14ac:dyDescent="0.2">
      <c r="A36" s="4" t="s">
        <v>86</v>
      </c>
      <c r="D36" s="93" t="s">
        <v>76</v>
      </c>
      <c r="E36" s="91" t="s">
        <v>103</v>
      </c>
      <c r="F36" s="92" t="s">
        <v>71</v>
      </c>
      <c r="I36" s="91"/>
      <c r="J36" s="91" t="s">
        <v>103</v>
      </c>
      <c r="K36" s="94" t="s">
        <v>71</v>
      </c>
      <c r="L36" s="4"/>
      <c r="M36" s="4" t="s">
        <v>72</v>
      </c>
      <c r="N36" s="91" t="s">
        <v>78</v>
      </c>
    </row>
    <row r="37" spans="1:14" ht="38.25" x14ac:dyDescent="0.2">
      <c r="A37" s="97"/>
      <c r="B37" s="36"/>
      <c r="C37" s="24" t="s">
        <v>13</v>
      </c>
      <c r="D37" s="32" t="s">
        <v>77</v>
      </c>
      <c r="E37" s="32" t="s">
        <v>77</v>
      </c>
      <c r="F37" s="103">
        <f>F27</f>
        <v>14.66</v>
      </c>
      <c r="H37" s="24" t="s">
        <v>13</v>
      </c>
      <c r="I37" s="32" t="s">
        <v>77</v>
      </c>
      <c r="J37" s="32" t="s">
        <v>77</v>
      </c>
      <c r="K37" s="66">
        <f>K27</f>
        <v>14.66</v>
      </c>
      <c r="L37" s="66"/>
      <c r="M37" s="66"/>
    </row>
    <row r="38" spans="1:14" ht="25.5" x14ac:dyDescent="0.2">
      <c r="C38" s="24" t="s">
        <v>210</v>
      </c>
      <c r="D38">
        <v>250</v>
      </c>
      <c r="E38" s="85">
        <f>E28</f>
        <v>7.7999999999999996E-3</v>
      </c>
      <c r="F38" s="66">
        <f>D38*E38</f>
        <v>1.95</v>
      </c>
      <c r="H38" s="24" t="s">
        <v>210</v>
      </c>
      <c r="I38">
        <f>D38</f>
        <v>250</v>
      </c>
      <c r="J38" s="105">
        <f>J28</f>
        <v>7.9885402519283086E-3</v>
      </c>
      <c r="K38" s="66">
        <f>I38*J38</f>
        <v>1.9971350629820772</v>
      </c>
      <c r="L38" s="66"/>
      <c r="M38" s="66"/>
    </row>
    <row r="39" spans="1:14" ht="24.75" customHeight="1" x14ac:dyDescent="0.2">
      <c r="C39" s="24" t="s">
        <v>211</v>
      </c>
      <c r="D39">
        <v>250</v>
      </c>
      <c r="E39" s="85">
        <f>E29</f>
        <v>2.3900000000000001E-2</v>
      </c>
      <c r="F39" s="66">
        <f>D39*E39</f>
        <v>5.9750000000000005</v>
      </c>
      <c r="H39" s="24" t="s">
        <v>211</v>
      </c>
      <c r="I39">
        <v>250</v>
      </c>
      <c r="J39" s="105">
        <f>E39</f>
        <v>2.3900000000000001E-2</v>
      </c>
      <c r="K39" s="66">
        <f>I39*J39</f>
        <v>5.9750000000000005</v>
      </c>
      <c r="L39" s="66"/>
      <c r="M39" s="66"/>
    </row>
    <row r="40" spans="1:14" ht="27" customHeight="1" x14ac:dyDescent="0.2">
      <c r="C40" s="24" t="s">
        <v>217</v>
      </c>
      <c r="D40">
        <v>250</v>
      </c>
      <c r="E40" s="85">
        <f>E30</f>
        <v>4.2999999999999997E-2</v>
      </c>
      <c r="F40" s="66">
        <f>D40*E40</f>
        <v>10.75</v>
      </c>
      <c r="H40" s="24" t="s">
        <v>217</v>
      </c>
      <c r="I40">
        <f>D40</f>
        <v>250</v>
      </c>
      <c r="J40" s="105">
        <f>J30</f>
        <v>4.2999999999999997E-2</v>
      </c>
      <c r="K40" s="66">
        <f>I40*J40</f>
        <v>10.75</v>
      </c>
      <c r="L40" s="66"/>
      <c r="M40" s="66"/>
    </row>
    <row r="41" spans="1:14" x14ac:dyDescent="0.2">
      <c r="C41" s="6"/>
      <c r="H41" s="6"/>
      <c r="J41" s="105"/>
    </row>
    <row r="42" spans="1:14" x14ac:dyDescent="0.2">
      <c r="C42" t="s">
        <v>208</v>
      </c>
      <c r="F42" s="106">
        <f>SUM(F37:F40)</f>
        <v>33.335000000000001</v>
      </c>
      <c r="H42" t="s">
        <v>213</v>
      </c>
      <c r="K42" s="106">
        <f>SUM(K37:K40)</f>
        <v>33.38213506298208</v>
      </c>
      <c r="L42" s="66"/>
      <c r="M42" s="66">
        <f>K42-F42</f>
        <v>4.7135062982079035E-2</v>
      </c>
      <c r="N42" s="89">
        <f>K42/F42-1</f>
        <v>1.4139811904028132E-3</v>
      </c>
    </row>
    <row r="43" spans="1:14" x14ac:dyDescent="0.2">
      <c r="F43" s="76"/>
      <c r="K43" s="76"/>
      <c r="L43" s="66"/>
      <c r="M43" s="66"/>
      <c r="N43" s="95"/>
    </row>
    <row r="44" spans="1:14" x14ac:dyDescent="0.2">
      <c r="K44" s="83"/>
    </row>
    <row r="45" spans="1:14" ht="15" x14ac:dyDescent="0.25">
      <c r="A45" s="98" t="s">
        <v>85</v>
      </c>
      <c r="B45" s="4"/>
      <c r="D45" s="91" t="s">
        <v>41</v>
      </c>
      <c r="E45" s="91" t="s">
        <v>68</v>
      </c>
      <c r="F45" s="92" t="s">
        <v>69</v>
      </c>
      <c r="I45" s="91" t="s">
        <v>41</v>
      </c>
      <c r="J45" s="91" t="s">
        <v>68</v>
      </c>
      <c r="K45" s="94" t="s">
        <v>69</v>
      </c>
      <c r="L45" s="4"/>
      <c r="M45" s="4" t="s">
        <v>70</v>
      </c>
      <c r="N45" s="4" t="s">
        <v>70</v>
      </c>
    </row>
    <row r="46" spans="1:14" x14ac:dyDescent="0.2">
      <c r="A46" s="4" t="s">
        <v>88</v>
      </c>
      <c r="D46" s="93" t="s">
        <v>76</v>
      </c>
      <c r="E46" s="91" t="s">
        <v>103</v>
      </c>
      <c r="F46" s="92" t="s">
        <v>71</v>
      </c>
      <c r="I46" s="91"/>
      <c r="J46" s="91" t="s">
        <v>103</v>
      </c>
      <c r="K46" s="94" t="s">
        <v>71</v>
      </c>
      <c r="L46" s="4"/>
      <c r="M46" s="4" t="s">
        <v>72</v>
      </c>
      <c r="N46" s="91" t="s">
        <v>78</v>
      </c>
    </row>
    <row r="47" spans="1:14" ht="38.25" x14ac:dyDescent="0.2">
      <c r="A47" s="97"/>
      <c r="B47" s="36"/>
      <c r="C47" s="24" t="s">
        <v>13</v>
      </c>
      <c r="D47" s="32" t="s">
        <v>77</v>
      </c>
      <c r="E47" s="32" t="s">
        <v>77</v>
      </c>
      <c r="F47" s="103">
        <f>F27</f>
        <v>14.66</v>
      </c>
      <c r="H47" s="24" t="s">
        <v>13</v>
      </c>
      <c r="I47" s="32" t="s">
        <v>77</v>
      </c>
      <c r="J47" s="32" t="s">
        <v>77</v>
      </c>
      <c r="K47" s="66">
        <f>K27</f>
        <v>14.66</v>
      </c>
      <c r="L47" s="66"/>
      <c r="M47" s="66"/>
    </row>
    <row r="48" spans="1:14" ht="25.5" x14ac:dyDescent="0.2">
      <c r="C48" s="24" t="s">
        <v>210</v>
      </c>
      <c r="D48">
        <v>500</v>
      </c>
      <c r="E48" s="85">
        <f>E28</f>
        <v>7.7999999999999996E-3</v>
      </c>
      <c r="F48" s="66">
        <f>D48*E48</f>
        <v>3.9</v>
      </c>
      <c r="H48" s="24" t="s">
        <v>210</v>
      </c>
      <c r="I48">
        <f>D48</f>
        <v>500</v>
      </c>
      <c r="J48" s="105">
        <f>J28</f>
        <v>7.9885402519283086E-3</v>
      </c>
      <c r="K48" s="66">
        <f>I48*J48</f>
        <v>3.9942701259641544</v>
      </c>
      <c r="L48" s="66"/>
      <c r="M48" s="66"/>
    </row>
    <row r="49" spans="1:14" ht="25.5" customHeight="1" x14ac:dyDescent="0.2">
      <c r="C49" s="24" t="s">
        <v>211</v>
      </c>
      <c r="D49">
        <v>500</v>
      </c>
      <c r="E49" s="85">
        <f>E29</f>
        <v>2.3900000000000001E-2</v>
      </c>
      <c r="F49" s="66">
        <f>D49*E49</f>
        <v>11.950000000000001</v>
      </c>
      <c r="H49" s="24" t="s">
        <v>211</v>
      </c>
      <c r="I49">
        <v>500</v>
      </c>
      <c r="J49" s="105">
        <f>E49</f>
        <v>2.3900000000000001E-2</v>
      </c>
      <c r="K49" s="66">
        <f>I49*J49</f>
        <v>11.950000000000001</v>
      </c>
      <c r="L49" s="66"/>
      <c r="M49" s="66"/>
    </row>
    <row r="50" spans="1:14" ht="25.5" customHeight="1" x14ac:dyDescent="0.2">
      <c r="C50" s="24" t="s">
        <v>217</v>
      </c>
      <c r="D50">
        <f>D48</f>
        <v>500</v>
      </c>
      <c r="E50" s="85">
        <f>E30</f>
        <v>4.2999999999999997E-2</v>
      </c>
      <c r="F50" s="66">
        <f>D50*E50</f>
        <v>21.5</v>
      </c>
      <c r="H50" s="24" t="s">
        <v>217</v>
      </c>
      <c r="I50">
        <f>D50</f>
        <v>500</v>
      </c>
      <c r="J50" s="105">
        <f>J30</f>
        <v>4.2999999999999997E-2</v>
      </c>
      <c r="K50" s="66">
        <f>I50*J50</f>
        <v>21.5</v>
      </c>
      <c r="L50" s="66"/>
      <c r="M50" s="66"/>
    </row>
    <row r="51" spans="1:14" x14ac:dyDescent="0.2">
      <c r="C51" s="6"/>
      <c r="H51" s="6"/>
      <c r="J51" s="105"/>
    </row>
    <row r="52" spans="1:14" x14ac:dyDescent="0.2">
      <c r="C52" t="s">
        <v>208</v>
      </c>
      <c r="F52" s="106">
        <f>SUM(F47:F50)</f>
        <v>52.01</v>
      </c>
      <c r="H52" t="s">
        <v>213</v>
      </c>
      <c r="K52" s="106">
        <f>SUM(K47:K50)</f>
        <v>52.104270125964156</v>
      </c>
      <c r="L52" s="66"/>
      <c r="M52" s="66">
        <f>K52-F52</f>
        <v>9.4270125964158069E-2</v>
      </c>
      <c r="N52" s="89">
        <f>K52/F52-1</f>
        <v>1.8125384726814797E-3</v>
      </c>
    </row>
    <row r="53" spans="1:14" x14ac:dyDescent="0.2">
      <c r="F53" s="76"/>
      <c r="K53" s="76"/>
      <c r="L53" s="66"/>
      <c r="M53" s="66"/>
      <c r="N53" s="95"/>
    </row>
    <row r="54" spans="1:14" x14ac:dyDescent="0.2">
      <c r="F54" s="66"/>
      <c r="J54" s="105"/>
      <c r="K54" s="66"/>
      <c r="L54" s="66"/>
      <c r="M54" s="66"/>
    </row>
    <row r="55" spans="1:14" ht="15" x14ac:dyDescent="0.25">
      <c r="A55" s="98" t="s">
        <v>85</v>
      </c>
      <c r="B55" s="4"/>
      <c r="D55" s="91" t="s">
        <v>41</v>
      </c>
      <c r="E55" s="91" t="s">
        <v>68</v>
      </c>
      <c r="F55" s="92" t="s">
        <v>69</v>
      </c>
      <c r="I55" s="91" t="s">
        <v>41</v>
      </c>
      <c r="J55" s="91" t="s">
        <v>68</v>
      </c>
      <c r="K55" s="94" t="s">
        <v>69</v>
      </c>
      <c r="L55" s="4"/>
      <c r="M55" s="4" t="s">
        <v>70</v>
      </c>
      <c r="N55" s="4" t="s">
        <v>70</v>
      </c>
    </row>
    <row r="56" spans="1:14" x14ac:dyDescent="0.2">
      <c r="A56" s="4" t="s">
        <v>89</v>
      </c>
      <c r="D56" s="93" t="s">
        <v>76</v>
      </c>
      <c r="E56" s="91" t="s">
        <v>103</v>
      </c>
      <c r="F56" s="92" t="s">
        <v>71</v>
      </c>
      <c r="I56" s="91"/>
      <c r="J56" s="91" t="s">
        <v>103</v>
      </c>
      <c r="K56" s="94" t="s">
        <v>71</v>
      </c>
      <c r="L56" s="4"/>
      <c r="M56" s="4" t="s">
        <v>72</v>
      </c>
      <c r="N56" s="91" t="s">
        <v>78</v>
      </c>
    </row>
    <row r="57" spans="1:14" ht="38.25" x14ac:dyDescent="0.2">
      <c r="A57" s="97"/>
      <c r="B57" s="36"/>
      <c r="C57" s="24" t="s">
        <v>13</v>
      </c>
      <c r="D57" s="32" t="s">
        <v>77</v>
      </c>
      <c r="E57" s="32" t="s">
        <v>77</v>
      </c>
      <c r="F57" s="103">
        <f>F27</f>
        <v>14.66</v>
      </c>
      <c r="H57" s="24" t="s">
        <v>13</v>
      </c>
      <c r="I57" s="32" t="s">
        <v>77</v>
      </c>
      <c r="J57" s="32" t="s">
        <v>77</v>
      </c>
      <c r="K57" s="66">
        <f>K27</f>
        <v>14.66</v>
      </c>
      <c r="L57" s="66"/>
      <c r="M57" s="66"/>
    </row>
    <row r="58" spans="1:14" ht="25.5" x14ac:dyDescent="0.2">
      <c r="C58" s="24" t="s">
        <v>210</v>
      </c>
      <c r="D58">
        <v>750</v>
      </c>
      <c r="E58" s="85">
        <f>E28</f>
        <v>7.7999999999999996E-3</v>
      </c>
      <c r="F58" s="66">
        <f>D58*E58</f>
        <v>5.85</v>
      </c>
      <c r="H58" s="24" t="s">
        <v>210</v>
      </c>
      <c r="I58">
        <f>D58</f>
        <v>750</v>
      </c>
      <c r="J58" s="105">
        <f>J28</f>
        <v>7.9885402519283086E-3</v>
      </c>
      <c r="K58" s="66">
        <f>I58*J58</f>
        <v>5.9914051889462314</v>
      </c>
      <c r="L58" s="66"/>
      <c r="M58" s="66"/>
    </row>
    <row r="59" spans="1:14" ht="26.25" customHeight="1" x14ac:dyDescent="0.2">
      <c r="C59" s="24" t="s">
        <v>211</v>
      </c>
      <c r="D59">
        <v>750</v>
      </c>
      <c r="E59" s="85">
        <f>E29</f>
        <v>2.3900000000000001E-2</v>
      </c>
      <c r="F59" s="66">
        <f>D59*E59</f>
        <v>17.925000000000001</v>
      </c>
      <c r="H59" s="24" t="s">
        <v>211</v>
      </c>
      <c r="I59">
        <v>750</v>
      </c>
      <c r="J59" s="105">
        <f>E59</f>
        <v>2.3900000000000001E-2</v>
      </c>
      <c r="K59" s="66">
        <f>I59*J59</f>
        <v>17.925000000000001</v>
      </c>
      <c r="L59" s="66"/>
      <c r="M59" s="66"/>
    </row>
    <row r="60" spans="1:14" ht="26.25" customHeight="1" x14ac:dyDescent="0.2">
      <c r="C60" s="24" t="s">
        <v>217</v>
      </c>
      <c r="D60">
        <f>D58</f>
        <v>750</v>
      </c>
      <c r="E60" s="85">
        <f>E30</f>
        <v>4.2999999999999997E-2</v>
      </c>
      <c r="F60" s="66">
        <f>D60*E60</f>
        <v>32.25</v>
      </c>
      <c r="H60" s="24" t="s">
        <v>217</v>
      </c>
      <c r="I60">
        <f>D60</f>
        <v>750</v>
      </c>
      <c r="J60" s="105">
        <f>J30</f>
        <v>4.2999999999999997E-2</v>
      </c>
      <c r="K60" s="66">
        <f>I60*J60</f>
        <v>32.25</v>
      </c>
      <c r="L60" s="66"/>
      <c r="M60" s="66"/>
    </row>
    <row r="61" spans="1:14" x14ac:dyDescent="0.2">
      <c r="C61" s="6"/>
      <c r="H61" s="6"/>
      <c r="J61" s="105"/>
    </row>
    <row r="62" spans="1:14" x14ac:dyDescent="0.2">
      <c r="C62" t="s">
        <v>208</v>
      </c>
      <c r="F62" s="106">
        <f>SUM(F57:F60)</f>
        <v>70.685000000000002</v>
      </c>
      <c r="H62" t="s">
        <v>213</v>
      </c>
      <c r="K62" s="106">
        <f>SUM(K57:K60)</f>
        <v>70.826405188946239</v>
      </c>
      <c r="L62" s="66"/>
      <c r="M62" s="66">
        <f>K62-F62</f>
        <v>0.1414051889462371</v>
      </c>
      <c r="N62" s="89">
        <f>K62/F62-1</f>
        <v>2.0004978276328966E-3</v>
      </c>
    </row>
    <row r="63" spans="1:14" x14ac:dyDescent="0.2">
      <c r="F63" s="76"/>
      <c r="K63" s="76"/>
      <c r="L63" s="66"/>
      <c r="M63" s="66"/>
      <c r="N63" s="95"/>
    </row>
    <row r="64" spans="1:14" x14ac:dyDescent="0.2">
      <c r="F64" s="66"/>
      <c r="J64" s="105"/>
      <c r="K64" s="66"/>
      <c r="L64" s="66"/>
      <c r="M64" s="66"/>
    </row>
    <row r="65" spans="1:14" ht="15" x14ac:dyDescent="0.25">
      <c r="A65" s="98" t="s">
        <v>85</v>
      </c>
      <c r="B65" s="4"/>
      <c r="D65" s="91" t="s">
        <v>41</v>
      </c>
      <c r="E65" s="91" t="s">
        <v>68</v>
      </c>
      <c r="F65" s="92" t="s">
        <v>69</v>
      </c>
      <c r="I65" s="91" t="s">
        <v>41</v>
      </c>
      <c r="J65" s="91" t="s">
        <v>68</v>
      </c>
      <c r="K65" s="94" t="s">
        <v>69</v>
      </c>
      <c r="L65" s="4"/>
      <c r="M65" s="4" t="s">
        <v>70</v>
      </c>
      <c r="N65" s="4" t="s">
        <v>70</v>
      </c>
    </row>
    <row r="66" spans="1:14" x14ac:dyDescent="0.2">
      <c r="A66" s="4" t="s">
        <v>90</v>
      </c>
      <c r="D66" s="93" t="s">
        <v>76</v>
      </c>
      <c r="E66" s="91" t="s">
        <v>103</v>
      </c>
      <c r="F66" s="92" t="s">
        <v>71</v>
      </c>
      <c r="I66" s="91"/>
      <c r="J66" s="91" t="s">
        <v>103</v>
      </c>
      <c r="K66" s="94" t="s">
        <v>71</v>
      </c>
      <c r="L66" s="4"/>
      <c r="M66" s="4" t="s">
        <v>72</v>
      </c>
      <c r="N66" s="91" t="s">
        <v>78</v>
      </c>
    </row>
    <row r="67" spans="1:14" ht="38.25" x14ac:dyDescent="0.2">
      <c r="A67" s="97"/>
      <c r="B67" s="36"/>
      <c r="C67" s="24" t="s">
        <v>13</v>
      </c>
      <c r="D67" s="32" t="s">
        <v>77</v>
      </c>
      <c r="E67" s="32" t="s">
        <v>77</v>
      </c>
      <c r="F67" s="103">
        <f>F27</f>
        <v>14.66</v>
      </c>
      <c r="H67" s="24" t="s">
        <v>13</v>
      </c>
      <c r="I67" s="32" t="s">
        <v>77</v>
      </c>
      <c r="J67" s="32" t="s">
        <v>77</v>
      </c>
      <c r="K67" s="66">
        <f>K27</f>
        <v>14.66</v>
      </c>
      <c r="L67" s="66"/>
      <c r="M67" s="66"/>
    </row>
    <row r="68" spans="1:14" ht="25.5" x14ac:dyDescent="0.2">
      <c r="C68" s="24" t="s">
        <v>210</v>
      </c>
      <c r="D68">
        <v>1000</v>
      </c>
      <c r="E68" s="85">
        <f>E28</f>
        <v>7.7999999999999996E-3</v>
      </c>
      <c r="F68" s="66">
        <f>D68*E68</f>
        <v>7.8</v>
      </c>
      <c r="H68" s="24" t="s">
        <v>210</v>
      </c>
      <c r="I68">
        <f>D68</f>
        <v>1000</v>
      </c>
      <c r="J68" s="105">
        <f>J28</f>
        <v>7.9885402519283086E-3</v>
      </c>
      <c r="K68" s="66">
        <f>I68*J68</f>
        <v>7.9885402519283089</v>
      </c>
      <c r="L68" s="66"/>
      <c r="M68" s="66"/>
    </row>
    <row r="69" spans="1:14" ht="25.5" customHeight="1" x14ac:dyDescent="0.2">
      <c r="C69" s="24" t="s">
        <v>211</v>
      </c>
      <c r="D69">
        <v>1000</v>
      </c>
      <c r="E69" s="85">
        <f>E29</f>
        <v>2.3900000000000001E-2</v>
      </c>
      <c r="F69" s="66">
        <f>D69*E69</f>
        <v>23.900000000000002</v>
      </c>
      <c r="H69" s="24" t="s">
        <v>211</v>
      </c>
      <c r="I69">
        <v>1000</v>
      </c>
      <c r="J69" s="104">
        <f>E69</f>
        <v>2.3900000000000001E-2</v>
      </c>
      <c r="K69" s="66">
        <f>I69*J69</f>
        <v>23.900000000000002</v>
      </c>
      <c r="L69" s="66"/>
      <c r="M69" s="66"/>
    </row>
    <row r="70" spans="1:14" ht="26.25" customHeight="1" x14ac:dyDescent="0.2">
      <c r="C70" s="24" t="s">
        <v>217</v>
      </c>
      <c r="D70">
        <f>D68</f>
        <v>1000</v>
      </c>
      <c r="E70" s="85">
        <f>E30</f>
        <v>4.2999999999999997E-2</v>
      </c>
      <c r="F70" s="66">
        <f>D70*E70</f>
        <v>43</v>
      </c>
      <c r="H70" s="24" t="s">
        <v>217</v>
      </c>
      <c r="I70">
        <v>1000</v>
      </c>
      <c r="J70" s="105">
        <f>J30</f>
        <v>4.2999999999999997E-2</v>
      </c>
      <c r="K70" s="66">
        <f>I70*J70</f>
        <v>43</v>
      </c>
      <c r="L70" s="66"/>
      <c r="M70" s="66"/>
    </row>
    <row r="71" spans="1:14" ht="24" customHeight="1" x14ac:dyDescent="0.2">
      <c r="C71" s="6"/>
      <c r="H71" s="24"/>
      <c r="J71" s="105"/>
      <c r="K71" s="66"/>
    </row>
    <row r="72" spans="1:14" ht="11.25" customHeight="1" x14ac:dyDescent="0.2">
      <c r="C72" s="6"/>
      <c r="H72" s="24"/>
      <c r="J72" s="105"/>
      <c r="K72" s="66"/>
    </row>
    <row r="73" spans="1:14" x14ac:dyDescent="0.2">
      <c r="C73" t="s">
        <v>208</v>
      </c>
      <c r="F73" s="106">
        <f>SUM(F67:F70)</f>
        <v>89.36</v>
      </c>
      <c r="H73" t="s">
        <v>213</v>
      </c>
      <c r="K73" s="106">
        <f>SUM(K67:K71)</f>
        <v>89.548540251928316</v>
      </c>
      <c r="L73" s="66"/>
      <c r="M73" s="66">
        <f>K73-F73</f>
        <v>0.18854025192831614</v>
      </c>
      <c r="N73" s="89">
        <f>K73/F73-1</f>
        <v>2.1098953886338201E-3</v>
      </c>
    </row>
    <row r="74" spans="1:14" x14ac:dyDescent="0.2">
      <c r="F74" s="76"/>
      <c r="K74" s="76"/>
      <c r="L74" s="66"/>
      <c r="M74" s="66"/>
      <c r="N74" s="95"/>
    </row>
    <row r="75" spans="1:14" x14ac:dyDescent="0.2">
      <c r="F75" s="66"/>
      <c r="J75" s="105"/>
      <c r="K75" s="66"/>
      <c r="L75" s="66"/>
      <c r="M75" s="66"/>
    </row>
    <row r="76" spans="1:14" ht="15" x14ac:dyDescent="0.25">
      <c r="A76" s="98" t="s">
        <v>85</v>
      </c>
      <c r="B76" s="4"/>
      <c r="D76" s="91" t="s">
        <v>41</v>
      </c>
      <c r="E76" s="91" t="s">
        <v>68</v>
      </c>
      <c r="F76" s="92" t="s">
        <v>69</v>
      </c>
      <c r="I76" s="91" t="s">
        <v>41</v>
      </c>
      <c r="J76" s="91" t="s">
        <v>68</v>
      </c>
      <c r="K76" s="94" t="s">
        <v>69</v>
      </c>
      <c r="L76" s="4"/>
      <c r="M76" s="4" t="s">
        <v>70</v>
      </c>
      <c r="N76" s="4" t="s">
        <v>70</v>
      </c>
    </row>
    <row r="77" spans="1:14" x14ac:dyDescent="0.2">
      <c r="A77" s="4" t="s">
        <v>91</v>
      </c>
      <c r="D77" s="93" t="s">
        <v>76</v>
      </c>
      <c r="E77" s="91" t="s">
        <v>103</v>
      </c>
      <c r="F77" s="92" t="s">
        <v>71</v>
      </c>
      <c r="I77" s="91"/>
      <c r="J77" s="91" t="s">
        <v>103</v>
      </c>
      <c r="K77" s="94" t="s">
        <v>71</v>
      </c>
      <c r="L77" s="4"/>
      <c r="M77" s="4" t="s">
        <v>72</v>
      </c>
      <c r="N77" s="91" t="s">
        <v>78</v>
      </c>
    </row>
    <row r="78" spans="1:14" ht="38.25" x14ac:dyDescent="0.2">
      <c r="A78" s="97"/>
      <c r="B78" s="36"/>
      <c r="C78" s="24" t="s">
        <v>13</v>
      </c>
      <c r="D78" s="32" t="s">
        <v>77</v>
      </c>
      <c r="E78" s="32" t="s">
        <v>77</v>
      </c>
      <c r="F78" s="103">
        <f>F27</f>
        <v>14.66</v>
      </c>
      <c r="H78" s="24" t="s">
        <v>13</v>
      </c>
      <c r="I78" s="32" t="s">
        <v>77</v>
      </c>
      <c r="J78" s="32" t="s">
        <v>77</v>
      </c>
      <c r="K78" s="66">
        <f>K27</f>
        <v>14.66</v>
      </c>
      <c r="L78" s="66"/>
      <c r="M78" s="66"/>
    </row>
    <row r="79" spans="1:14" ht="25.5" x14ac:dyDescent="0.2">
      <c r="C79" s="24" t="s">
        <v>210</v>
      </c>
      <c r="D79">
        <v>1500</v>
      </c>
      <c r="E79" s="85">
        <f>E28</f>
        <v>7.7999999999999996E-3</v>
      </c>
      <c r="F79" s="66">
        <f>D79*E79</f>
        <v>11.7</v>
      </c>
      <c r="H79" s="24" t="s">
        <v>210</v>
      </c>
      <c r="I79">
        <f>D79</f>
        <v>1500</v>
      </c>
      <c r="J79" s="105">
        <f>J28</f>
        <v>7.9885402519283086E-3</v>
      </c>
      <c r="K79" s="66">
        <f>I79*J79</f>
        <v>11.982810377892463</v>
      </c>
      <c r="L79" s="66"/>
      <c r="M79" s="66"/>
    </row>
    <row r="80" spans="1:14" ht="27.75" customHeight="1" x14ac:dyDescent="0.2">
      <c r="C80" s="24" t="s">
        <v>211</v>
      </c>
      <c r="D80">
        <v>1500</v>
      </c>
      <c r="E80" s="85">
        <f>E29</f>
        <v>2.3900000000000001E-2</v>
      </c>
      <c r="F80" s="66">
        <f>D80*E80</f>
        <v>35.85</v>
      </c>
      <c r="H80" s="24" t="s">
        <v>211</v>
      </c>
      <c r="I80">
        <v>1500</v>
      </c>
      <c r="J80" s="105">
        <f>E80</f>
        <v>2.3900000000000001E-2</v>
      </c>
      <c r="K80" s="66">
        <f>I80*J80</f>
        <v>35.85</v>
      </c>
      <c r="L80" s="66"/>
      <c r="M80" s="66"/>
    </row>
    <row r="81" spans="1:14" ht="27.75" customHeight="1" x14ac:dyDescent="0.2">
      <c r="C81" s="24" t="s">
        <v>217</v>
      </c>
      <c r="D81">
        <f>D79</f>
        <v>1500</v>
      </c>
      <c r="E81" s="85">
        <f>E30</f>
        <v>4.2999999999999997E-2</v>
      </c>
      <c r="F81" s="66">
        <f>D81*E81</f>
        <v>64.5</v>
      </c>
      <c r="H81" s="24" t="s">
        <v>217</v>
      </c>
      <c r="I81">
        <v>1500</v>
      </c>
      <c r="J81" s="105">
        <f>J30</f>
        <v>4.2999999999999997E-2</v>
      </c>
      <c r="K81" s="66">
        <f>I81*J81</f>
        <v>64.5</v>
      </c>
      <c r="L81" s="66"/>
      <c r="M81" s="66"/>
    </row>
    <row r="82" spans="1:14" ht="25.5" customHeight="1" x14ac:dyDescent="0.2">
      <c r="C82" s="24"/>
      <c r="E82" s="85"/>
      <c r="F82" s="66"/>
      <c r="H82" s="24"/>
      <c r="J82" s="105"/>
      <c r="K82" s="66"/>
      <c r="L82" s="66"/>
      <c r="M82" s="66"/>
    </row>
    <row r="83" spans="1:14" x14ac:dyDescent="0.2">
      <c r="C83" s="6"/>
      <c r="H83" s="6"/>
      <c r="J83" s="105"/>
    </row>
    <row r="84" spans="1:14" x14ac:dyDescent="0.2">
      <c r="C84" t="s">
        <v>208</v>
      </c>
      <c r="F84" s="106">
        <f>SUM(F78:F81)</f>
        <v>126.71000000000001</v>
      </c>
      <c r="H84" t="s">
        <v>213</v>
      </c>
      <c r="K84" s="106">
        <f>SUM(K78:K82)</f>
        <v>126.99281037789247</v>
      </c>
      <c r="L84" s="66"/>
      <c r="M84" s="66">
        <f>K84-F84</f>
        <v>0.28281037789246</v>
      </c>
      <c r="N84" s="89">
        <f>K84/F84-1</f>
        <v>2.2319499478531402E-3</v>
      </c>
    </row>
    <row r="85" spans="1:14" x14ac:dyDescent="0.2">
      <c r="F85" s="76"/>
      <c r="K85" s="76"/>
      <c r="L85" s="66"/>
      <c r="M85" s="66"/>
      <c r="N85" s="95"/>
    </row>
    <row r="86" spans="1:14" x14ac:dyDescent="0.2">
      <c r="F86" s="66"/>
      <c r="J86" s="105"/>
      <c r="K86" s="66"/>
      <c r="L86" s="66"/>
      <c r="M86" s="66"/>
    </row>
    <row r="87" spans="1:14" ht="15" x14ac:dyDescent="0.25">
      <c r="A87" s="98" t="s">
        <v>85</v>
      </c>
      <c r="B87" s="4"/>
      <c r="D87" s="91" t="s">
        <v>41</v>
      </c>
      <c r="E87" s="91" t="s">
        <v>68</v>
      </c>
      <c r="F87" s="92" t="s">
        <v>69</v>
      </c>
      <c r="I87" s="91" t="s">
        <v>41</v>
      </c>
      <c r="J87" s="91" t="s">
        <v>68</v>
      </c>
      <c r="K87" s="94" t="s">
        <v>69</v>
      </c>
      <c r="L87" s="4"/>
      <c r="M87" s="4" t="s">
        <v>70</v>
      </c>
      <c r="N87" s="4" t="s">
        <v>70</v>
      </c>
    </row>
    <row r="88" spans="1:14" x14ac:dyDescent="0.2">
      <c r="A88" s="4" t="s">
        <v>92</v>
      </c>
      <c r="D88" s="93" t="s">
        <v>76</v>
      </c>
      <c r="E88" s="91" t="s">
        <v>103</v>
      </c>
      <c r="F88" s="92" t="s">
        <v>71</v>
      </c>
      <c r="I88" s="91"/>
      <c r="J88" s="91" t="s">
        <v>103</v>
      </c>
      <c r="K88" s="94" t="s">
        <v>71</v>
      </c>
      <c r="L88" s="4"/>
      <c r="M88" s="4" t="s">
        <v>72</v>
      </c>
      <c r="N88" s="91" t="s">
        <v>78</v>
      </c>
    </row>
    <row r="89" spans="1:14" ht="38.25" x14ac:dyDescent="0.2">
      <c r="A89" s="97"/>
      <c r="B89" s="36"/>
      <c r="C89" s="24" t="s">
        <v>13</v>
      </c>
      <c r="D89" s="32" t="s">
        <v>77</v>
      </c>
      <c r="E89" s="32" t="s">
        <v>77</v>
      </c>
      <c r="F89" s="103">
        <f>F27</f>
        <v>14.66</v>
      </c>
      <c r="H89" s="24" t="s">
        <v>13</v>
      </c>
      <c r="I89" s="32" t="s">
        <v>77</v>
      </c>
      <c r="J89" s="32" t="s">
        <v>77</v>
      </c>
      <c r="K89" s="66">
        <f>K27</f>
        <v>14.66</v>
      </c>
      <c r="L89" s="66"/>
      <c r="M89" s="66"/>
    </row>
    <row r="90" spans="1:14" ht="28.5" customHeight="1" x14ac:dyDescent="0.2">
      <c r="C90" s="24" t="s">
        <v>210</v>
      </c>
      <c r="D90">
        <v>2000</v>
      </c>
      <c r="E90" s="85">
        <f>E28</f>
        <v>7.7999999999999996E-3</v>
      </c>
      <c r="F90" s="66">
        <f>D90*E90</f>
        <v>15.6</v>
      </c>
      <c r="H90" s="24" t="s">
        <v>210</v>
      </c>
      <c r="I90">
        <f>D90</f>
        <v>2000</v>
      </c>
      <c r="J90" s="105">
        <f>J28</f>
        <v>7.9885402519283086E-3</v>
      </c>
      <c r="K90" s="66">
        <f>I90*J90</f>
        <v>15.977080503856618</v>
      </c>
      <c r="L90" s="66"/>
      <c r="M90" s="66"/>
    </row>
    <row r="91" spans="1:14" ht="24.75" customHeight="1" x14ac:dyDescent="0.2">
      <c r="C91" s="24" t="s">
        <v>211</v>
      </c>
      <c r="D91">
        <v>2000</v>
      </c>
      <c r="E91" s="85">
        <f>E29</f>
        <v>2.3900000000000001E-2</v>
      </c>
      <c r="F91" s="66">
        <f>D91*E91</f>
        <v>47.800000000000004</v>
      </c>
      <c r="H91" s="24" t="s">
        <v>211</v>
      </c>
      <c r="I91">
        <v>2000</v>
      </c>
      <c r="J91" s="105">
        <f>E91</f>
        <v>2.3900000000000001E-2</v>
      </c>
      <c r="K91" s="66">
        <f>I91*J91</f>
        <v>47.800000000000004</v>
      </c>
      <c r="L91" s="66"/>
      <c r="M91" s="66"/>
    </row>
    <row r="92" spans="1:14" ht="27" customHeight="1" x14ac:dyDescent="0.2">
      <c r="C92" s="24" t="s">
        <v>217</v>
      </c>
      <c r="D92">
        <f>D90</f>
        <v>2000</v>
      </c>
      <c r="E92" s="85">
        <f>E30</f>
        <v>4.2999999999999997E-2</v>
      </c>
      <c r="F92" s="66">
        <f>D92*E92</f>
        <v>86</v>
      </c>
      <c r="H92" s="24" t="s">
        <v>217</v>
      </c>
      <c r="I92">
        <v>2000</v>
      </c>
      <c r="J92" s="105">
        <f>J81</f>
        <v>4.2999999999999997E-2</v>
      </c>
      <c r="K92" s="66">
        <f>I92*J92</f>
        <v>86</v>
      </c>
      <c r="L92" s="66"/>
      <c r="M92" s="66"/>
    </row>
    <row r="93" spans="1:14" ht="29.25" customHeight="1" x14ac:dyDescent="0.2">
      <c r="C93" s="24"/>
      <c r="E93" s="85"/>
      <c r="F93" s="66"/>
      <c r="H93" s="24"/>
      <c r="J93" s="105"/>
      <c r="K93" s="66"/>
      <c r="L93" s="66"/>
      <c r="M93" s="66"/>
    </row>
    <row r="94" spans="1:14" ht="13.5" customHeight="1" x14ac:dyDescent="0.2">
      <c r="C94" s="6"/>
      <c r="H94" s="6"/>
      <c r="J94" s="105"/>
    </row>
    <row r="95" spans="1:14" x14ac:dyDescent="0.2">
      <c r="C95" t="s">
        <v>208</v>
      </c>
      <c r="F95" s="106">
        <f>SUM(F89:F92)</f>
        <v>164.06</v>
      </c>
      <c r="H95" t="s">
        <v>213</v>
      </c>
      <c r="K95" s="106">
        <f>SUM(K89:K93)</f>
        <v>164.43708050385663</v>
      </c>
      <c r="L95" s="66"/>
      <c r="M95" s="66">
        <f>K95-F95</f>
        <v>0.37708050385663228</v>
      </c>
      <c r="N95" s="89">
        <f>K95/F95-1</f>
        <v>2.2984304757809326E-3</v>
      </c>
    </row>
    <row r="96" spans="1:14" x14ac:dyDescent="0.2">
      <c r="F96" s="66"/>
      <c r="J96" s="105"/>
      <c r="K96" s="66"/>
      <c r="L96" s="66"/>
      <c r="M96" s="66"/>
    </row>
    <row r="97" spans="1:15" ht="13.5" thickBot="1" x14ac:dyDescent="0.25">
      <c r="A97" s="118"/>
      <c r="B97" s="118"/>
      <c r="C97" s="118"/>
      <c r="D97" s="118"/>
      <c r="E97" s="118"/>
      <c r="F97" s="127"/>
      <c r="G97" s="118"/>
      <c r="H97" s="118"/>
      <c r="I97" s="118"/>
      <c r="J97" s="128"/>
      <c r="K97" s="127"/>
      <c r="L97" s="127"/>
      <c r="M97" s="127"/>
      <c r="N97" s="118"/>
    </row>
    <row r="98" spans="1:15" x14ac:dyDescent="0.2">
      <c r="F98" s="66"/>
      <c r="J98" s="105"/>
      <c r="K98" s="66"/>
      <c r="L98" s="66"/>
      <c r="M98" s="66"/>
    </row>
    <row r="99" spans="1:15" ht="15.75" x14ac:dyDescent="0.25">
      <c r="A99" s="61" t="s">
        <v>10</v>
      </c>
      <c r="B99" s="61"/>
      <c r="D99" s="36"/>
      <c r="F99" s="66"/>
      <c r="J99" s="105"/>
      <c r="K99" s="66"/>
      <c r="L99" s="66"/>
      <c r="M99" s="66"/>
    </row>
    <row r="100" spans="1:15" ht="15.75" x14ac:dyDescent="0.25">
      <c r="A100" s="61"/>
      <c r="B100" s="61"/>
      <c r="D100" s="36"/>
      <c r="F100" s="66"/>
      <c r="J100" s="105"/>
      <c r="K100" s="66"/>
      <c r="L100" s="66"/>
      <c r="M100" s="66"/>
    </row>
    <row r="101" spans="1:15" ht="15.75" x14ac:dyDescent="0.25">
      <c r="A101" s="125" t="s">
        <v>218</v>
      </c>
      <c r="B101" s="61"/>
      <c r="D101" s="36"/>
      <c r="F101" s="66"/>
      <c r="J101" s="105"/>
      <c r="K101" s="66"/>
      <c r="L101" s="66"/>
      <c r="M101" s="66"/>
    </row>
    <row r="102" spans="1:15" ht="15.75" x14ac:dyDescent="0.25">
      <c r="A102" s="125" t="s">
        <v>219</v>
      </c>
      <c r="B102" s="61"/>
      <c r="D102" s="36"/>
      <c r="F102" s="66"/>
      <c r="J102" s="105"/>
      <c r="K102" s="66"/>
      <c r="L102" s="66"/>
      <c r="M102" s="66"/>
    </row>
    <row r="103" spans="1:15" ht="15.75" x14ac:dyDescent="0.25">
      <c r="A103" s="125" t="s">
        <v>224</v>
      </c>
      <c r="B103" s="61"/>
      <c r="D103" s="36"/>
      <c r="F103" s="66"/>
      <c r="J103" s="105"/>
      <c r="K103" s="66"/>
      <c r="L103" s="66"/>
      <c r="M103" s="66"/>
    </row>
    <row r="104" spans="1:15" ht="15.75" x14ac:dyDescent="0.25">
      <c r="A104" s="125"/>
      <c r="B104" s="61"/>
      <c r="D104" s="36"/>
      <c r="F104" s="66"/>
      <c r="J104" s="105"/>
      <c r="K104" s="66"/>
      <c r="L104" s="66"/>
      <c r="M104" s="66"/>
    </row>
    <row r="105" spans="1:15" ht="15" x14ac:dyDescent="0.25">
      <c r="C105" s="96" t="s">
        <v>208</v>
      </c>
      <c r="D105" s="47"/>
      <c r="E105" s="47"/>
      <c r="F105" s="47"/>
      <c r="H105" s="271" t="s">
        <v>225</v>
      </c>
      <c r="I105" s="47"/>
      <c r="J105" s="47"/>
      <c r="K105" s="90"/>
      <c r="L105" s="47"/>
      <c r="M105" s="47"/>
      <c r="N105" s="47"/>
      <c r="O105" s="36"/>
    </row>
    <row r="106" spans="1:15" ht="15" x14ac:dyDescent="0.25">
      <c r="A106" s="98" t="s">
        <v>73</v>
      </c>
      <c r="B106" s="4"/>
      <c r="F106" s="83"/>
      <c r="K106" s="83"/>
    </row>
    <row r="107" spans="1:15" x14ac:dyDescent="0.2">
      <c r="A107" s="4" t="s">
        <v>94</v>
      </c>
      <c r="D107" s="91" t="s">
        <v>41</v>
      </c>
      <c r="E107" s="91" t="s">
        <v>68</v>
      </c>
      <c r="F107" s="92" t="s">
        <v>69</v>
      </c>
      <c r="I107" s="91" t="s">
        <v>41</v>
      </c>
      <c r="J107" s="91" t="s">
        <v>68</v>
      </c>
      <c r="K107" s="94" t="s">
        <v>69</v>
      </c>
      <c r="L107" s="4"/>
      <c r="M107" s="4" t="s">
        <v>70</v>
      </c>
      <c r="N107" s="4" t="s">
        <v>70</v>
      </c>
    </row>
    <row r="108" spans="1:15" x14ac:dyDescent="0.2">
      <c r="D108" s="93" t="s">
        <v>76</v>
      </c>
      <c r="E108" s="91" t="s">
        <v>103</v>
      </c>
      <c r="F108" s="92" t="s">
        <v>71</v>
      </c>
      <c r="I108" s="91"/>
      <c r="J108" s="91" t="s">
        <v>103</v>
      </c>
      <c r="K108" s="94" t="s">
        <v>71</v>
      </c>
      <c r="L108" s="4"/>
      <c r="M108" s="4" t="s">
        <v>72</v>
      </c>
      <c r="N108" s="91" t="s">
        <v>78</v>
      </c>
    </row>
    <row r="109" spans="1:15" ht="38.25" x14ac:dyDescent="0.2">
      <c r="A109" s="97"/>
      <c r="B109" s="36"/>
      <c r="C109" s="24" t="s">
        <v>13</v>
      </c>
      <c r="D109" s="32" t="s">
        <v>77</v>
      </c>
      <c r="E109" s="32" t="s">
        <v>77</v>
      </c>
      <c r="F109" s="267">
        <f>'9. Service Charge Adj.'!E23</f>
        <v>15.14</v>
      </c>
      <c r="H109" s="24" t="s">
        <v>13</v>
      </c>
      <c r="I109" s="32" t="s">
        <v>77</v>
      </c>
      <c r="J109" s="32" t="s">
        <v>77</v>
      </c>
      <c r="K109" s="66">
        <f>'10. 2004 Rate Schedule '!F16</f>
        <v>15.14</v>
      </c>
      <c r="L109" s="66"/>
      <c r="M109" s="66"/>
    </row>
    <row r="110" spans="1:15" ht="25.5" x14ac:dyDescent="0.2">
      <c r="C110" s="24" t="s">
        <v>210</v>
      </c>
      <c r="D110">
        <v>1000</v>
      </c>
      <c r="E110" s="204">
        <v>2.3E-3</v>
      </c>
      <c r="F110" s="66">
        <f>D110*E110</f>
        <v>2.2999999999999998</v>
      </c>
      <c r="H110" s="24" t="s">
        <v>210</v>
      </c>
      <c r="I110">
        <f>D110</f>
        <v>1000</v>
      </c>
      <c r="J110" s="105">
        <f>'10. 2004 Rate Schedule '!F17</f>
        <v>2.2018931206899033E-3</v>
      </c>
      <c r="K110" s="66">
        <f>I110*J110</f>
        <v>2.2018931206899035</v>
      </c>
      <c r="L110" s="66"/>
      <c r="M110" s="66"/>
    </row>
    <row r="111" spans="1:15" ht="30" customHeight="1" x14ac:dyDescent="0.2">
      <c r="C111" s="24" t="s">
        <v>211</v>
      </c>
      <c r="D111">
        <v>1000</v>
      </c>
      <c r="E111" s="205">
        <v>2.29E-2</v>
      </c>
      <c r="F111" s="66">
        <f>D111*E111</f>
        <v>22.9</v>
      </c>
      <c r="H111" s="24" t="s">
        <v>211</v>
      </c>
      <c r="I111">
        <v>1000</v>
      </c>
      <c r="J111" s="105">
        <f>E111</f>
        <v>2.29E-2</v>
      </c>
      <c r="K111" s="66">
        <f>I111*J111</f>
        <v>22.9</v>
      </c>
      <c r="L111" s="66"/>
      <c r="M111" s="66"/>
    </row>
    <row r="112" spans="1:15" ht="25.5" x14ac:dyDescent="0.2">
      <c r="C112" s="24" t="s">
        <v>217</v>
      </c>
      <c r="D112">
        <f>D110</f>
        <v>1000</v>
      </c>
      <c r="E112" s="85">
        <v>4.2999999999999997E-2</v>
      </c>
      <c r="F112" s="66">
        <f>D112*E112</f>
        <v>43</v>
      </c>
      <c r="H112" s="24" t="s">
        <v>217</v>
      </c>
      <c r="I112">
        <f>D112</f>
        <v>1000</v>
      </c>
      <c r="J112" s="105">
        <f>E112</f>
        <v>4.2999999999999997E-2</v>
      </c>
      <c r="K112" s="66">
        <f>I112*J112</f>
        <v>43</v>
      </c>
      <c r="L112" s="66"/>
      <c r="M112" s="66"/>
    </row>
    <row r="113" spans="1:14" x14ac:dyDescent="0.2">
      <c r="C113" s="6"/>
      <c r="H113" s="6"/>
      <c r="J113" s="105"/>
    </row>
    <row r="114" spans="1:14" x14ac:dyDescent="0.2">
      <c r="C114" t="s">
        <v>208</v>
      </c>
      <c r="F114" s="106">
        <f>SUM(F109:F112)</f>
        <v>83.34</v>
      </c>
      <c r="H114" t="s">
        <v>213</v>
      </c>
      <c r="K114" s="106">
        <f>SUM(K109:K112)</f>
        <v>83.241893120689895</v>
      </c>
      <c r="L114" s="66"/>
      <c r="M114" s="66">
        <f>K114-F114</f>
        <v>-9.8106879310108752E-2</v>
      </c>
      <c r="N114" s="89">
        <f>K114/F114-1</f>
        <v>-1.1771883766511504E-3</v>
      </c>
    </row>
    <row r="115" spans="1:14" x14ac:dyDescent="0.2">
      <c r="K115" s="83"/>
    </row>
    <row r="116" spans="1:14" x14ac:dyDescent="0.2">
      <c r="K116" s="83"/>
    </row>
    <row r="117" spans="1:14" x14ac:dyDescent="0.2">
      <c r="A117" s="4" t="s">
        <v>93</v>
      </c>
      <c r="B117" s="4"/>
      <c r="D117" s="91" t="s">
        <v>41</v>
      </c>
      <c r="E117" s="91" t="s">
        <v>68</v>
      </c>
      <c r="F117" s="92" t="s">
        <v>69</v>
      </c>
      <c r="I117" s="91" t="s">
        <v>41</v>
      </c>
      <c r="J117" s="91" t="s">
        <v>68</v>
      </c>
      <c r="K117" s="94" t="s">
        <v>69</v>
      </c>
      <c r="L117" s="4"/>
      <c r="M117" s="4" t="s">
        <v>70</v>
      </c>
      <c r="N117" s="4" t="s">
        <v>70</v>
      </c>
    </row>
    <row r="118" spans="1:14" x14ac:dyDescent="0.2">
      <c r="A118" s="4" t="s">
        <v>95</v>
      </c>
      <c r="D118" s="93" t="s">
        <v>76</v>
      </c>
      <c r="E118" s="91" t="s">
        <v>103</v>
      </c>
      <c r="F118" s="92" t="s">
        <v>71</v>
      </c>
      <c r="I118" s="91"/>
      <c r="J118" s="91" t="s">
        <v>103</v>
      </c>
      <c r="K118" s="94" t="s">
        <v>71</v>
      </c>
      <c r="L118" s="4"/>
      <c r="M118" s="4" t="s">
        <v>72</v>
      </c>
      <c r="N118" s="91" t="s">
        <v>78</v>
      </c>
    </row>
    <row r="119" spans="1:14" ht="38.25" x14ac:dyDescent="0.2">
      <c r="A119" s="97"/>
      <c r="B119" s="36"/>
      <c r="C119" s="24" t="s">
        <v>13</v>
      </c>
      <c r="D119" s="32" t="s">
        <v>77</v>
      </c>
      <c r="E119" s="32" t="s">
        <v>77</v>
      </c>
      <c r="F119" s="103">
        <f>F109</f>
        <v>15.14</v>
      </c>
      <c r="H119" s="24" t="s">
        <v>13</v>
      </c>
      <c r="I119" s="32" t="s">
        <v>77</v>
      </c>
      <c r="J119" s="32" t="s">
        <v>77</v>
      </c>
      <c r="K119" s="66">
        <f>K109</f>
        <v>15.14</v>
      </c>
      <c r="L119" s="66"/>
      <c r="M119" s="66"/>
    </row>
    <row r="120" spans="1:14" ht="25.5" x14ac:dyDescent="0.2">
      <c r="C120" s="24" t="s">
        <v>210</v>
      </c>
      <c r="D120">
        <v>2000</v>
      </c>
      <c r="E120" s="85">
        <f>E110</f>
        <v>2.3E-3</v>
      </c>
      <c r="F120" s="66">
        <f>D120*E120</f>
        <v>4.5999999999999996</v>
      </c>
      <c r="H120" s="24" t="s">
        <v>210</v>
      </c>
      <c r="I120">
        <f>D120</f>
        <v>2000</v>
      </c>
      <c r="J120" s="105">
        <f>J110</f>
        <v>2.2018931206899033E-3</v>
      </c>
      <c r="K120" s="66">
        <f>I120*J120</f>
        <v>4.403786241379807</v>
      </c>
      <c r="L120" s="66"/>
      <c r="M120" s="66"/>
    </row>
    <row r="121" spans="1:14" ht="25.5" customHeight="1" x14ac:dyDescent="0.2">
      <c r="C121" s="24" t="s">
        <v>211</v>
      </c>
      <c r="D121">
        <v>2000</v>
      </c>
      <c r="E121" s="85">
        <f>E111</f>
        <v>2.29E-2</v>
      </c>
      <c r="F121" s="66">
        <f>D121*E121</f>
        <v>45.8</v>
      </c>
      <c r="H121" s="24" t="s">
        <v>211</v>
      </c>
      <c r="I121">
        <f>D121</f>
        <v>2000</v>
      </c>
      <c r="J121" s="105">
        <f>J111</f>
        <v>2.29E-2</v>
      </c>
      <c r="K121" s="66">
        <f>I121*J121</f>
        <v>45.8</v>
      </c>
      <c r="L121" s="66"/>
      <c r="M121" s="66"/>
    </row>
    <row r="122" spans="1:14" ht="25.5" x14ac:dyDescent="0.2">
      <c r="C122" s="24" t="s">
        <v>217</v>
      </c>
      <c r="D122">
        <f>D120</f>
        <v>2000</v>
      </c>
      <c r="E122" s="85">
        <f>E112</f>
        <v>4.2999999999999997E-2</v>
      </c>
      <c r="F122" s="66">
        <f>D122*E122</f>
        <v>86</v>
      </c>
      <c r="H122" s="24" t="s">
        <v>217</v>
      </c>
      <c r="I122">
        <f>D122</f>
        <v>2000</v>
      </c>
      <c r="J122" s="105">
        <f>E122</f>
        <v>4.2999999999999997E-2</v>
      </c>
      <c r="K122" s="66">
        <f>I122*J122</f>
        <v>86</v>
      </c>
      <c r="L122" s="66"/>
      <c r="M122" s="66"/>
    </row>
    <row r="123" spans="1:14" x14ac:dyDescent="0.2">
      <c r="C123" s="6"/>
      <c r="H123" s="6"/>
      <c r="J123" s="105"/>
    </row>
    <row r="124" spans="1:14" x14ac:dyDescent="0.2">
      <c r="C124" t="s">
        <v>208</v>
      </c>
      <c r="F124" s="106">
        <f>SUM(F119:F122)</f>
        <v>151.54</v>
      </c>
      <c r="H124" t="s">
        <v>213</v>
      </c>
      <c r="K124" s="106">
        <f>SUM(K119:K122)</f>
        <v>151.3437862413798</v>
      </c>
      <c r="L124" s="66"/>
      <c r="M124" s="66">
        <f>K124-F124</f>
        <v>-0.19621375862018908</v>
      </c>
      <c r="N124" s="89">
        <f>K124/F124-1</f>
        <v>-1.2947984599458451E-3</v>
      </c>
    </row>
    <row r="125" spans="1:14" x14ac:dyDescent="0.2">
      <c r="K125" s="83"/>
    </row>
    <row r="126" spans="1:14" x14ac:dyDescent="0.2">
      <c r="K126" s="83"/>
    </row>
    <row r="127" spans="1:14" x14ac:dyDescent="0.2">
      <c r="A127" s="4" t="s">
        <v>93</v>
      </c>
      <c r="B127" s="4"/>
      <c r="D127" s="91" t="s">
        <v>41</v>
      </c>
      <c r="E127" s="91" t="s">
        <v>68</v>
      </c>
      <c r="F127" s="92" t="s">
        <v>69</v>
      </c>
      <c r="I127" s="91" t="s">
        <v>41</v>
      </c>
      <c r="J127" s="91" t="s">
        <v>68</v>
      </c>
      <c r="K127" s="94" t="s">
        <v>69</v>
      </c>
      <c r="L127" s="4"/>
      <c r="M127" s="4" t="s">
        <v>70</v>
      </c>
      <c r="N127" s="4" t="s">
        <v>70</v>
      </c>
    </row>
    <row r="128" spans="1:14" x14ac:dyDescent="0.2">
      <c r="A128" s="4" t="s">
        <v>96</v>
      </c>
      <c r="D128" s="93" t="s">
        <v>76</v>
      </c>
      <c r="E128" s="91" t="s">
        <v>103</v>
      </c>
      <c r="F128" s="92" t="s">
        <v>71</v>
      </c>
      <c r="I128" s="91"/>
      <c r="J128" s="91" t="s">
        <v>103</v>
      </c>
      <c r="K128" s="94" t="s">
        <v>71</v>
      </c>
      <c r="L128" s="4"/>
      <c r="M128" s="4" t="s">
        <v>72</v>
      </c>
      <c r="N128" s="91" t="s">
        <v>78</v>
      </c>
    </row>
    <row r="129" spans="1:14" ht="38.25" x14ac:dyDescent="0.2">
      <c r="A129" s="97"/>
      <c r="B129" s="36"/>
      <c r="C129" s="24" t="s">
        <v>13</v>
      </c>
      <c r="D129" s="32" t="s">
        <v>77</v>
      </c>
      <c r="E129" s="32" t="s">
        <v>77</v>
      </c>
      <c r="F129" s="103">
        <f>F109</f>
        <v>15.14</v>
      </c>
      <c r="H129" s="24" t="s">
        <v>13</v>
      </c>
      <c r="I129" s="32" t="s">
        <v>77</v>
      </c>
      <c r="J129" s="32" t="s">
        <v>77</v>
      </c>
      <c r="K129" s="66">
        <f>K109</f>
        <v>15.14</v>
      </c>
      <c r="L129" s="66"/>
      <c r="M129" s="66"/>
    </row>
    <row r="130" spans="1:14" ht="25.5" x14ac:dyDescent="0.2">
      <c r="C130" s="24" t="s">
        <v>210</v>
      </c>
      <c r="D130">
        <v>5000</v>
      </c>
      <c r="E130" s="85">
        <f>E110</f>
        <v>2.3E-3</v>
      </c>
      <c r="F130" s="66">
        <f>D130*E130</f>
        <v>11.5</v>
      </c>
      <c r="H130" s="24" t="s">
        <v>210</v>
      </c>
      <c r="I130">
        <f>D130</f>
        <v>5000</v>
      </c>
      <c r="J130" s="105">
        <f>J110</f>
        <v>2.2018931206899033E-3</v>
      </c>
      <c r="K130" s="66">
        <f>I130*J130</f>
        <v>11.009465603449517</v>
      </c>
      <c r="L130" s="66"/>
      <c r="M130" s="66"/>
    </row>
    <row r="131" spans="1:14" ht="30" customHeight="1" x14ac:dyDescent="0.2">
      <c r="C131" s="24" t="s">
        <v>211</v>
      </c>
      <c r="D131">
        <v>5000</v>
      </c>
      <c r="E131" s="85">
        <f>E111</f>
        <v>2.29E-2</v>
      </c>
      <c r="F131" s="66">
        <f>D131*E131</f>
        <v>114.5</v>
      </c>
      <c r="H131" s="24" t="s">
        <v>211</v>
      </c>
      <c r="I131">
        <f>D131</f>
        <v>5000</v>
      </c>
      <c r="J131" s="105">
        <f>J111</f>
        <v>2.29E-2</v>
      </c>
      <c r="K131" s="66">
        <f>I131*J131</f>
        <v>114.5</v>
      </c>
      <c r="L131" s="66"/>
      <c r="M131" s="66"/>
    </row>
    <row r="132" spans="1:14" ht="25.5" x14ac:dyDescent="0.2">
      <c r="C132" s="24" t="s">
        <v>217</v>
      </c>
      <c r="D132">
        <f>D130</f>
        <v>5000</v>
      </c>
      <c r="E132" s="85">
        <f>E112</f>
        <v>4.2999999999999997E-2</v>
      </c>
      <c r="F132" s="66">
        <f>D132*E132</f>
        <v>214.99999999999997</v>
      </c>
      <c r="H132" s="24" t="s">
        <v>217</v>
      </c>
      <c r="I132">
        <f>D132</f>
        <v>5000</v>
      </c>
      <c r="J132" s="105">
        <f>E132</f>
        <v>4.2999999999999997E-2</v>
      </c>
      <c r="K132" s="66">
        <f>I132*J132</f>
        <v>214.99999999999997</v>
      </c>
      <c r="L132" s="66"/>
      <c r="M132" s="66"/>
    </row>
    <row r="133" spans="1:14" x14ac:dyDescent="0.2">
      <c r="C133" s="6"/>
      <c r="H133" s="6"/>
      <c r="J133" s="105"/>
    </row>
    <row r="134" spans="1:14" x14ac:dyDescent="0.2">
      <c r="C134" t="s">
        <v>208</v>
      </c>
      <c r="F134" s="106">
        <f>SUM(F129:F132)</f>
        <v>356.14</v>
      </c>
      <c r="H134" t="s">
        <v>213</v>
      </c>
      <c r="K134" s="106">
        <f>SUM(K129:K132)</f>
        <v>355.64946560344947</v>
      </c>
      <c r="L134" s="66"/>
      <c r="M134" s="66">
        <f>K134-F134</f>
        <v>-0.49053439655051534</v>
      </c>
      <c r="N134" s="89">
        <f>K134/F134-1</f>
        <v>-1.3773639483083411E-3</v>
      </c>
    </row>
    <row r="135" spans="1:14" x14ac:dyDescent="0.2">
      <c r="F135" s="76"/>
      <c r="K135" s="76"/>
      <c r="L135" s="66"/>
      <c r="M135" s="66"/>
      <c r="N135" s="95"/>
    </row>
    <row r="136" spans="1:14" x14ac:dyDescent="0.2">
      <c r="F136" s="76"/>
      <c r="K136" s="76"/>
      <c r="L136" s="66"/>
      <c r="M136" s="66"/>
      <c r="N136" s="95"/>
    </row>
    <row r="137" spans="1:14" x14ac:dyDescent="0.2">
      <c r="A137" s="4" t="s">
        <v>93</v>
      </c>
      <c r="B137" s="4"/>
      <c r="D137" s="91" t="s">
        <v>41</v>
      </c>
      <c r="E137" s="91" t="s">
        <v>68</v>
      </c>
      <c r="F137" s="92" t="s">
        <v>69</v>
      </c>
      <c r="I137" s="91" t="s">
        <v>41</v>
      </c>
      <c r="J137" s="91" t="s">
        <v>68</v>
      </c>
      <c r="K137" s="94" t="s">
        <v>69</v>
      </c>
      <c r="L137" s="4"/>
      <c r="M137" s="4" t="s">
        <v>70</v>
      </c>
      <c r="N137" s="4" t="s">
        <v>70</v>
      </c>
    </row>
    <row r="138" spans="1:14" x14ac:dyDescent="0.2">
      <c r="A138" s="4" t="s">
        <v>97</v>
      </c>
      <c r="D138" s="93" t="s">
        <v>76</v>
      </c>
      <c r="E138" s="91" t="s">
        <v>103</v>
      </c>
      <c r="F138" s="92" t="s">
        <v>71</v>
      </c>
      <c r="I138" s="91"/>
      <c r="J138" s="91" t="s">
        <v>103</v>
      </c>
      <c r="K138" s="94" t="s">
        <v>71</v>
      </c>
      <c r="L138" s="4"/>
      <c r="M138" s="4" t="s">
        <v>72</v>
      </c>
      <c r="N138" s="91" t="s">
        <v>78</v>
      </c>
    </row>
    <row r="139" spans="1:14" ht="38.25" x14ac:dyDescent="0.2">
      <c r="A139" s="97"/>
      <c r="B139" s="36"/>
      <c r="C139" s="24" t="s">
        <v>13</v>
      </c>
      <c r="D139" s="32" t="s">
        <v>77</v>
      </c>
      <c r="E139" s="32" t="s">
        <v>77</v>
      </c>
      <c r="F139" s="103">
        <f>F109</f>
        <v>15.14</v>
      </c>
      <c r="H139" s="24" t="s">
        <v>13</v>
      </c>
      <c r="I139" s="32" t="s">
        <v>77</v>
      </c>
      <c r="J139" s="32" t="s">
        <v>77</v>
      </c>
      <c r="K139" s="66">
        <f>K109</f>
        <v>15.14</v>
      </c>
      <c r="L139" s="66"/>
      <c r="M139" s="66"/>
    </row>
    <row r="140" spans="1:14" ht="25.5" x14ac:dyDescent="0.2">
      <c r="C140" s="24" t="s">
        <v>210</v>
      </c>
      <c r="D140">
        <v>10000</v>
      </c>
      <c r="E140" s="85">
        <f>E110</f>
        <v>2.3E-3</v>
      </c>
      <c r="F140" s="66">
        <f>D140*E140</f>
        <v>23</v>
      </c>
      <c r="H140" s="24" t="s">
        <v>210</v>
      </c>
      <c r="I140">
        <f>D140</f>
        <v>10000</v>
      </c>
      <c r="J140" s="105">
        <f>J110</f>
        <v>2.2018931206899033E-3</v>
      </c>
      <c r="K140" s="66">
        <f>I140*J140</f>
        <v>22.018931206899033</v>
      </c>
      <c r="L140" s="66"/>
      <c r="M140" s="66"/>
    </row>
    <row r="141" spans="1:14" ht="27" customHeight="1" x14ac:dyDescent="0.2">
      <c r="C141" s="24" t="s">
        <v>211</v>
      </c>
      <c r="D141">
        <v>10000</v>
      </c>
      <c r="E141" s="85">
        <f>E111</f>
        <v>2.29E-2</v>
      </c>
      <c r="F141" s="66">
        <f>D141*E141</f>
        <v>229</v>
      </c>
      <c r="H141" s="24" t="s">
        <v>211</v>
      </c>
      <c r="I141">
        <f>D141</f>
        <v>10000</v>
      </c>
      <c r="J141" s="105">
        <f>J111</f>
        <v>2.29E-2</v>
      </c>
      <c r="K141" s="66">
        <f>I141*J141</f>
        <v>229</v>
      </c>
      <c r="L141" s="66"/>
      <c r="M141" s="66"/>
    </row>
    <row r="142" spans="1:14" ht="25.5" x14ac:dyDescent="0.2">
      <c r="C142" s="24" t="s">
        <v>217</v>
      </c>
      <c r="D142">
        <f>D140</f>
        <v>10000</v>
      </c>
      <c r="E142" s="85">
        <f>E112</f>
        <v>4.2999999999999997E-2</v>
      </c>
      <c r="F142" s="66">
        <f>D142*E142</f>
        <v>429.99999999999994</v>
      </c>
      <c r="H142" s="24" t="s">
        <v>217</v>
      </c>
      <c r="I142">
        <f>D142</f>
        <v>10000</v>
      </c>
      <c r="J142" s="105">
        <f>J112</f>
        <v>4.2999999999999997E-2</v>
      </c>
      <c r="K142" s="66">
        <f>I142*J142</f>
        <v>429.99999999999994</v>
      </c>
      <c r="L142" s="66"/>
      <c r="M142" s="66"/>
    </row>
    <row r="143" spans="1:14" x14ac:dyDescent="0.2">
      <c r="C143" s="6"/>
      <c r="H143" s="6"/>
      <c r="J143" s="105"/>
    </row>
    <row r="144" spans="1:14" x14ac:dyDescent="0.2">
      <c r="C144" t="s">
        <v>208</v>
      </c>
      <c r="F144" s="106">
        <f>SUM(F139:F142)</f>
        <v>697.13999999999987</v>
      </c>
      <c r="H144" t="s">
        <v>213</v>
      </c>
      <c r="K144" s="106">
        <f>SUM(K139:K142)</f>
        <v>696.15893120689896</v>
      </c>
      <c r="L144" s="66"/>
      <c r="M144" s="66">
        <f>K144-F144</f>
        <v>-0.98106879310091699</v>
      </c>
      <c r="N144" s="89">
        <f>K144/F144-1</f>
        <v>-1.407276577302885E-3</v>
      </c>
    </row>
    <row r="145" spans="1:14" x14ac:dyDescent="0.2">
      <c r="F145" s="76"/>
      <c r="K145" s="76"/>
      <c r="L145" s="66"/>
      <c r="M145" s="66"/>
      <c r="N145" s="95"/>
    </row>
    <row r="146" spans="1:14" x14ac:dyDescent="0.2">
      <c r="F146" s="76"/>
      <c r="K146" s="76"/>
      <c r="L146" s="66"/>
      <c r="M146" s="66"/>
      <c r="N146" s="95"/>
    </row>
    <row r="147" spans="1:14" x14ac:dyDescent="0.2">
      <c r="A147" s="4" t="s">
        <v>93</v>
      </c>
      <c r="B147" s="4"/>
      <c r="D147" s="91" t="s">
        <v>41</v>
      </c>
      <c r="E147" s="91" t="s">
        <v>68</v>
      </c>
      <c r="F147" s="92" t="s">
        <v>69</v>
      </c>
      <c r="I147" s="91" t="s">
        <v>41</v>
      </c>
      <c r="J147" s="91" t="s">
        <v>68</v>
      </c>
      <c r="K147" s="94" t="s">
        <v>69</v>
      </c>
      <c r="L147" s="4"/>
      <c r="M147" s="4" t="s">
        <v>70</v>
      </c>
      <c r="N147" s="4" t="s">
        <v>70</v>
      </c>
    </row>
    <row r="148" spans="1:14" x14ac:dyDescent="0.2">
      <c r="A148" s="4" t="s">
        <v>226</v>
      </c>
      <c r="D148" s="93" t="s">
        <v>76</v>
      </c>
      <c r="E148" s="91" t="s">
        <v>103</v>
      </c>
      <c r="F148" s="92" t="s">
        <v>71</v>
      </c>
      <c r="I148" s="91"/>
      <c r="J148" s="91" t="s">
        <v>103</v>
      </c>
      <c r="K148" s="94" t="s">
        <v>71</v>
      </c>
      <c r="L148" s="4"/>
      <c r="M148" s="4" t="s">
        <v>72</v>
      </c>
      <c r="N148" s="91" t="s">
        <v>78</v>
      </c>
    </row>
    <row r="149" spans="1:14" ht="38.25" x14ac:dyDescent="0.2">
      <c r="A149" s="97"/>
      <c r="B149" s="36"/>
      <c r="C149" s="24" t="s">
        <v>13</v>
      </c>
      <c r="D149" s="32" t="s">
        <v>77</v>
      </c>
      <c r="E149" s="32" t="s">
        <v>77</v>
      </c>
      <c r="F149" s="103">
        <f>F109</f>
        <v>15.14</v>
      </c>
      <c r="H149" s="24" t="s">
        <v>13</v>
      </c>
      <c r="I149" s="32" t="s">
        <v>77</v>
      </c>
      <c r="J149" s="32" t="s">
        <v>77</v>
      </c>
      <c r="K149" s="66">
        <f>K109</f>
        <v>15.14</v>
      </c>
      <c r="L149" s="66"/>
      <c r="M149" s="66"/>
    </row>
    <row r="150" spans="1:14" ht="25.5" x14ac:dyDescent="0.2">
      <c r="C150" s="24" t="s">
        <v>210</v>
      </c>
      <c r="D150">
        <v>15000</v>
      </c>
      <c r="E150" s="85">
        <f>E110</f>
        <v>2.3E-3</v>
      </c>
      <c r="F150" s="66">
        <f>D150*E150</f>
        <v>34.5</v>
      </c>
      <c r="H150" s="24" t="s">
        <v>210</v>
      </c>
      <c r="I150">
        <f>D150</f>
        <v>15000</v>
      </c>
      <c r="J150" s="105">
        <f>J110</f>
        <v>2.2018931206899033E-3</v>
      </c>
      <c r="K150" s="66">
        <f>I150*J150</f>
        <v>33.028396810348546</v>
      </c>
      <c r="L150" s="66"/>
      <c r="M150" s="66"/>
    </row>
    <row r="151" spans="1:14" ht="27" customHeight="1" x14ac:dyDescent="0.2">
      <c r="C151" s="24" t="s">
        <v>211</v>
      </c>
      <c r="D151">
        <v>15000</v>
      </c>
      <c r="E151" s="85">
        <f>E111</f>
        <v>2.29E-2</v>
      </c>
      <c r="F151" s="66">
        <f>D151*E151</f>
        <v>343.5</v>
      </c>
      <c r="H151" s="24" t="s">
        <v>211</v>
      </c>
      <c r="I151">
        <v>15000</v>
      </c>
      <c r="J151" s="105">
        <f>J111</f>
        <v>2.29E-2</v>
      </c>
      <c r="K151" s="66">
        <f>I151*J151</f>
        <v>343.5</v>
      </c>
      <c r="L151" s="66"/>
      <c r="M151" s="66"/>
    </row>
    <row r="152" spans="1:14" ht="27" customHeight="1" x14ac:dyDescent="0.2">
      <c r="C152" s="24" t="s">
        <v>217</v>
      </c>
      <c r="D152">
        <f>D150</f>
        <v>15000</v>
      </c>
      <c r="E152" s="85">
        <f>E112</f>
        <v>4.2999999999999997E-2</v>
      </c>
      <c r="F152" s="66">
        <f>D152*E152</f>
        <v>645</v>
      </c>
      <c r="H152" s="24" t="s">
        <v>217</v>
      </c>
      <c r="I152">
        <f>D152</f>
        <v>15000</v>
      </c>
      <c r="J152" s="105">
        <f>J112</f>
        <v>4.2999999999999997E-2</v>
      </c>
      <c r="K152" s="66">
        <f>I152*J152</f>
        <v>645</v>
      </c>
      <c r="L152" s="66"/>
      <c r="M152" s="66"/>
    </row>
    <row r="153" spans="1:14" x14ac:dyDescent="0.2">
      <c r="C153" s="6"/>
      <c r="H153" s="6"/>
      <c r="J153" s="105"/>
    </row>
    <row r="154" spans="1:14" x14ac:dyDescent="0.2">
      <c r="C154" t="s">
        <v>208</v>
      </c>
      <c r="F154" s="106">
        <f>SUM(F149:F152)</f>
        <v>1038.1399999999999</v>
      </c>
      <c r="H154" t="s">
        <v>213</v>
      </c>
      <c r="K154" s="106">
        <f>SUM(K149:K152)</f>
        <v>1036.6683968103484</v>
      </c>
      <c r="L154" s="66"/>
      <c r="M154" s="66">
        <f>K154-F154</f>
        <v>-1.4716031896514323</v>
      </c>
      <c r="N154" s="89">
        <f>K154/F154-1</f>
        <v>-1.4175382796649538E-3</v>
      </c>
    </row>
    <row r="155" spans="1:14" x14ac:dyDescent="0.2">
      <c r="K155" s="83"/>
    </row>
    <row r="156" spans="1:14" ht="13.5" thickBot="1" x14ac:dyDescent="0.2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229"/>
      <c r="L156" s="118"/>
      <c r="M156" s="118"/>
      <c r="N156" s="118"/>
    </row>
    <row r="157" spans="1:14" x14ac:dyDescent="0.2">
      <c r="K157" s="83"/>
    </row>
    <row r="158" spans="1:14" ht="15.75" x14ac:dyDescent="0.25">
      <c r="A158" s="61" t="s">
        <v>74</v>
      </c>
      <c r="B158" s="27"/>
      <c r="F158" s="66"/>
      <c r="J158" s="105"/>
      <c r="K158" s="66"/>
      <c r="L158" s="66"/>
      <c r="M158" s="66"/>
    </row>
    <row r="159" spans="1:14" ht="15.75" x14ac:dyDescent="0.25">
      <c r="A159" s="27"/>
      <c r="B159" s="27"/>
      <c r="D159" s="36"/>
      <c r="F159" s="66"/>
      <c r="J159" s="105"/>
      <c r="K159" s="66"/>
      <c r="L159" s="66"/>
      <c r="M159" s="66"/>
    </row>
    <row r="160" spans="1:14" ht="15.75" x14ac:dyDescent="0.25">
      <c r="A160" s="125" t="s">
        <v>230</v>
      </c>
      <c r="B160" s="27"/>
      <c r="D160" s="36"/>
      <c r="F160" s="66"/>
      <c r="J160" s="105"/>
      <c r="K160" s="66"/>
      <c r="L160" s="66"/>
      <c r="M160" s="66"/>
    </row>
    <row r="161" spans="1:15" ht="15.75" x14ac:dyDescent="0.25">
      <c r="A161" s="125" t="s">
        <v>231</v>
      </c>
      <c r="B161" s="27"/>
      <c r="D161" s="36"/>
      <c r="F161" s="66"/>
      <c r="J161" s="105"/>
      <c r="K161" s="66"/>
      <c r="L161" s="66"/>
      <c r="M161" s="66"/>
    </row>
    <row r="162" spans="1:15" ht="27.75" customHeight="1" x14ac:dyDescent="0.2">
      <c r="A162" s="275" t="s">
        <v>315</v>
      </c>
      <c r="B162" s="273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</row>
    <row r="163" spans="1:15" ht="15.75" x14ac:dyDescent="0.25">
      <c r="A163" s="125" t="s">
        <v>232</v>
      </c>
      <c r="B163" s="27"/>
      <c r="D163" s="36"/>
      <c r="F163" s="66"/>
      <c r="J163" s="105"/>
      <c r="K163" s="66"/>
      <c r="L163" s="66"/>
      <c r="M163" s="66"/>
    </row>
    <row r="164" spans="1:15" ht="15.75" x14ac:dyDescent="0.25">
      <c r="A164" s="27"/>
      <c r="B164" s="27"/>
      <c r="D164" s="36"/>
      <c r="F164" s="66"/>
      <c r="J164" s="105"/>
      <c r="K164" s="66"/>
      <c r="L164" s="66"/>
      <c r="M164" s="66"/>
    </row>
    <row r="165" spans="1:15" ht="15" x14ac:dyDescent="0.25">
      <c r="C165" s="96" t="s">
        <v>208</v>
      </c>
      <c r="D165" s="47"/>
      <c r="E165" s="47"/>
      <c r="F165" s="47"/>
      <c r="H165" s="271" t="s">
        <v>225</v>
      </c>
      <c r="I165" s="47"/>
      <c r="J165" s="47"/>
      <c r="K165" s="90"/>
      <c r="L165" s="47"/>
      <c r="M165" s="47"/>
      <c r="N165" s="47"/>
      <c r="O165" s="47"/>
    </row>
    <row r="166" spans="1:15" ht="15" x14ac:dyDescent="0.25">
      <c r="A166" s="98" t="s">
        <v>73</v>
      </c>
      <c r="B166" s="4"/>
      <c r="F166" s="83"/>
      <c r="K166" s="83"/>
    </row>
    <row r="167" spans="1:15" x14ac:dyDescent="0.2">
      <c r="D167" s="91" t="s">
        <v>235</v>
      </c>
      <c r="E167" s="91" t="s">
        <v>68</v>
      </c>
      <c r="F167" s="92" t="s">
        <v>69</v>
      </c>
      <c r="I167" s="91" t="s">
        <v>235</v>
      </c>
      <c r="J167" s="91" t="s">
        <v>68</v>
      </c>
      <c r="K167" s="94" t="s">
        <v>69</v>
      </c>
      <c r="L167" s="4"/>
      <c r="M167" s="4" t="s">
        <v>70</v>
      </c>
      <c r="N167" s="4" t="s">
        <v>70</v>
      </c>
    </row>
    <row r="168" spans="1:15" x14ac:dyDescent="0.2">
      <c r="D168" s="93" t="s">
        <v>76</v>
      </c>
      <c r="E168" s="91" t="s">
        <v>236</v>
      </c>
      <c r="F168" s="92" t="s">
        <v>71</v>
      </c>
      <c r="I168" s="91"/>
      <c r="J168" s="91" t="s">
        <v>236</v>
      </c>
      <c r="K168" s="94" t="s">
        <v>71</v>
      </c>
      <c r="L168" s="4"/>
      <c r="M168" s="4" t="s">
        <v>72</v>
      </c>
      <c r="N168" s="91" t="s">
        <v>78</v>
      </c>
    </row>
    <row r="169" spans="1:15" ht="38.25" x14ac:dyDescent="0.2">
      <c r="A169" s="97"/>
      <c r="B169" s="36"/>
      <c r="C169" s="24" t="s">
        <v>13</v>
      </c>
      <c r="D169" s="32" t="s">
        <v>77</v>
      </c>
      <c r="E169" s="32" t="s">
        <v>77</v>
      </c>
      <c r="F169" s="267">
        <f>'9. Service Charge Adj.'!E24</f>
        <v>554.38</v>
      </c>
      <c r="H169" s="24" t="s">
        <v>13</v>
      </c>
      <c r="I169" s="32" t="s">
        <v>77</v>
      </c>
      <c r="J169" s="32" t="s">
        <v>77</v>
      </c>
      <c r="K169" s="66">
        <f>'10. 2004 Rate Schedule '!F22</f>
        <v>554.38</v>
      </c>
      <c r="L169" s="66"/>
      <c r="M169" s="66"/>
    </row>
    <row r="170" spans="1:15" ht="25.5" x14ac:dyDescent="0.2">
      <c r="C170" s="24" t="s">
        <v>104</v>
      </c>
      <c r="D170">
        <v>60</v>
      </c>
      <c r="E170" s="204">
        <v>2.7404000000000002</v>
      </c>
      <c r="F170" s="66">
        <f>D170*E170</f>
        <v>164.42400000000001</v>
      </c>
      <c r="H170" s="24" t="s">
        <v>104</v>
      </c>
      <c r="I170">
        <v>60</v>
      </c>
      <c r="J170" s="105">
        <f>'10. 2004 Rate Schedule '!F23</f>
        <v>3.114892688513148</v>
      </c>
      <c r="K170" s="66">
        <f>I170*J170</f>
        <v>186.89356131078887</v>
      </c>
      <c r="L170" s="66"/>
      <c r="M170" s="66"/>
    </row>
    <row r="171" spans="1:15" ht="25.5" x14ac:dyDescent="0.2">
      <c r="C171" s="24" t="s">
        <v>228</v>
      </c>
      <c r="D171">
        <f>D170</f>
        <v>60</v>
      </c>
      <c r="E171" s="85">
        <v>3.91</v>
      </c>
      <c r="F171" s="66">
        <f>D171*E171</f>
        <v>234.60000000000002</v>
      </c>
      <c r="H171" s="24" t="s">
        <v>228</v>
      </c>
      <c r="I171">
        <f>D171</f>
        <v>60</v>
      </c>
      <c r="J171" s="105">
        <f>E171</f>
        <v>3.91</v>
      </c>
      <c r="K171" s="66">
        <f>I171*J171</f>
        <v>234.60000000000002</v>
      </c>
      <c r="L171" s="66"/>
      <c r="M171" s="66"/>
    </row>
    <row r="172" spans="1:15" ht="28.5" customHeight="1" x14ac:dyDescent="0.2">
      <c r="C172" s="24" t="s">
        <v>211</v>
      </c>
      <c r="D172" s="12">
        <v>15000</v>
      </c>
      <c r="E172" s="85">
        <v>1.32E-2</v>
      </c>
      <c r="F172" s="66">
        <f>D172*E172</f>
        <v>198</v>
      </c>
      <c r="H172" s="24" t="s">
        <v>211</v>
      </c>
      <c r="I172" s="12">
        <f>D172</f>
        <v>15000</v>
      </c>
      <c r="J172" s="105">
        <f>E172</f>
        <v>1.32E-2</v>
      </c>
      <c r="K172" s="66">
        <f>I172*J172</f>
        <v>198</v>
      </c>
      <c r="L172" s="66"/>
      <c r="M172" s="66"/>
    </row>
    <row r="173" spans="1:15" ht="25.5" x14ac:dyDescent="0.2">
      <c r="C173" s="24" t="s">
        <v>229</v>
      </c>
      <c r="D173" s="12">
        <f>D172</f>
        <v>15000</v>
      </c>
      <c r="E173" s="85">
        <v>5.5E-2</v>
      </c>
      <c r="F173" s="66">
        <f>D173*E173</f>
        <v>825</v>
      </c>
      <c r="H173" s="24" t="s">
        <v>229</v>
      </c>
      <c r="I173" s="12">
        <f>D172</f>
        <v>15000</v>
      </c>
      <c r="J173" s="105">
        <f>E173</f>
        <v>5.5E-2</v>
      </c>
      <c r="K173" s="66">
        <f>I173*J173</f>
        <v>825</v>
      </c>
    </row>
    <row r="174" spans="1:15" x14ac:dyDescent="0.2">
      <c r="C174" s="6"/>
      <c r="H174" s="6"/>
      <c r="J174" s="105"/>
      <c r="K174" s="66"/>
    </row>
    <row r="175" spans="1:15" x14ac:dyDescent="0.2">
      <c r="C175" t="s">
        <v>208</v>
      </c>
      <c r="F175" s="106">
        <f>SUM(F169:F173)</f>
        <v>1976.404</v>
      </c>
      <c r="H175" t="s">
        <v>213</v>
      </c>
      <c r="K175" s="106">
        <f>SUM(K169:K173)</f>
        <v>1998.8735613107888</v>
      </c>
      <c r="L175" s="66"/>
      <c r="M175" s="66">
        <f>K175-F175</f>
        <v>22.469561310788777</v>
      </c>
      <c r="N175" s="89">
        <f>K175/F175-1</f>
        <v>1.1368911068176724E-2</v>
      </c>
    </row>
    <row r="176" spans="1:15" ht="12" customHeight="1" x14ac:dyDescent="0.25">
      <c r="A176" s="27"/>
      <c r="B176" s="27"/>
      <c r="F176" s="66"/>
      <c r="J176" s="105"/>
      <c r="K176" s="66"/>
      <c r="L176" s="66"/>
      <c r="M176" s="66"/>
    </row>
    <row r="177" spans="1:14" x14ac:dyDescent="0.2">
      <c r="F177" s="66"/>
      <c r="J177" s="105"/>
      <c r="K177" s="66"/>
      <c r="L177" s="66"/>
      <c r="M177" s="66"/>
      <c r="N177" s="86"/>
    </row>
    <row r="178" spans="1:14" x14ac:dyDescent="0.2">
      <c r="F178" s="66"/>
      <c r="J178" s="105"/>
      <c r="K178" s="66"/>
      <c r="L178" s="66"/>
      <c r="M178" s="66"/>
    </row>
    <row r="179" spans="1:14" x14ac:dyDescent="0.2">
      <c r="A179" s="4" t="s">
        <v>93</v>
      </c>
      <c r="B179" s="4"/>
      <c r="D179" s="91" t="s">
        <v>235</v>
      </c>
      <c r="E179" s="91" t="s">
        <v>68</v>
      </c>
      <c r="F179" s="92" t="s">
        <v>69</v>
      </c>
      <c r="I179" s="91" t="s">
        <v>235</v>
      </c>
      <c r="J179" s="91" t="s">
        <v>68</v>
      </c>
      <c r="K179" s="94" t="s">
        <v>69</v>
      </c>
      <c r="L179" s="4"/>
      <c r="M179" s="4" t="s">
        <v>70</v>
      </c>
      <c r="N179" s="4" t="s">
        <v>70</v>
      </c>
    </row>
    <row r="180" spans="1:14" x14ac:dyDescent="0.2">
      <c r="A180" s="4" t="s">
        <v>98</v>
      </c>
      <c r="D180" s="93" t="s">
        <v>76</v>
      </c>
      <c r="E180" s="91" t="s">
        <v>236</v>
      </c>
      <c r="F180" s="92" t="s">
        <v>71</v>
      </c>
      <c r="I180" s="91"/>
      <c r="J180" s="91" t="s">
        <v>236</v>
      </c>
      <c r="K180" s="94" t="s">
        <v>71</v>
      </c>
      <c r="L180" s="4"/>
      <c r="M180" s="4" t="s">
        <v>72</v>
      </c>
      <c r="N180" s="91" t="s">
        <v>78</v>
      </c>
    </row>
    <row r="181" spans="1:14" ht="38.25" x14ac:dyDescent="0.2">
      <c r="A181" s="97"/>
      <c r="B181" s="36"/>
      <c r="C181" s="24" t="s">
        <v>13</v>
      </c>
      <c r="D181" s="32" t="s">
        <v>77</v>
      </c>
      <c r="E181" s="32" t="s">
        <v>77</v>
      </c>
      <c r="F181" s="103">
        <f>F169</f>
        <v>554.38</v>
      </c>
      <c r="H181" s="24" t="s">
        <v>13</v>
      </c>
      <c r="I181" s="32" t="s">
        <v>77</v>
      </c>
      <c r="J181" s="32" t="s">
        <v>77</v>
      </c>
      <c r="K181" s="66">
        <f>K169</f>
        <v>554.38</v>
      </c>
      <c r="L181" s="66"/>
      <c r="M181" s="66"/>
    </row>
    <row r="182" spans="1:14" ht="25.5" x14ac:dyDescent="0.2">
      <c r="C182" s="24" t="s">
        <v>233</v>
      </c>
      <c r="D182">
        <v>100</v>
      </c>
      <c r="E182" s="85">
        <f>E170</f>
        <v>2.7404000000000002</v>
      </c>
      <c r="F182" s="66">
        <f>D182*E182</f>
        <v>274.04000000000002</v>
      </c>
      <c r="H182" s="24" t="s">
        <v>233</v>
      </c>
      <c r="I182">
        <f>D182</f>
        <v>100</v>
      </c>
      <c r="J182" s="105">
        <f>J170</f>
        <v>3.114892688513148</v>
      </c>
      <c r="K182" s="66">
        <f>I182*J182</f>
        <v>311.48926885131482</v>
      </c>
      <c r="L182" s="66"/>
      <c r="M182" s="66"/>
    </row>
    <row r="183" spans="1:14" ht="24.75" customHeight="1" x14ac:dyDescent="0.2">
      <c r="C183" s="24" t="s">
        <v>228</v>
      </c>
      <c r="D183">
        <f>D182</f>
        <v>100</v>
      </c>
      <c r="E183" s="85">
        <v>3.91</v>
      </c>
      <c r="F183" s="66">
        <f>D183*E183</f>
        <v>391</v>
      </c>
      <c r="H183" s="24" t="s">
        <v>228</v>
      </c>
      <c r="I183">
        <f>D183</f>
        <v>100</v>
      </c>
      <c r="J183" s="105">
        <f>E183</f>
        <v>3.91</v>
      </c>
      <c r="K183" s="66">
        <f>I183*J183</f>
        <v>391</v>
      </c>
      <c r="L183" s="66"/>
      <c r="M183" s="66"/>
    </row>
    <row r="184" spans="1:14" ht="25.5" customHeight="1" x14ac:dyDescent="0.2">
      <c r="C184" s="24" t="s">
        <v>211</v>
      </c>
      <c r="D184" s="12">
        <v>40000</v>
      </c>
      <c r="E184" s="85">
        <v>1.32E-2</v>
      </c>
      <c r="F184" s="66">
        <f>D184*E184</f>
        <v>528</v>
      </c>
      <c r="H184" s="24" t="s">
        <v>211</v>
      </c>
      <c r="I184" s="12">
        <f>D184</f>
        <v>40000</v>
      </c>
      <c r="J184" s="105">
        <f>E184</f>
        <v>1.32E-2</v>
      </c>
      <c r="K184" s="66">
        <f>I184*J184</f>
        <v>528</v>
      </c>
      <c r="L184" s="66"/>
      <c r="M184" s="66"/>
    </row>
    <row r="185" spans="1:14" ht="25.5" x14ac:dyDescent="0.2">
      <c r="C185" s="24" t="s">
        <v>229</v>
      </c>
      <c r="D185" s="129">
        <v>40000</v>
      </c>
      <c r="E185" s="85">
        <f>E173</f>
        <v>5.5E-2</v>
      </c>
      <c r="F185" s="66">
        <f>D185*E185</f>
        <v>2200</v>
      </c>
      <c r="H185" s="24" t="s">
        <v>229</v>
      </c>
      <c r="I185" s="206">
        <f>D185</f>
        <v>40000</v>
      </c>
      <c r="J185" s="105">
        <f>E185</f>
        <v>5.5E-2</v>
      </c>
      <c r="K185" s="66">
        <f>I185*J185</f>
        <v>2200</v>
      </c>
    </row>
    <row r="186" spans="1:14" x14ac:dyDescent="0.2">
      <c r="C186" s="6"/>
      <c r="H186" s="6"/>
      <c r="J186" s="105"/>
      <c r="K186" s="66"/>
    </row>
    <row r="187" spans="1:14" x14ac:dyDescent="0.2">
      <c r="C187" t="s">
        <v>208</v>
      </c>
      <c r="F187" s="106">
        <f>SUM(F181:F185)</f>
        <v>3947.42</v>
      </c>
      <c r="H187" t="s">
        <v>213</v>
      </c>
      <c r="K187" s="106">
        <f>SUM(K181:K185)</f>
        <v>3984.8692688513147</v>
      </c>
      <c r="L187" s="66"/>
      <c r="M187" s="66">
        <f>K187-F187</f>
        <v>37.449268851314628</v>
      </c>
      <c r="N187" s="89">
        <f>K187/F187-1</f>
        <v>9.4870241452176263E-3</v>
      </c>
    </row>
    <row r="188" spans="1:14" x14ac:dyDescent="0.2">
      <c r="K188" s="83"/>
    </row>
    <row r="189" spans="1:14" x14ac:dyDescent="0.2">
      <c r="F189" s="66"/>
      <c r="J189" s="105"/>
      <c r="K189" s="66"/>
      <c r="L189" s="66"/>
      <c r="M189" s="66"/>
      <c r="N189" s="86"/>
    </row>
    <row r="190" spans="1:14" x14ac:dyDescent="0.2">
      <c r="F190" s="66"/>
      <c r="J190" s="105"/>
      <c r="K190" s="66"/>
      <c r="L190" s="66"/>
      <c r="M190" s="66"/>
    </row>
    <row r="191" spans="1:14" x14ac:dyDescent="0.2">
      <c r="A191" s="4" t="s">
        <v>93</v>
      </c>
      <c r="B191" s="4"/>
      <c r="D191" s="91" t="s">
        <v>235</v>
      </c>
      <c r="E191" s="91" t="s">
        <v>68</v>
      </c>
      <c r="F191" s="92" t="s">
        <v>69</v>
      </c>
      <c r="I191" s="91" t="s">
        <v>235</v>
      </c>
      <c r="J191" s="91" t="s">
        <v>68</v>
      </c>
      <c r="K191" s="94" t="s">
        <v>69</v>
      </c>
      <c r="L191" s="4"/>
      <c r="M191" s="4" t="s">
        <v>70</v>
      </c>
      <c r="N191" s="4" t="s">
        <v>70</v>
      </c>
    </row>
    <row r="192" spans="1:14" x14ac:dyDescent="0.2">
      <c r="A192" s="4" t="s">
        <v>99</v>
      </c>
      <c r="D192" s="93" t="s">
        <v>76</v>
      </c>
      <c r="E192" s="91" t="s">
        <v>236</v>
      </c>
      <c r="F192" s="92" t="s">
        <v>71</v>
      </c>
      <c r="I192" s="91"/>
      <c r="J192" s="91" t="s">
        <v>236</v>
      </c>
      <c r="K192" s="94" t="s">
        <v>71</v>
      </c>
      <c r="L192" s="4"/>
      <c r="M192" s="4" t="s">
        <v>72</v>
      </c>
      <c r="N192" s="91" t="s">
        <v>78</v>
      </c>
    </row>
    <row r="193" spans="1:14" ht="38.25" x14ac:dyDescent="0.2">
      <c r="A193" s="97"/>
      <c r="B193" s="36"/>
      <c r="C193" s="24" t="s">
        <v>13</v>
      </c>
      <c r="D193" s="32" t="s">
        <v>77</v>
      </c>
      <c r="E193" s="32" t="s">
        <v>77</v>
      </c>
      <c r="F193" s="103">
        <f>F169</f>
        <v>554.38</v>
      </c>
      <c r="H193" s="24" t="s">
        <v>13</v>
      </c>
      <c r="I193" s="32" t="s">
        <v>77</v>
      </c>
      <c r="J193" s="32" t="s">
        <v>77</v>
      </c>
      <c r="K193" s="66">
        <f>K169</f>
        <v>554.38</v>
      </c>
      <c r="L193" s="66"/>
      <c r="M193" s="66"/>
    </row>
    <row r="194" spans="1:14" ht="25.5" x14ac:dyDescent="0.2">
      <c r="C194" s="24" t="s">
        <v>233</v>
      </c>
      <c r="D194">
        <v>500</v>
      </c>
      <c r="E194" s="85">
        <f>E170</f>
        <v>2.7404000000000002</v>
      </c>
      <c r="F194" s="66">
        <f>D194*E194</f>
        <v>1370.2</v>
      </c>
      <c r="H194" s="24" t="s">
        <v>233</v>
      </c>
      <c r="I194">
        <f>D194</f>
        <v>500</v>
      </c>
      <c r="J194" s="105">
        <f>J170</f>
        <v>3.114892688513148</v>
      </c>
      <c r="K194" s="66">
        <f>I194*J194</f>
        <v>1557.4463442565741</v>
      </c>
      <c r="L194" s="66"/>
      <c r="M194" s="66"/>
    </row>
    <row r="195" spans="1:14" ht="27.75" customHeight="1" x14ac:dyDescent="0.2">
      <c r="C195" s="24" t="s">
        <v>228</v>
      </c>
      <c r="D195">
        <f>D194</f>
        <v>500</v>
      </c>
      <c r="E195" s="85">
        <v>3.91</v>
      </c>
      <c r="F195" s="66">
        <f>D195*E195</f>
        <v>1955</v>
      </c>
      <c r="H195" s="24" t="s">
        <v>228</v>
      </c>
      <c r="I195">
        <f>D195</f>
        <v>500</v>
      </c>
      <c r="J195" s="105">
        <f>E195</f>
        <v>3.91</v>
      </c>
      <c r="K195" s="66">
        <f>I195*J195</f>
        <v>1955</v>
      </c>
      <c r="L195" s="66"/>
      <c r="M195" s="66"/>
    </row>
    <row r="196" spans="1:14" ht="27.75" customHeight="1" x14ac:dyDescent="0.2">
      <c r="C196" s="24" t="s">
        <v>211</v>
      </c>
      <c r="D196" s="12">
        <v>100000</v>
      </c>
      <c r="E196" s="85">
        <v>1.32E-2</v>
      </c>
      <c r="F196" s="66">
        <f>D196*E196</f>
        <v>1320</v>
      </c>
      <c r="H196" s="24" t="s">
        <v>211</v>
      </c>
      <c r="I196" s="12">
        <f>D196</f>
        <v>100000</v>
      </c>
      <c r="J196" s="105">
        <f>E196</f>
        <v>1.32E-2</v>
      </c>
      <c r="K196" s="66">
        <f>I196*J196</f>
        <v>1320</v>
      </c>
      <c r="L196" s="66"/>
      <c r="M196" s="66"/>
    </row>
    <row r="197" spans="1:14" ht="25.5" x14ac:dyDescent="0.2">
      <c r="C197" s="24" t="s">
        <v>229</v>
      </c>
      <c r="D197" s="129">
        <v>100000</v>
      </c>
      <c r="E197" s="85">
        <f>E173</f>
        <v>5.5E-2</v>
      </c>
      <c r="F197" s="66">
        <f>D197*E197</f>
        <v>5500</v>
      </c>
      <c r="H197" s="24" t="s">
        <v>229</v>
      </c>
      <c r="I197" s="129">
        <f>D197</f>
        <v>100000</v>
      </c>
      <c r="J197" s="105">
        <f>J185</f>
        <v>5.5E-2</v>
      </c>
      <c r="K197" s="66">
        <f>I197*J197</f>
        <v>5500</v>
      </c>
    </row>
    <row r="198" spans="1:14" x14ac:dyDescent="0.2">
      <c r="C198" s="6"/>
      <c r="H198" s="6"/>
      <c r="J198" s="105"/>
      <c r="K198" s="66"/>
    </row>
    <row r="199" spans="1:14" x14ac:dyDescent="0.2">
      <c r="C199" t="s">
        <v>208</v>
      </c>
      <c r="F199" s="106">
        <f>SUM(F193:F197)</f>
        <v>10699.58</v>
      </c>
      <c r="H199" t="s">
        <v>213</v>
      </c>
      <c r="K199" s="106">
        <f>SUM(K193:K197)</f>
        <v>10886.826344256573</v>
      </c>
      <c r="L199" s="66"/>
      <c r="M199" s="66">
        <f>K199-F199</f>
        <v>187.24634425657314</v>
      </c>
      <c r="N199" s="89">
        <f>K199/F199-1</f>
        <v>1.7500345271176387E-2</v>
      </c>
    </row>
    <row r="200" spans="1:14" x14ac:dyDescent="0.2">
      <c r="F200" s="76"/>
      <c r="K200" s="76"/>
      <c r="L200" s="66"/>
      <c r="M200" s="66"/>
      <c r="N200" s="95"/>
    </row>
    <row r="201" spans="1:14" x14ac:dyDescent="0.2">
      <c r="A201" s="36"/>
      <c r="B201" s="36"/>
      <c r="C201" s="36"/>
      <c r="D201" s="36"/>
      <c r="E201" s="36"/>
      <c r="F201" s="76"/>
      <c r="G201" s="36"/>
      <c r="H201" s="36"/>
      <c r="I201" s="36"/>
      <c r="J201" s="36"/>
      <c r="K201" s="76"/>
      <c r="L201" s="76"/>
      <c r="M201" s="76"/>
      <c r="N201" s="95"/>
    </row>
    <row r="202" spans="1:14" x14ac:dyDescent="0.2">
      <c r="K202" s="83"/>
    </row>
    <row r="203" spans="1:14" x14ac:dyDescent="0.2">
      <c r="A203" s="4" t="s">
        <v>93</v>
      </c>
      <c r="B203" s="4"/>
      <c r="D203" s="91" t="s">
        <v>235</v>
      </c>
      <c r="E203" s="91" t="s">
        <v>68</v>
      </c>
      <c r="F203" s="92" t="s">
        <v>69</v>
      </c>
      <c r="I203" s="91" t="s">
        <v>235</v>
      </c>
      <c r="J203" s="91" t="s">
        <v>68</v>
      </c>
      <c r="K203" s="94" t="s">
        <v>69</v>
      </c>
      <c r="L203" s="4"/>
      <c r="M203" s="4" t="s">
        <v>70</v>
      </c>
      <c r="N203" s="4" t="s">
        <v>70</v>
      </c>
    </row>
    <row r="204" spans="1:14" x14ac:dyDescent="0.2">
      <c r="A204" s="4" t="s">
        <v>100</v>
      </c>
      <c r="D204" s="93" t="s">
        <v>76</v>
      </c>
      <c r="E204" s="91" t="s">
        <v>236</v>
      </c>
      <c r="F204" s="92" t="s">
        <v>71</v>
      </c>
      <c r="I204" s="91"/>
      <c r="J204" s="91" t="s">
        <v>236</v>
      </c>
      <c r="K204" s="94" t="s">
        <v>71</v>
      </c>
      <c r="L204" s="4"/>
      <c r="M204" s="4" t="s">
        <v>72</v>
      </c>
      <c r="N204" s="91" t="s">
        <v>78</v>
      </c>
    </row>
    <row r="205" spans="1:14" ht="38.25" x14ac:dyDescent="0.2">
      <c r="A205" s="97"/>
      <c r="B205" s="36"/>
      <c r="C205" s="24" t="s">
        <v>13</v>
      </c>
      <c r="D205" s="32" t="s">
        <v>77</v>
      </c>
      <c r="E205" s="32" t="s">
        <v>77</v>
      </c>
      <c r="F205" s="103">
        <f>F169</f>
        <v>554.38</v>
      </c>
      <c r="H205" s="24" t="s">
        <v>13</v>
      </c>
      <c r="I205" s="32" t="s">
        <v>77</v>
      </c>
      <c r="J205" s="32" t="s">
        <v>77</v>
      </c>
      <c r="K205" s="66">
        <f>K169</f>
        <v>554.38</v>
      </c>
      <c r="L205" s="66"/>
      <c r="M205" s="66"/>
    </row>
    <row r="206" spans="1:14" ht="25.5" x14ac:dyDescent="0.2">
      <c r="C206" s="24" t="s">
        <v>233</v>
      </c>
      <c r="D206">
        <v>1000</v>
      </c>
      <c r="E206" s="85">
        <f>E170</f>
        <v>2.7404000000000002</v>
      </c>
      <c r="F206" s="66">
        <f>D206*E206</f>
        <v>2740.4</v>
      </c>
      <c r="H206" s="24" t="s">
        <v>233</v>
      </c>
      <c r="I206">
        <f>D206</f>
        <v>1000</v>
      </c>
      <c r="J206" s="105">
        <f>J170</f>
        <v>3.114892688513148</v>
      </c>
      <c r="K206" s="66">
        <f>I206*J206</f>
        <v>3114.8926885131482</v>
      </c>
      <c r="L206" s="66"/>
      <c r="M206" s="66"/>
    </row>
    <row r="207" spans="1:14" ht="30" customHeight="1" x14ac:dyDescent="0.2">
      <c r="C207" s="24" t="s">
        <v>228</v>
      </c>
      <c r="D207">
        <f>D206</f>
        <v>1000</v>
      </c>
      <c r="E207" s="85">
        <v>3.91</v>
      </c>
      <c r="F207" s="66">
        <f>D207*E207</f>
        <v>3910</v>
      </c>
      <c r="H207" s="24" t="s">
        <v>228</v>
      </c>
      <c r="I207">
        <f>D207</f>
        <v>1000</v>
      </c>
      <c r="J207" s="105">
        <f>E207</f>
        <v>3.91</v>
      </c>
      <c r="K207" s="66">
        <f>I207*J207</f>
        <v>3910</v>
      </c>
      <c r="L207" s="66"/>
      <c r="M207" s="66"/>
    </row>
    <row r="208" spans="1:14" ht="24.75" customHeight="1" x14ac:dyDescent="0.2">
      <c r="C208" s="24" t="s">
        <v>211</v>
      </c>
      <c r="D208" s="129">
        <v>400000</v>
      </c>
      <c r="E208" s="85">
        <v>1.32E-2</v>
      </c>
      <c r="F208" s="66">
        <f>D208*E208</f>
        <v>5280</v>
      </c>
      <c r="H208" s="24" t="s">
        <v>211</v>
      </c>
      <c r="I208" s="207">
        <f>D208</f>
        <v>400000</v>
      </c>
      <c r="J208" s="105">
        <f>E208</f>
        <v>1.32E-2</v>
      </c>
      <c r="K208" s="66">
        <f>I208*J208</f>
        <v>5280</v>
      </c>
      <c r="L208" s="66"/>
      <c r="M208" s="66"/>
    </row>
    <row r="209" spans="1:14" ht="25.5" x14ac:dyDescent="0.2">
      <c r="C209" s="24" t="s">
        <v>229</v>
      </c>
      <c r="D209" s="129">
        <v>400000</v>
      </c>
      <c r="E209" s="85">
        <f>E173</f>
        <v>5.5E-2</v>
      </c>
      <c r="F209" s="66">
        <f>D209*E209</f>
        <v>22000</v>
      </c>
      <c r="H209" s="24" t="s">
        <v>229</v>
      </c>
      <c r="I209" s="129">
        <f>D209</f>
        <v>400000</v>
      </c>
      <c r="J209" s="105">
        <f>E209</f>
        <v>5.5E-2</v>
      </c>
      <c r="K209" s="66">
        <f>I209*J209</f>
        <v>22000</v>
      </c>
    </row>
    <row r="210" spans="1:14" x14ac:dyDescent="0.2">
      <c r="C210" s="6"/>
      <c r="H210" s="6"/>
      <c r="J210" s="105"/>
      <c r="K210" s="66"/>
    </row>
    <row r="211" spans="1:14" x14ac:dyDescent="0.2">
      <c r="C211" t="s">
        <v>208</v>
      </c>
      <c r="F211" s="106">
        <f>SUM(F205:F209)</f>
        <v>34484.78</v>
      </c>
      <c r="H211" t="s">
        <v>213</v>
      </c>
      <c r="K211" s="106">
        <f>SUM(K205:K209)</f>
        <v>34859.272688513149</v>
      </c>
      <c r="L211" s="66"/>
      <c r="M211" s="66">
        <f>K211-F211</f>
        <v>374.49268851314991</v>
      </c>
      <c r="N211" s="89">
        <f>K211/F211-1</f>
        <v>1.0859651374117707E-2</v>
      </c>
    </row>
    <row r="212" spans="1:14" x14ac:dyDescent="0.2">
      <c r="F212" s="76"/>
      <c r="K212" s="76"/>
      <c r="L212" s="66"/>
      <c r="M212" s="66"/>
      <c r="N212" s="95"/>
    </row>
    <row r="213" spans="1:14" x14ac:dyDescent="0.2">
      <c r="C213" s="6"/>
      <c r="E213" s="87"/>
      <c r="F213" s="66"/>
      <c r="H213" s="6"/>
      <c r="J213" s="105"/>
      <c r="K213" s="66"/>
      <c r="L213" s="66"/>
      <c r="M213" s="66"/>
    </row>
    <row r="214" spans="1:14" x14ac:dyDescent="0.2">
      <c r="F214" s="66"/>
      <c r="J214" s="105"/>
      <c r="K214" s="66"/>
      <c r="L214" s="66"/>
      <c r="M214" s="66"/>
    </row>
    <row r="215" spans="1:14" x14ac:dyDescent="0.2">
      <c r="A215" s="4" t="s">
        <v>93</v>
      </c>
      <c r="B215" s="4"/>
      <c r="D215" s="91" t="s">
        <v>235</v>
      </c>
      <c r="E215" s="91" t="s">
        <v>68</v>
      </c>
      <c r="F215" s="92" t="s">
        <v>69</v>
      </c>
      <c r="I215" s="91" t="s">
        <v>235</v>
      </c>
      <c r="J215" s="91" t="s">
        <v>68</v>
      </c>
      <c r="K215" s="94" t="s">
        <v>69</v>
      </c>
      <c r="L215" s="4"/>
      <c r="M215" s="4" t="s">
        <v>70</v>
      </c>
      <c r="N215" s="4" t="s">
        <v>70</v>
      </c>
    </row>
    <row r="216" spans="1:14" x14ac:dyDescent="0.2">
      <c r="A216" s="4" t="s">
        <v>101</v>
      </c>
      <c r="D216" s="93" t="s">
        <v>76</v>
      </c>
      <c r="E216" s="91" t="s">
        <v>236</v>
      </c>
      <c r="F216" s="92" t="s">
        <v>71</v>
      </c>
      <c r="I216" s="91"/>
      <c r="J216" s="91" t="s">
        <v>236</v>
      </c>
      <c r="K216" s="94" t="s">
        <v>71</v>
      </c>
      <c r="L216" s="4"/>
      <c r="M216" s="4" t="s">
        <v>72</v>
      </c>
      <c r="N216" s="91" t="s">
        <v>78</v>
      </c>
    </row>
    <row r="217" spans="1:14" ht="38.25" x14ac:dyDescent="0.2">
      <c r="A217" s="97"/>
      <c r="B217" s="36"/>
      <c r="C217" s="24" t="s">
        <v>13</v>
      </c>
      <c r="D217" s="32" t="s">
        <v>77</v>
      </c>
      <c r="E217" s="32" t="s">
        <v>77</v>
      </c>
      <c r="F217" s="103">
        <f>F169</f>
        <v>554.38</v>
      </c>
      <c r="H217" s="24" t="s">
        <v>13</v>
      </c>
      <c r="I217" s="32" t="s">
        <v>77</v>
      </c>
      <c r="J217" s="32" t="s">
        <v>77</v>
      </c>
      <c r="K217" s="66">
        <f>K169</f>
        <v>554.38</v>
      </c>
      <c r="L217" s="66"/>
      <c r="M217" s="66"/>
    </row>
    <row r="218" spans="1:14" ht="25.5" x14ac:dyDescent="0.2">
      <c r="C218" s="24" t="s">
        <v>233</v>
      </c>
      <c r="D218">
        <v>3000</v>
      </c>
      <c r="E218" s="85">
        <f>E170</f>
        <v>2.7404000000000002</v>
      </c>
      <c r="F218" s="66">
        <f>D218*E218</f>
        <v>8221.2000000000007</v>
      </c>
      <c r="H218" s="24" t="s">
        <v>233</v>
      </c>
      <c r="I218">
        <f>D218</f>
        <v>3000</v>
      </c>
      <c r="J218" s="105">
        <f>J170</f>
        <v>3.114892688513148</v>
      </c>
      <c r="K218" s="66">
        <f>I218*J218</f>
        <v>9344.678065539445</v>
      </c>
      <c r="L218" s="66"/>
      <c r="M218" s="66"/>
    </row>
    <row r="219" spans="1:14" ht="27" customHeight="1" x14ac:dyDescent="0.2">
      <c r="C219" s="24" t="s">
        <v>228</v>
      </c>
      <c r="D219">
        <f>D218</f>
        <v>3000</v>
      </c>
      <c r="E219" s="85">
        <v>3.91</v>
      </c>
      <c r="F219" s="66">
        <f>D219*E219</f>
        <v>11730</v>
      </c>
      <c r="H219" s="24" t="s">
        <v>228</v>
      </c>
      <c r="I219">
        <f>D219</f>
        <v>3000</v>
      </c>
      <c r="J219" s="105">
        <f>E219</f>
        <v>3.91</v>
      </c>
      <c r="K219" s="66">
        <f>I219*J219</f>
        <v>11730</v>
      </c>
      <c r="L219" s="66"/>
      <c r="M219" s="66"/>
    </row>
    <row r="220" spans="1:14" ht="27" customHeight="1" x14ac:dyDescent="0.2">
      <c r="C220" s="24" t="s">
        <v>211</v>
      </c>
      <c r="D220" s="12">
        <v>1000000</v>
      </c>
      <c r="E220" s="85">
        <v>1.32E-2</v>
      </c>
      <c r="F220" s="66">
        <f>D220*E220</f>
        <v>13200</v>
      </c>
      <c r="H220" s="24" t="s">
        <v>211</v>
      </c>
      <c r="I220" s="207">
        <f>D220</f>
        <v>1000000</v>
      </c>
      <c r="J220" s="105">
        <f>E220</f>
        <v>1.32E-2</v>
      </c>
      <c r="K220" s="66">
        <f>I220*J220</f>
        <v>13200</v>
      </c>
      <c r="L220" s="66"/>
      <c r="M220" s="66"/>
    </row>
    <row r="221" spans="1:14" ht="25.5" x14ac:dyDescent="0.2">
      <c r="C221" s="24" t="s">
        <v>229</v>
      </c>
      <c r="D221" s="12">
        <v>1000000</v>
      </c>
      <c r="E221" s="85">
        <f>E173</f>
        <v>5.5E-2</v>
      </c>
      <c r="F221" s="66">
        <f>D221*E221</f>
        <v>55000</v>
      </c>
      <c r="H221" s="24" t="s">
        <v>229</v>
      </c>
      <c r="I221" s="129">
        <f>D221</f>
        <v>1000000</v>
      </c>
      <c r="J221" s="105">
        <f>E221</f>
        <v>5.5E-2</v>
      </c>
      <c r="K221" s="66">
        <f>I221*J221</f>
        <v>55000</v>
      </c>
    </row>
    <row r="222" spans="1:14" x14ac:dyDescent="0.2">
      <c r="C222" s="6"/>
      <c r="H222" s="6"/>
      <c r="J222" s="105"/>
      <c r="K222" s="66"/>
    </row>
    <row r="223" spans="1:14" x14ac:dyDescent="0.2">
      <c r="C223" t="s">
        <v>208</v>
      </c>
      <c r="F223" s="106">
        <f>SUM(F217:F221)</f>
        <v>88705.58</v>
      </c>
      <c r="H223" t="s">
        <v>213</v>
      </c>
      <c r="K223" s="106">
        <f>SUM(K217:K221)</f>
        <v>89829.058065539444</v>
      </c>
      <c r="L223" s="66"/>
      <c r="M223" s="66">
        <f>K223-F223</f>
        <v>1123.4780655394425</v>
      </c>
      <c r="N223" s="89">
        <f>K223/F223-1</f>
        <v>1.266524682595449E-2</v>
      </c>
    </row>
    <row r="224" spans="1:14" x14ac:dyDescent="0.2">
      <c r="F224" s="76"/>
      <c r="K224" s="76"/>
      <c r="L224" s="66"/>
      <c r="M224" s="66"/>
      <c r="N224" s="95"/>
    </row>
    <row r="225" spans="1:14" x14ac:dyDescent="0.2">
      <c r="F225" s="66"/>
      <c r="J225" s="105"/>
      <c r="K225" s="66"/>
      <c r="L225" s="66"/>
      <c r="M225" s="66"/>
    </row>
    <row r="226" spans="1:14" x14ac:dyDescent="0.2">
      <c r="C226" s="6"/>
      <c r="E226" s="87"/>
      <c r="F226" s="66"/>
      <c r="J226" s="105"/>
      <c r="K226" s="66"/>
      <c r="L226" s="66"/>
      <c r="M226" s="66"/>
    </row>
    <row r="227" spans="1:14" x14ac:dyDescent="0.2">
      <c r="A227" s="4" t="s">
        <v>93</v>
      </c>
      <c r="B227" s="4"/>
      <c r="D227" s="91" t="s">
        <v>235</v>
      </c>
      <c r="E227" s="91" t="s">
        <v>68</v>
      </c>
      <c r="F227" s="92" t="s">
        <v>69</v>
      </c>
      <c r="I227" s="91" t="s">
        <v>235</v>
      </c>
      <c r="J227" s="91" t="s">
        <v>68</v>
      </c>
      <c r="K227" s="94" t="s">
        <v>69</v>
      </c>
      <c r="L227" s="4"/>
      <c r="M227" s="4" t="s">
        <v>70</v>
      </c>
      <c r="N227" s="4" t="s">
        <v>70</v>
      </c>
    </row>
    <row r="228" spans="1:14" x14ac:dyDescent="0.2">
      <c r="A228" s="4" t="s">
        <v>102</v>
      </c>
      <c r="D228" s="93" t="s">
        <v>76</v>
      </c>
      <c r="E228" s="91" t="s">
        <v>236</v>
      </c>
      <c r="F228" s="92" t="s">
        <v>71</v>
      </c>
      <c r="I228" s="91"/>
      <c r="J228" s="91" t="s">
        <v>236</v>
      </c>
      <c r="K228" s="94" t="s">
        <v>71</v>
      </c>
      <c r="L228" s="4"/>
      <c r="M228" s="4" t="s">
        <v>72</v>
      </c>
      <c r="N228" s="91" t="s">
        <v>78</v>
      </c>
    </row>
    <row r="229" spans="1:14" ht="38.25" x14ac:dyDescent="0.2">
      <c r="A229" s="97"/>
      <c r="B229" s="36"/>
      <c r="C229" s="24" t="s">
        <v>13</v>
      </c>
      <c r="D229" s="32" t="s">
        <v>77</v>
      </c>
      <c r="E229" s="32" t="s">
        <v>77</v>
      </c>
      <c r="F229" s="103">
        <f>F169</f>
        <v>554.38</v>
      </c>
      <c r="H229" s="24" t="s">
        <v>13</v>
      </c>
      <c r="I229" s="32" t="s">
        <v>77</v>
      </c>
      <c r="J229" s="32" t="s">
        <v>77</v>
      </c>
      <c r="K229" s="66">
        <f>K169</f>
        <v>554.38</v>
      </c>
      <c r="L229" s="66"/>
      <c r="M229" s="66"/>
    </row>
    <row r="230" spans="1:14" ht="25.5" x14ac:dyDescent="0.2">
      <c r="C230" s="24" t="s">
        <v>233</v>
      </c>
      <c r="D230">
        <v>4000</v>
      </c>
      <c r="E230" s="85">
        <f>E170</f>
        <v>2.7404000000000002</v>
      </c>
      <c r="F230" s="66">
        <f>D230*E230</f>
        <v>10961.6</v>
      </c>
      <c r="H230" s="24" t="s">
        <v>233</v>
      </c>
      <c r="I230">
        <f>D230</f>
        <v>4000</v>
      </c>
      <c r="J230" s="104">
        <f>J170</f>
        <v>3.114892688513148</v>
      </c>
      <c r="K230" s="66">
        <f>I230*J230</f>
        <v>12459.570754052593</v>
      </c>
      <c r="L230" s="66"/>
      <c r="M230" s="66"/>
    </row>
    <row r="231" spans="1:14" ht="33" customHeight="1" x14ac:dyDescent="0.2">
      <c r="C231" s="24" t="s">
        <v>228</v>
      </c>
      <c r="D231">
        <f>D230</f>
        <v>4000</v>
      </c>
      <c r="E231" s="85">
        <v>3.91</v>
      </c>
      <c r="F231" s="66">
        <f>D231*E231</f>
        <v>15640</v>
      </c>
      <c r="H231" s="24" t="s">
        <v>228</v>
      </c>
      <c r="I231">
        <f>D231</f>
        <v>4000</v>
      </c>
      <c r="J231" s="105">
        <f>E231</f>
        <v>3.91</v>
      </c>
      <c r="K231" s="66">
        <f>I231*J231</f>
        <v>15640</v>
      </c>
      <c r="L231" s="66"/>
      <c r="M231" s="66"/>
    </row>
    <row r="232" spans="1:14" ht="30.75" customHeight="1" x14ac:dyDescent="0.2">
      <c r="C232" s="24" t="s">
        <v>211</v>
      </c>
      <c r="D232" s="12">
        <v>1800000</v>
      </c>
      <c r="E232" s="85">
        <v>1.32E-2</v>
      </c>
      <c r="F232" s="66">
        <f>D232*E232</f>
        <v>23760</v>
      </c>
      <c r="H232" s="24" t="s">
        <v>211</v>
      </c>
      <c r="I232" s="207">
        <f>D232</f>
        <v>1800000</v>
      </c>
      <c r="J232" s="105">
        <f>E232</f>
        <v>1.32E-2</v>
      </c>
      <c r="K232" s="66">
        <f>I232*J232</f>
        <v>23760</v>
      </c>
      <c r="L232" s="66"/>
      <c r="M232" s="66"/>
    </row>
    <row r="233" spans="1:14" ht="25.5" x14ac:dyDescent="0.2">
      <c r="C233" s="24" t="s">
        <v>229</v>
      </c>
      <c r="D233" s="12">
        <v>1800000</v>
      </c>
      <c r="E233" s="85">
        <f>E173</f>
        <v>5.5E-2</v>
      </c>
      <c r="F233" s="66">
        <f>D233*E233</f>
        <v>99000</v>
      </c>
      <c r="H233" s="24" t="s">
        <v>229</v>
      </c>
      <c r="I233" s="129">
        <f>D233</f>
        <v>1800000</v>
      </c>
      <c r="J233" s="105">
        <f>E233</f>
        <v>5.5E-2</v>
      </c>
      <c r="K233" s="66">
        <f>I233*J233</f>
        <v>99000</v>
      </c>
    </row>
    <row r="234" spans="1:14" x14ac:dyDescent="0.2">
      <c r="C234" s="6"/>
      <c r="H234" s="6"/>
      <c r="J234" s="105"/>
      <c r="K234" s="66"/>
    </row>
    <row r="235" spans="1:14" x14ac:dyDescent="0.2">
      <c r="C235" t="s">
        <v>208</v>
      </c>
      <c r="F235" s="106">
        <f>SUM(F229:F233)</f>
        <v>149915.97999999998</v>
      </c>
      <c r="H235" t="s">
        <v>213</v>
      </c>
      <c r="K235" s="106">
        <f>SUM(K229:K233)</f>
        <v>151413.95075405261</v>
      </c>
      <c r="L235" s="66"/>
      <c r="M235" s="66">
        <f>K235-F235</f>
        <v>1497.9707540526288</v>
      </c>
      <c r="N235" s="89">
        <f>K235/F235-1</f>
        <v>9.9920685843672974E-3</v>
      </c>
    </row>
    <row r="236" spans="1:14" ht="13.5" thickBot="1" x14ac:dyDescent="0.25">
      <c r="A236" s="118"/>
      <c r="B236" s="118"/>
      <c r="C236" s="227"/>
      <c r="D236" s="118"/>
      <c r="E236" s="228"/>
      <c r="F236" s="127"/>
      <c r="G236" s="118"/>
      <c r="H236" s="227"/>
      <c r="I236" s="118"/>
      <c r="J236" s="128"/>
      <c r="K236" s="127"/>
      <c r="L236" s="127"/>
      <c r="M236" s="127"/>
      <c r="N236" s="118"/>
    </row>
    <row r="237" spans="1:14" x14ac:dyDescent="0.2">
      <c r="C237" s="6"/>
      <c r="E237" s="87"/>
      <c r="F237" s="66"/>
      <c r="J237" s="105"/>
      <c r="K237" s="66"/>
      <c r="L237" s="66"/>
      <c r="M237" s="66"/>
    </row>
    <row r="238" spans="1:14" ht="15.75" x14ac:dyDescent="0.25">
      <c r="A238" s="27" t="s">
        <v>75</v>
      </c>
      <c r="B238" s="27"/>
      <c r="F238" s="66"/>
      <c r="J238" s="105"/>
      <c r="K238" s="66"/>
      <c r="L238" s="66"/>
      <c r="M238" s="66"/>
      <c r="N238" s="86"/>
    </row>
    <row r="239" spans="1:14" ht="15.75" x14ac:dyDescent="0.25">
      <c r="A239" s="27"/>
      <c r="B239" s="27"/>
      <c r="F239" s="66"/>
      <c r="J239" s="105"/>
      <c r="K239" s="66"/>
      <c r="L239" s="66"/>
      <c r="M239" s="66"/>
      <c r="N239" s="86"/>
    </row>
    <row r="240" spans="1:14" ht="15.75" x14ac:dyDescent="0.25">
      <c r="A240" s="125" t="s">
        <v>237</v>
      </c>
      <c r="B240" s="27"/>
      <c r="F240" s="66"/>
      <c r="J240" s="105"/>
      <c r="K240" s="66"/>
      <c r="L240" s="66"/>
      <c r="M240" s="66"/>
      <c r="N240" s="86"/>
    </row>
    <row r="241" spans="1:15" ht="15.75" x14ac:dyDescent="0.25">
      <c r="A241" s="125" t="s">
        <v>231</v>
      </c>
      <c r="B241" s="27"/>
      <c r="F241" s="66"/>
      <c r="J241" s="105"/>
      <c r="K241" s="66"/>
      <c r="L241" s="66"/>
      <c r="M241" s="66"/>
      <c r="N241" s="86"/>
    </row>
    <row r="242" spans="1:15" ht="27" customHeight="1" x14ac:dyDescent="0.2">
      <c r="A242" s="275" t="s">
        <v>315</v>
      </c>
      <c r="B242" s="273"/>
      <c r="C242" s="27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</row>
    <row r="243" spans="1:15" ht="14.25" x14ac:dyDescent="0.2">
      <c r="A243" s="125" t="s">
        <v>232</v>
      </c>
      <c r="F243" s="66"/>
      <c r="J243" s="105"/>
      <c r="K243" s="66"/>
      <c r="L243" s="66"/>
      <c r="M243" s="66"/>
      <c r="N243" s="86"/>
    </row>
    <row r="244" spans="1:15" ht="14.25" x14ac:dyDescent="0.2">
      <c r="A244" s="125"/>
      <c r="F244" s="66"/>
      <c r="J244" s="105"/>
      <c r="K244" s="66"/>
      <c r="L244" s="66"/>
      <c r="M244" s="66"/>
      <c r="N244" s="86"/>
    </row>
    <row r="245" spans="1:15" ht="15" x14ac:dyDescent="0.25">
      <c r="C245" s="96" t="s">
        <v>208</v>
      </c>
      <c r="D245" s="47"/>
      <c r="E245" s="47"/>
      <c r="F245" s="47"/>
      <c r="H245" s="271" t="s">
        <v>225</v>
      </c>
      <c r="I245" s="47"/>
      <c r="J245" s="47"/>
      <c r="K245" s="90"/>
      <c r="L245" s="47"/>
      <c r="M245" s="47"/>
      <c r="N245" s="47"/>
      <c r="O245" s="36"/>
    </row>
    <row r="246" spans="1:15" x14ac:dyDescent="0.2">
      <c r="F246" s="66"/>
      <c r="J246" s="105"/>
      <c r="K246" s="66"/>
      <c r="L246" s="66"/>
      <c r="M246" s="66"/>
    </row>
    <row r="247" spans="1:15" ht="15" x14ac:dyDescent="0.25">
      <c r="A247" s="98" t="s">
        <v>73</v>
      </c>
      <c r="B247" s="4"/>
      <c r="F247" s="83"/>
      <c r="K247" s="83"/>
    </row>
    <row r="248" spans="1:15" x14ac:dyDescent="0.2">
      <c r="D248" s="91" t="s">
        <v>235</v>
      </c>
      <c r="E248" s="91" t="s">
        <v>68</v>
      </c>
      <c r="F248" s="92" t="s">
        <v>69</v>
      </c>
      <c r="I248" s="91" t="s">
        <v>235</v>
      </c>
      <c r="J248" s="91" t="s">
        <v>68</v>
      </c>
      <c r="K248" s="94" t="s">
        <v>69</v>
      </c>
      <c r="L248" s="4"/>
      <c r="M248" s="4" t="s">
        <v>70</v>
      </c>
      <c r="N248" s="4" t="s">
        <v>70</v>
      </c>
    </row>
    <row r="249" spans="1:15" x14ac:dyDescent="0.2">
      <c r="D249" s="93" t="s">
        <v>76</v>
      </c>
      <c r="E249" s="91" t="s">
        <v>236</v>
      </c>
      <c r="F249" s="92" t="s">
        <v>71</v>
      </c>
      <c r="I249" s="91"/>
      <c r="J249" s="91" t="s">
        <v>236</v>
      </c>
      <c r="K249" s="94" t="s">
        <v>71</v>
      </c>
      <c r="L249" s="4"/>
      <c r="M249" s="4" t="s">
        <v>72</v>
      </c>
      <c r="N249" s="91" t="s">
        <v>78</v>
      </c>
    </row>
    <row r="250" spans="1:15" ht="38.25" x14ac:dyDescent="0.2">
      <c r="A250" s="97"/>
      <c r="B250" s="36"/>
      <c r="C250" s="24" t="s">
        <v>13</v>
      </c>
      <c r="D250" s="32" t="s">
        <v>77</v>
      </c>
      <c r="E250" s="32" t="s">
        <v>77</v>
      </c>
      <c r="F250" s="267">
        <f>'9. Service Charge Adj.'!E25</f>
        <v>1113.07</v>
      </c>
      <c r="H250" s="24" t="s">
        <v>13</v>
      </c>
      <c r="I250" s="32" t="s">
        <v>77</v>
      </c>
      <c r="J250" s="32" t="s">
        <v>77</v>
      </c>
      <c r="K250" s="66">
        <f>'10. 2004 Rate Schedule '!F28</f>
        <v>1113.07</v>
      </c>
      <c r="L250" s="66"/>
      <c r="M250" s="66"/>
    </row>
    <row r="251" spans="1:15" ht="25.5" x14ac:dyDescent="0.2">
      <c r="C251" s="24" t="s">
        <v>104</v>
      </c>
      <c r="D251">
        <v>60</v>
      </c>
      <c r="E251" s="204">
        <v>0.14269999999999999</v>
      </c>
      <c r="F251" s="66">
        <f>D251*E251</f>
        <v>8.5619999999999994</v>
      </c>
      <c r="H251" s="24" t="s">
        <v>104</v>
      </c>
      <c r="I251">
        <v>60</v>
      </c>
      <c r="J251" s="105">
        <f>'10. 2004 Rate Schedule '!F29</f>
        <v>0.80798823398259967</v>
      </c>
      <c r="K251" s="66">
        <f>I251*J251</f>
        <v>48.479294038955977</v>
      </c>
      <c r="L251" s="66"/>
      <c r="M251" s="66"/>
    </row>
    <row r="252" spans="1:15" ht="25.5" x14ac:dyDescent="0.2">
      <c r="C252" s="24" t="s">
        <v>228</v>
      </c>
      <c r="D252">
        <f>D251</f>
        <v>60</v>
      </c>
      <c r="E252" s="85">
        <v>4.2138</v>
      </c>
      <c r="F252" s="66">
        <f>D252*E252</f>
        <v>252.828</v>
      </c>
      <c r="H252" s="24" t="s">
        <v>228</v>
      </c>
      <c r="I252">
        <f>D252</f>
        <v>60</v>
      </c>
      <c r="J252" s="105">
        <f>E252</f>
        <v>4.2138</v>
      </c>
      <c r="K252" s="66">
        <f>I252*J252</f>
        <v>252.828</v>
      </c>
      <c r="L252" s="66"/>
      <c r="M252" s="66"/>
    </row>
    <row r="253" spans="1:15" ht="25.5" x14ac:dyDescent="0.2">
      <c r="C253" s="24" t="s">
        <v>211</v>
      </c>
      <c r="D253" s="12">
        <v>15000</v>
      </c>
      <c r="E253" s="85">
        <v>1.32E-2</v>
      </c>
      <c r="F253" s="66">
        <f>D253*E253</f>
        <v>198</v>
      </c>
      <c r="H253" s="24" t="s">
        <v>211</v>
      </c>
      <c r="I253" s="12">
        <f>D253</f>
        <v>15000</v>
      </c>
      <c r="J253" s="105">
        <f>E253</f>
        <v>1.32E-2</v>
      </c>
      <c r="K253" s="66">
        <f>I253*J253</f>
        <v>198</v>
      </c>
      <c r="L253" s="66"/>
      <c r="M253" s="66"/>
    </row>
    <row r="254" spans="1:15" ht="25.5" x14ac:dyDescent="0.2">
      <c r="C254" s="24" t="s">
        <v>229</v>
      </c>
      <c r="D254" s="12">
        <f>D253</f>
        <v>15000</v>
      </c>
      <c r="E254" s="85">
        <v>5.5E-2</v>
      </c>
      <c r="F254" s="66">
        <f>D254*E254</f>
        <v>825</v>
      </c>
      <c r="H254" s="24" t="s">
        <v>229</v>
      </c>
      <c r="I254" s="12">
        <f>D253</f>
        <v>15000</v>
      </c>
      <c r="J254" s="105">
        <f>E254</f>
        <v>5.5E-2</v>
      </c>
      <c r="K254" s="66">
        <f>I254*J254</f>
        <v>825</v>
      </c>
    </row>
    <row r="255" spans="1:15" x14ac:dyDescent="0.2">
      <c r="C255" s="6"/>
      <c r="H255" s="6"/>
      <c r="J255" s="105"/>
      <c r="K255" s="66"/>
    </row>
    <row r="256" spans="1:15" x14ac:dyDescent="0.2">
      <c r="C256" t="s">
        <v>208</v>
      </c>
      <c r="F256" s="106">
        <f>SUM(F250:F254)</f>
        <v>2397.46</v>
      </c>
      <c r="H256" t="s">
        <v>213</v>
      </c>
      <c r="K256" s="106">
        <f>SUM(K250:K254)</f>
        <v>2437.3772940389558</v>
      </c>
      <c r="L256" s="66"/>
      <c r="M256" s="66">
        <f>K256-F256</f>
        <v>39.917294038955788</v>
      </c>
      <c r="N256" s="89">
        <f>K256/F256-1</f>
        <v>1.6649826916384836E-2</v>
      </c>
    </row>
    <row r="257" spans="1:14" x14ac:dyDescent="0.2">
      <c r="F257" s="76"/>
      <c r="K257" s="76"/>
      <c r="L257" s="66"/>
      <c r="M257" s="66"/>
      <c r="N257" s="95"/>
    </row>
    <row r="258" spans="1:14" ht="15.75" x14ac:dyDescent="0.25">
      <c r="A258" s="27"/>
      <c r="B258" s="27"/>
      <c r="F258" s="66"/>
      <c r="J258" s="105"/>
      <c r="K258" s="66"/>
      <c r="L258" s="66"/>
      <c r="M258" s="66"/>
    </row>
    <row r="259" spans="1:14" x14ac:dyDescent="0.2">
      <c r="C259" s="6"/>
      <c r="E259" s="87"/>
      <c r="F259" s="66"/>
      <c r="J259" s="105"/>
      <c r="K259" s="66"/>
      <c r="L259" s="66"/>
      <c r="M259" s="66"/>
      <c r="N259" s="86"/>
    </row>
    <row r="260" spans="1:14" x14ac:dyDescent="0.2">
      <c r="A260" s="4" t="s">
        <v>93</v>
      </c>
      <c r="B260" s="4"/>
      <c r="D260" s="91" t="s">
        <v>235</v>
      </c>
      <c r="E260" s="91" t="s">
        <v>68</v>
      </c>
      <c r="F260" s="92" t="s">
        <v>69</v>
      </c>
      <c r="I260" s="91" t="s">
        <v>235</v>
      </c>
      <c r="J260" s="91" t="s">
        <v>68</v>
      </c>
      <c r="K260" s="94" t="s">
        <v>69</v>
      </c>
      <c r="L260" s="4"/>
      <c r="M260" s="4" t="s">
        <v>70</v>
      </c>
      <c r="N260" s="4" t="s">
        <v>70</v>
      </c>
    </row>
    <row r="261" spans="1:14" x14ac:dyDescent="0.2">
      <c r="A261" s="4" t="s">
        <v>98</v>
      </c>
      <c r="D261" s="93" t="s">
        <v>76</v>
      </c>
      <c r="E261" s="91" t="s">
        <v>236</v>
      </c>
      <c r="F261" s="92" t="s">
        <v>71</v>
      </c>
      <c r="I261" s="91"/>
      <c r="J261" s="91" t="s">
        <v>236</v>
      </c>
      <c r="K261" s="94" t="s">
        <v>71</v>
      </c>
      <c r="L261" s="4"/>
      <c r="M261" s="4" t="s">
        <v>72</v>
      </c>
      <c r="N261" s="91" t="s">
        <v>78</v>
      </c>
    </row>
    <row r="262" spans="1:14" ht="38.25" x14ac:dyDescent="0.2">
      <c r="A262" s="97"/>
      <c r="B262" s="36"/>
      <c r="C262" s="24" t="s">
        <v>13</v>
      </c>
      <c r="D262" s="32" t="s">
        <v>77</v>
      </c>
      <c r="E262" s="32" t="s">
        <v>77</v>
      </c>
      <c r="F262" s="103">
        <f>F250</f>
        <v>1113.07</v>
      </c>
      <c r="H262" s="24" t="s">
        <v>13</v>
      </c>
      <c r="I262" s="32" t="s">
        <v>77</v>
      </c>
      <c r="J262" s="32" t="s">
        <v>77</v>
      </c>
      <c r="K262" s="66">
        <f>K250</f>
        <v>1113.07</v>
      </c>
      <c r="L262" s="66"/>
      <c r="M262" s="66"/>
    </row>
    <row r="263" spans="1:14" ht="25.5" x14ac:dyDescent="0.2">
      <c r="C263" s="24" t="s">
        <v>233</v>
      </c>
      <c r="D263">
        <v>100</v>
      </c>
      <c r="E263" s="85">
        <f>E251</f>
        <v>0.14269999999999999</v>
      </c>
      <c r="F263" s="66">
        <f>D263*E263</f>
        <v>14.27</v>
      </c>
      <c r="H263" s="24" t="s">
        <v>233</v>
      </c>
      <c r="I263">
        <f>D263</f>
        <v>100</v>
      </c>
      <c r="J263" s="105">
        <f>J251</f>
        <v>0.80798823398259967</v>
      </c>
      <c r="K263" s="66">
        <f>I263*J263</f>
        <v>80.79882339825997</v>
      </c>
      <c r="L263" s="66"/>
      <c r="M263" s="66"/>
    </row>
    <row r="264" spans="1:14" ht="25.5" x14ac:dyDescent="0.2">
      <c r="C264" s="24" t="s">
        <v>228</v>
      </c>
      <c r="D264">
        <f>D263</f>
        <v>100</v>
      </c>
      <c r="E264" s="85">
        <f>E252</f>
        <v>4.2138</v>
      </c>
      <c r="F264" s="66">
        <f>D264*E264</f>
        <v>421.38</v>
      </c>
      <c r="H264" s="24" t="s">
        <v>228</v>
      </c>
      <c r="I264">
        <f>D264</f>
        <v>100</v>
      </c>
      <c r="J264" s="105">
        <f>E264</f>
        <v>4.2138</v>
      </c>
      <c r="K264" s="66">
        <f>I264*J264</f>
        <v>421.38</v>
      </c>
      <c r="L264" s="66"/>
      <c r="M264" s="66"/>
    </row>
    <row r="265" spans="1:14" ht="25.5" x14ac:dyDescent="0.2">
      <c r="C265" s="24" t="s">
        <v>211</v>
      </c>
      <c r="D265" s="12">
        <v>40000</v>
      </c>
      <c r="E265" s="85">
        <v>1.32E-2</v>
      </c>
      <c r="F265" s="66">
        <f>D265*E265</f>
        <v>528</v>
      </c>
      <c r="H265" s="24" t="s">
        <v>211</v>
      </c>
      <c r="I265" s="12">
        <f>D265</f>
        <v>40000</v>
      </c>
      <c r="J265" s="105">
        <f>E265</f>
        <v>1.32E-2</v>
      </c>
      <c r="K265" s="66">
        <f>I265*J265</f>
        <v>528</v>
      </c>
      <c r="L265" s="66"/>
      <c r="M265" s="66"/>
    </row>
    <row r="266" spans="1:14" ht="25.5" x14ac:dyDescent="0.2">
      <c r="C266" s="24" t="s">
        <v>229</v>
      </c>
      <c r="D266" s="129">
        <v>40000</v>
      </c>
      <c r="E266" s="85">
        <f>E254</f>
        <v>5.5E-2</v>
      </c>
      <c r="F266" s="66">
        <f>D266*E266</f>
        <v>2200</v>
      </c>
      <c r="H266" s="24" t="s">
        <v>229</v>
      </c>
      <c r="I266" s="206">
        <f>D266</f>
        <v>40000</v>
      </c>
      <c r="J266" s="105">
        <f>E266</f>
        <v>5.5E-2</v>
      </c>
      <c r="K266" s="66">
        <f>I266*J266</f>
        <v>2200</v>
      </c>
    </row>
    <row r="267" spans="1:14" x14ac:dyDescent="0.2">
      <c r="C267" s="6"/>
      <c r="H267" s="6"/>
      <c r="J267" s="105"/>
      <c r="K267" s="66"/>
    </row>
    <row r="268" spans="1:14" x14ac:dyDescent="0.2">
      <c r="C268" t="s">
        <v>208</v>
      </c>
      <c r="F268" s="106">
        <f>SUM(F262:F266)</f>
        <v>4276.7199999999993</v>
      </c>
      <c r="H268" t="s">
        <v>213</v>
      </c>
      <c r="K268" s="106">
        <f>SUM(K262:K266)</f>
        <v>4343.2488233982604</v>
      </c>
      <c r="L268" s="66"/>
      <c r="M268" s="66">
        <f>K268-F268</f>
        <v>66.528823398261011</v>
      </c>
      <c r="N268" s="89">
        <f>K268/F268-1</f>
        <v>1.555603906691605E-2</v>
      </c>
    </row>
    <row r="269" spans="1:14" x14ac:dyDescent="0.2">
      <c r="K269" s="83"/>
    </row>
    <row r="270" spans="1:14" x14ac:dyDescent="0.2">
      <c r="F270" s="66"/>
      <c r="J270" s="105"/>
      <c r="K270" s="66"/>
      <c r="L270" s="66"/>
      <c r="M270" s="66"/>
      <c r="N270" s="86"/>
    </row>
    <row r="271" spans="1:14" x14ac:dyDescent="0.2">
      <c r="F271" s="66"/>
      <c r="J271" s="105"/>
      <c r="K271" s="66"/>
      <c r="L271" s="66"/>
      <c r="M271" s="66"/>
    </row>
    <row r="272" spans="1:14" x14ac:dyDescent="0.2">
      <c r="A272" s="4" t="s">
        <v>93</v>
      </c>
      <c r="B272" s="4"/>
      <c r="D272" s="91" t="s">
        <v>235</v>
      </c>
      <c r="E272" s="91" t="s">
        <v>68</v>
      </c>
      <c r="F272" s="92" t="s">
        <v>69</v>
      </c>
      <c r="I272" s="91" t="s">
        <v>235</v>
      </c>
      <c r="J272" s="91" t="s">
        <v>68</v>
      </c>
      <c r="K272" s="94" t="s">
        <v>69</v>
      </c>
      <c r="L272" s="4"/>
      <c r="M272" s="4" t="s">
        <v>70</v>
      </c>
      <c r="N272" s="4" t="s">
        <v>70</v>
      </c>
    </row>
    <row r="273" spans="1:14" x14ac:dyDescent="0.2">
      <c r="A273" s="4" t="s">
        <v>99</v>
      </c>
      <c r="D273" s="93" t="s">
        <v>76</v>
      </c>
      <c r="E273" s="91" t="s">
        <v>236</v>
      </c>
      <c r="F273" s="92" t="s">
        <v>71</v>
      </c>
      <c r="I273" s="91"/>
      <c r="J273" s="91" t="s">
        <v>236</v>
      </c>
      <c r="K273" s="94" t="s">
        <v>71</v>
      </c>
      <c r="L273" s="4"/>
      <c r="M273" s="4" t="s">
        <v>72</v>
      </c>
      <c r="N273" s="91" t="s">
        <v>78</v>
      </c>
    </row>
    <row r="274" spans="1:14" ht="38.25" x14ac:dyDescent="0.2">
      <c r="A274" s="97"/>
      <c r="B274" s="36"/>
      <c r="C274" s="24" t="s">
        <v>13</v>
      </c>
      <c r="D274" s="32" t="s">
        <v>77</v>
      </c>
      <c r="E274" s="32" t="s">
        <v>77</v>
      </c>
      <c r="F274" s="103">
        <f>F250</f>
        <v>1113.07</v>
      </c>
      <c r="H274" s="24" t="s">
        <v>13</v>
      </c>
      <c r="I274" s="32" t="s">
        <v>77</v>
      </c>
      <c r="J274" s="32" t="s">
        <v>77</v>
      </c>
      <c r="K274" s="66">
        <f>K250</f>
        <v>1113.07</v>
      </c>
      <c r="L274" s="66"/>
      <c r="M274" s="66"/>
    </row>
    <row r="275" spans="1:14" ht="25.5" x14ac:dyDescent="0.2">
      <c r="C275" s="24" t="s">
        <v>233</v>
      </c>
      <c r="D275">
        <v>500</v>
      </c>
      <c r="E275" s="85">
        <f>E251</f>
        <v>0.14269999999999999</v>
      </c>
      <c r="F275" s="66">
        <f>D275*E275</f>
        <v>71.349999999999994</v>
      </c>
      <c r="H275" s="24" t="s">
        <v>233</v>
      </c>
      <c r="I275">
        <f>D275</f>
        <v>500</v>
      </c>
      <c r="J275" s="105">
        <f>J251</f>
        <v>0.80798823398259967</v>
      </c>
      <c r="K275" s="66">
        <f>I275*J275</f>
        <v>403.99411699129985</v>
      </c>
      <c r="L275" s="66"/>
      <c r="M275" s="66"/>
    </row>
    <row r="276" spans="1:14" ht="25.5" x14ac:dyDescent="0.2">
      <c r="C276" s="24" t="s">
        <v>228</v>
      </c>
      <c r="D276">
        <f>D275</f>
        <v>500</v>
      </c>
      <c r="E276" s="85">
        <f>E252</f>
        <v>4.2138</v>
      </c>
      <c r="F276" s="66">
        <f>D276*E276</f>
        <v>2106.9</v>
      </c>
      <c r="H276" s="24" t="s">
        <v>228</v>
      </c>
      <c r="I276">
        <f>D276</f>
        <v>500</v>
      </c>
      <c r="J276" s="105">
        <f>E276</f>
        <v>4.2138</v>
      </c>
      <c r="K276" s="66">
        <f>I276*J276</f>
        <v>2106.9</v>
      </c>
      <c r="L276" s="66"/>
      <c r="M276" s="66"/>
    </row>
    <row r="277" spans="1:14" ht="25.5" x14ac:dyDescent="0.2">
      <c r="C277" s="24" t="s">
        <v>211</v>
      </c>
      <c r="D277" s="12">
        <v>100000</v>
      </c>
      <c r="E277" s="85">
        <v>1.32E-2</v>
      </c>
      <c r="F277" s="66">
        <f>D277*E277</f>
        <v>1320</v>
      </c>
      <c r="H277" s="24" t="s">
        <v>211</v>
      </c>
      <c r="I277" s="12">
        <f>D277</f>
        <v>100000</v>
      </c>
      <c r="J277" s="105">
        <f>E277</f>
        <v>1.32E-2</v>
      </c>
      <c r="K277" s="66">
        <f>I277*J277</f>
        <v>1320</v>
      </c>
      <c r="L277" s="66"/>
      <c r="M277" s="66"/>
    </row>
    <row r="278" spans="1:14" ht="25.5" x14ac:dyDescent="0.2">
      <c r="C278" s="24" t="s">
        <v>229</v>
      </c>
      <c r="D278" s="129">
        <v>100000</v>
      </c>
      <c r="E278" s="85">
        <f>E254</f>
        <v>5.5E-2</v>
      </c>
      <c r="F278" s="66">
        <f>D278*E278</f>
        <v>5500</v>
      </c>
      <c r="H278" s="24" t="s">
        <v>229</v>
      </c>
      <c r="I278" s="129">
        <f>D278</f>
        <v>100000</v>
      </c>
      <c r="J278" s="105">
        <f>J266</f>
        <v>5.5E-2</v>
      </c>
      <c r="K278" s="66">
        <f>I278*J278</f>
        <v>5500</v>
      </c>
    </row>
    <row r="279" spans="1:14" x14ac:dyDescent="0.2">
      <c r="C279" s="6"/>
      <c r="H279" s="6"/>
      <c r="J279" s="105"/>
      <c r="K279" s="66"/>
    </row>
    <row r="280" spans="1:14" x14ac:dyDescent="0.2">
      <c r="C280" t="s">
        <v>208</v>
      </c>
      <c r="F280" s="106">
        <f>SUM(F274:F278)</f>
        <v>10111.32</v>
      </c>
      <c r="H280" t="s">
        <v>213</v>
      </c>
      <c r="K280" s="106">
        <f>SUM(K274:K278)</f>
        <v>10443.964116991299</v>
      </c>
      <c r="L280" s="66"/>
      <c r="M280" s="66">
        <f>K280-F280</f>
        <v>332.6441169912996</v>
      </c>
      <c r="N280" s="89">
        <f>K280/F280-1</f>
        <v>3.289818905853048E-2</v>
      </c>
    </row>
    <row r="281" spans="1:14" x14ac:dyDescent="0.2">
      <c r="F281" s="76"/>
      <c r="K281" s="76"/>
      <c r="L281" s="66"/>
      <c r="M281" s="66"/>
      <c r="N281" s="95"/>
    </row>
    <row r="282" spans="1:14" x14ac:dyDescent="0.2">
      <c r="A282" s="36"/>
      <c r="B282" s="36"/>
      <c r="C282" s="36"/>
      <c r="D282" s="36"/>
      <c r="E282" s="36"/>
      <c r="F282" s="76"/>
      <c r="G282" s="36"/>
      <c r="H282" s="36"/>
      <c r="I282" s="36"/>
      <c r="J282" s="36"/>
      <c r="K282" s="76"/>
      <c r="L282" s="76"/>
      <c r="M282" s="76"/>
      <c r="N282" s="95"/>
    </row>
    <row r="283" spans="1:14" x14ac:dyDescent="0.2">
      <c r="K283" s="83"/>
    </row>
    <row r="284" spans="1:14" x14ac:dyDescent="0.2">
      <c r="A284" s="4" t="s">
        <v>93</v>
      </c>
      <c r="B284" s="4"/>
      <c r="D284" s="91" t="s">
        <v>235</v>
      </c>
      <c r="E284" s="91" t="s">
        <v>68</v>
      </c>
      <c r="F284" s="92" t="s">
        <v>69</v>
      </c>
      <c r="I284" s="91" t="s">
        <v>235</v>
      </c>
      <c r="J284" s="91" t="s">
        <v>68</v>
      </c>
      <c r="K284" s="94" t="s">
        <v>69</v>
      </c>
      <c r="L284" s="4"/>
      <c r="M284" s="4" t="s">
        <v>70</v>
      </c>
      <c r="N284" s="4" t="s">
        <v>70</v>
      </c>
    </row>
    <row r="285" spans="1:14" x14ac:dyDescent="0.2">
      <c r="A285" s="4" t="s">
        <v>100</v>
      </c>
      <c r="D285" s="93" t="s">
        <v>76</v>
      </c>
      <c r="E285" s="91" t="s">
        <v>236</v>
      </c>
      <c r="F285" s="92" t="s">
        <v>71</v>
      </c>
      <c r="I285" s="91"/>
      <c r="J285" s="91" t="s">
        <v>236</v>
      </c>
      <c r="K285" s="94" t="s">
        <v>71</v>
      </c>
      <c r="L285" s="4"/>
      <c r="M285" s="4" t="s">
        <v>72</v>
      </c>
      <c r="N285" s="91" t="s">
        <v>78</v>
      </c>
    </row>
    <row r="286" spans="1:14" ht="38.25" x14ac:dyDescent="0.2">
      <c r="A286" s="97"/>
      <c r="B286" s="36"/>
      <c r="C286" s="24" t="s">
        <v>13</v>
      </c>
      <c r="D286" s="32" t="s">
        <v>77</v>
      </c>
      <c r="E286" s="32" t="s">
        <v>77</v>
      </c>
      <c r="F286" s="103">
        <f>F250</f>
        <v>1113.07</v>
      </c>
      <c r="H286" s="24" t="s">
        <v>13</v>
      </c>
      <c r="I286" s="32" t="s">
        <v>77</v>
      </c>
      <c r="J286" s="32" t="s">
        <v>77</v>
      </c>
      <c r="K286" s="66">
        <f>K250</f>
        <v>1113.07</v>
      </c>
      <c r="L286" s="66"/>
      <c r="M286" s="66"/>
    </row>
    <row r="287" spans="1:14" ht="25.5" x14ac:dyDescent="0.2">
      <c r="C287" s="24" t="s">
        <v>233</v>
      </c>
      <c r="D287">
        <v>1000</v>
      </c>
      <c r="E287" s="85">
        <f>E251</f>
        <v>0.14269999999999999</v>
      </c>
      <c r="F287" s="66">
        <f>D287*E287</f>
        <v>142.69999999999999</v>
      </c>
      <c r="H287" s="24" t="s">
        <v>233</v>
      </c>
      <c r="I287">
        <f>D287</f>
        <v>1000</v>
      </c>
      <c r="J287" s="105">
        <f>J251</f>
        <v>0.80798823398259967</v>
      </c>
      <c r="K287" s="66">
        <f>I287*J287</f>
        <v>807.9882339825997</v>
      </c>
      <c r="L287" s="66"/>
      <c r="M287" s="66"/>
    </row>
    <row r="288" spans="1:14" ht="25.5" x14ac:dyDescent="0.2">
      <c r="C288" s="24" t="s">
        <v>228</v>
      </c>
      <c r="D288">
        <f>D287</f>
        <v>1000</v>
      </c>
      <c r="E288" s="85">
        <f>E252</f>
        <v>4.2138</v>
      </c>
      <c r="F288" s="66">
        <f>D288*E288</f>
        <v>4213.8</v>
      </c>
      <c r="H288" s="24" t="s">
        <v>228</v>
      </c>
      <c r="I288">
        <f>D288</f>
        <v>1000</v>
      </c>
      <c r="J288" s="105">
        <f>E288</f>
        <v>4.2138</v>
      </c>
      <c r="K288" s="66">
        <f>I288*J288</f>
        <v>4213.8</v>
      </c>
      <c r="L288" s="66"/>
      <c r="M288" s="66"/>
    </row>
    <row r="289" spans="1:14" ht="25.5" x14ac:dyDescent="0.2">
      <c r="C289" s="24" t="s">
        <v>211</v>
      </c>
      <c r="D289" s="129">
        <v>400000</v>
      </c>
      <c r="E289" s="85">
        <v>1.32E-2</v>
      </c>
      <c r="F289" s="66">
        <f>D289*E289</f>
        <v>5280</v>
      </c>
      <c r="H289" s="24" t="s">
        <v>211</v>
      </c>
      <c r="I289" s="207">
        <f>D289</f>
        <v>400000</v>
      </c>
      <c r="J289" s="105">
        <f>E289</f>
        <v>1.32E-2</v>
      </c>
      <c r="K289" s="66">
        <f>I289*J289</f>
        <v>5280</v>
      </c>
      <c r="L289" s="66"/>
      <c r="M289" s="66"/>
    </row>
    <row r="290" spans="1:14" ht="25.5" x14ac:dyDescent="0.2">
      <c r="C290" s="24" t="s">
        <v>229</v>
      </c>
      <c r="D290" s="129">
        <v>400000</v>
      </c>
      <c r="E290" s="85">
        <f>E254</f>
        <v>5.5E-2</v>
      </c>
      <c r="F290" s="66">
        <f>D290*E290</f>
        <v>22000</v>
      </c>
      <c r="H290" s="24" t="s">
        <v>229</v>
      </c>
      <c r="I290" s="129">
        <f>D290</f>
        <v>400000</v>
      </c>
      <c r="J290" s="105">
        <f>E290</f>
        <v>5.5E-2</v>
      </c>
      <c r="K290" s="66">
        <f>I290*J290</f>
        <v>22000</v>
      </c>
    </row>
    <row r="291" spans="1:14" x14ac:dyDescent="0.2">
      <c r="C291" s="6"/>
      <c r="H291" s="6"/>
      <c r="J291" s="105"/>
      <c r="K291" s="66"/>
    </row>
    <row r="292" spans="1:14" x14ac:dyDescent="0.2">
      <c r="C292" t="s">
        <v>208</v>
      </c>
      <c r="F292" s="106">
        <f>SUM(F286:F290)</f>
        <v>32749.57</v>
      </c>
      <c r="H292" t="s">
        <v>213</v>
      </c>
      <c r="K292" s="106">
        <f>SUM(K286:K290)</f>
        <v>33414.858233982595</v>
      </c>
      <c r="L292" s="66"/>
      <c r="M292" s="66">
        <f>K292-F292</f>
        <v>665.28823398259556</v>
      </c>
      <c r="N292" s="89">
        <f>K292/F292-1</f>
        <v>2.0314411272654764E-2</v>
      </c>
    </row>
    <row r="293" spans="1:14" x14ac:dyDescent="0.2">
      <c r="F293" s="76"/>
      <c r="K293" s="76"/>
      <c r="L293" s="66"/>
      <c r="M293" s="66"/>
      <c r="N293" s="95"/>
    </row>
    <row r="294" spans="1:14" x14ac:dyDescent="0.2">
      <c r="C294" s="6"/>
      <c r="E294" s="87"/>
      <c r="F294" s="66"/>
      <c r="H294" s="6"/>
      <c r="J294" s="105"/>
      <c r="K294" s="66"/>
      <c r="L294" s="66"/>
      <c r="M294" s="66"/>
    </row>
    <row r="295" spans="1:14" x14ac:dyDescent="0.2">
      <c r="F295" s="66"/>
      <c r="J295" s="105"/>
      <c r="K295" s="66"/>
      <c r="L295" s="66"/>
      <c r="M295" s="66"/>
    </row>
    <row r="296" spans="1:14" x14ac:dyDescent="0.2">
      <c r="A296" s="4" t="s">
        <v>93</v>
      </c>
      <c r="B296" s="4"/>
      <c r="D296" s="91" t="s">
        <v>235</v>
      </c>
      <c r="E296" s="91" t="s">
        <v>68</v>
      </c>
      <c r="F296" s="92" t="s">
        <v>69</v>
      </c>
      <c r="I296" s="91" t="s">
        <v>235</v>
      </c>
      <c r="J296" s="91" t="s">
        <v>68</v>
      </c>
      <c r="K296" s="94" t="s">
        <v>69</v>
      </c>
      <c r="L296" s="4"/>
      <c r="M296" s="4" t="s">
        <v>70</v>
      </c>
      <c r="N296" s="4" t="s">
        <v>70</v>
      </c>
    </row>
    <row r="297" spans="1:14" x14ac:dyDescent="0.2">
      <c r="A297" s="4" t="s">
        <v>101</v>
      </c>
      <c r="D297" s="93" t="s">
        <v>76</v>
      </c>
      <c r="E297" s="91" t="s">
        <v>236</v>
      </c>
      <c r="F297" s="92" t="s">
        <v>71</v>
      </c>
      <c r="I297" s="91"/>
      <c r="J297" s="91" t="s">
        <v>236</v>
      </c>
      <c r="K297" s="94" t="s">
        <v>71</v>
      </c>
      <c r="L297" s="4"/>
      <c r="M297" s="4" t="s">
        <v>72</v>
      </c>
      <c r="N297" s="91" t="s">
        <v>78</v>
      </c>
    </row>
    <row r="298" spans="1:14" ht="38.25" x14ac:dyDescent="0.2">
      <c r="A298" s="97"/>
      <c r="B298" s="36"/>
      <c r="C298" s="24" t="s">
        <v>13</v>
      </c>
      <c r="D298" s="32" t="s">
        <v>77</v>
      </c>
      <c r="E298" s="32" t="s">
        <v>77</v>
      </c>
      <c r="F298" s="103">
        <f>F250</f>
        <v>1113.07</v>
      </c>
      <c r="H298" s="24" t="s">
        <v>13</v>
      </c>
      <c r="I298" s="32" t="s">
        <v>77</v>
      </c>
      <c r="J298" s="32" t="s">
        <v>77</v>
      </c>
      <c r="K298" s="66">
        <f>K250</f>
        <v>1113.07</v>
      </c>
      <c r="L298" s="66"/>
      <c r="M298" s="66"/>
    </row>
    <row r="299" spans="1:14" ht="25.5" x14ac:dyDescent="0.2">
      <c r="C299" s="24" t="s">
        <v>233</v>
      </c>
      <c r="D299">
        <v>3000</v>
      </c>
      <c r="E299" s="85">
        <f>E251</f>
        <v>0.14269999999999999</v>
      </c>
      <c r="F299" s="66">
        <f>D299*E299</f>
        <v>428.09999999999997</v>
      </c>
      <c r="H299" s="24" t="s">
        <v>233</v>
      </c>
      <c r="I299">
        <f>D299</f>
        <v>3000</v>
      </c>
      <c r="J299" s="105">
        <f>J251</f>
        <v>0.80798823398259967</v>
      </c>
      <c r="K299" s="66">
        <f>I299*J299</f>
        <v>2423.9647019477989</v>
      </c>
      <c r="L299" s="66"/>
      <c r="M299" s="66"/>
    </row>
    <row r="300" spans="1:14" ht="25.5" x14ac:dyDescent="0.2">
      <c r="C300" s="24" t="s">
        <v>228</v>
      </c>
      <c r="D300">
        <f>D299</f>
        <v>3000</v>
      </c>
      <c r="E300" s="85">
        <f>E252</f>
        <v>4.2138</v>
      </c>
      <c r="F300" s="66">
        <f>D300*E300</f>
        <v>12641.4</v>
      </c>
      <c r="H300" s="24" t="s">
        <v>228</v>
      </c>
      <c r="I300">
        <f>D300</f>
        <v>3000</v>
      </c>
      <c r="J300" s="105">
        <f>E300</f>
        <v>4.2138</v>
      </c>
      <c r="K300" s="66">
        <f>I300*J300</f>
        <v>12641.4</v>
      </c>
      <c r="L300" s="66"/>
      <c r="M300" s="66"/>
    </row>
    <row r="301" spans="1:14" ht="25.5" x14ac:dyDescent="0.2">
      <c r="C301" s="24" t="s">
        <v>211</v>
      </c>
      <c r="D301" s="12">
        <v>1000000</v>
      </c>
      <c r="E301" s="85">
        <v>1.32E-2</v>
      </c>
      <c r="F301" s="66">
        <f>D301*E301</f>
        <v>13200</v>
      </c>
      <c r="H301" s="24" t="s">
        <v>211</v>
      </c>
      <c r="I301" s="207">
        <f>D301</f>
        <v>1000000</v>
      </c>
      <c r="J301" s="105">
        <f>E301</f>
        <v>1.32E-2</v>
      </c>
      <c r="K301" s="66">
        <f>I301*J301</f>
        <v>13200</v>
      </c>
      <c r="L301" s="66"/>
      <c r="M301" s="66"/>
    </row>
    <row r="302" spans="1:14" ht="25.5" x14ac:dyDescent="0.2">
      <c r="C302" s="24" t="s">
        <v>229</v>
      </c>
      <c r="D302" s="12">
        <v>1000000</v>
      </c>
      <c r="E302" s="85">
        <f>E254</f>
        <v>5.5E-2</v>
      </c>
      <c r="F302" s="66">
        <f>D302*E302</f>
        <v>55000</v>
      </c>
      <c r="H302" s="24" t="s">
        <v>229</v>
      </c>
      <c r="I302" s="129">
        <f>D302</f>
        <v>1000000</v>
      </c>
      <c r="J302" s="105">
        <f>E302</f>
        <v>5.5E-2</v>
      </c>
      <c r="K302" s="66">
        <f>I302*J302</f>
        <v>55000</v>
      </c>
    </row>
    <row r="303" spans="1:14" x14ac:dyDescent="0.2">
      <c r="C303" s="6"/>
      <c r="H303" s="6"/>
      <c r="J303" s="105"/>
      <c r="K303" s="66"/>
    </row>
    <row r="304" spans="1:14" x14ac:dyDescent="0.2">
      <c r="C304" t="s">
        <v>208</v>
      </c>
      <c r="F304" s="106">
        <f>SUM(F298:F302)</f>
        <v>82382.570000000007</v>
      </c>
      <c r="H304" t="s">
        <v>213</v>
      </c>
      <c r="K304" s="106">
        <f>SUM(K298:K302)</f>
        <v>84378.434701947801</v>
      </c>
      <c r="L304" s="66"/>
      <c r="M304" s="66">
        <f>K304-F304</f>
        <v>1995.8647019477939</v>
      </c>
      <c r="N304" s="89">
        <f>K304/F304-1</f>
        <v>2.4226783674602403E-2</v>
      </c>
    </row>
    <row r="305" spans="1:14" x14ac:dyDescent="0.2">
      <c r="F305" s="76"/>
      <c r="K305" s="76"/>
      <c r="L305" s="66"/>
      <c r="M305" s="66"/>
      <c r="N305" s="95"/>
    </row>
    <row r="306" spans="1:14" x14ac:dyDescent="0.2">
      <c r="F306" s="66"/>
      <c r="J306" s="105"/>
      <c r="K306" s="66"/>
      <c r="L306" s="66"/>
      <c r="M306" s="66"/>
    </row>
    <row r="307" spans="1:14" x14ac:dyDescent="0.2">
      <c r="C307" s="6"/>
      <c r="E307" s="87"/>
      <c r="F307" s="66"/>
      <c r="J307" s="105"/>
      <c r="K307" s="66"/>
      <c r="L307" s="66"/>
      <c r="M307" s="66"/>
    </row>
    <row r="308" spans="1:14" x14ac:dyDescent="0.2">
      <c r="A308" s="4" t="s">
        <v>93</v>
      </c>
      <c r="B308" s="4"/>
      <c r="D308" s="91" t="s">
        <v>235</v>
      </c>
      <c r="E308" s="91" t="s">
        <v>68</v>
      </c>
      <c r="F308" s="92" t="s">
        <v>69</v>
      </c>
      <c r="I308" s="91" t="s">
        <v>235</v>
      </c>
      <c r="J308" s="91" t="s">
        <v>68</v>
      </c>
      <c r="K308" s="94" t="s">
        <v>69</v>
      </c>
      <c r="L308" s="4"/>
      <c r="M308" s="4" t="s">
        <v>70</v>
      </c>
      <c r="N308" s="4" t="s">
        <v>70</v>
      </c>
    </row>
    <row r="309" spans="1:14" x14ac:dyDescent="0.2">
      <c r="A309" s="4" t="s">
        <v>102</v>
      </c>
      <c r="D309" s="93" t="s">
        <v>76</v>
      </c>
      <c r="E309" s="91" t="s">
        <v>236</v>
      </c>
      <c r="F309" s="92" t="s">
        <v>71</v>
      </c>
      <c r="I309" s="91"/>
      <c r="J309" s="91" t="s">
        <v>236</v>
      </c>
      <c r="K309" s="94" t="s">
        <v>71</v>
      </c>
      <c r="L309" s="4"/>
      <c r="M309" s="4" t="s">
        <v>72</v>
      </c>
      <c r="N309" s="91" t="s">
        <v>78</v>
      </c>
    </row>
    <row r="310" spans="1:14" ht="38.25" x14ac:dyDescent="0.2">
      <c r="A310" s="97"/>
      <c r="B310" s="36"/>
      <c r="C310" s="24" t="s">
        <v>13</v>
      </c>
      <c r="D310" s="32" t="s">
        <v>77</v>
      </c>
      <c r="E310" s="32" t="s">
        <v>77</v>
      </c>
      <c r="F310" s="103">
        <f>F250</f>
        <v>1113.07</v>
      </c>
      <c r="H310" s="24" t="s">
        <v>13</v>
      </c>
      <c r="I310" s="32" t="s">
        <v>77</v>
      </c>
      <c r="J310" s="32" t="s">
        <v>77</v>
      </c>
      <c r="K310" s="66">
        <f>K250</f>
        <v>1113.07</v>
      </c>
      <c r="L310" s="66"/>
      <c r="M310" s="66"/>
    </row>
    <row r="311" spans="1:14" ht="25.5" x14ac:dyDescent="0.2">
      <c r="C311" s="24" t="s">
        <v>233</v>
      </c>
      <c r="D311">
        <v>4000</v>
      </c>
      <c r="E311" s="85">
        <f>E251</f>
        <v>0.14269999999999999</v>
      </c>
      <c r="F311" s="66">
        <f>D311*E311</f>
        <v>570.79999999999995</v>
      </c>
      <c r="H311" s="24" t="s">
        <v>233</v>
      </c>
      <c r="I311">
        <f>D311</f>
        <v>4000</v>
      </c>
      <c r="J311" s="104">
        <f>J251</f>
        <v>0.80798823398259967</v>
      </c>
      <c r="K311" s="66">
        <f>I311*J311</f>
        <v>3231.9529359303988</v>
      </c>
      <c r="L311" s="66"/>
      <c r="M311" s="66"/>
    </row>
    <row r="312" spans="1:14" ht="25.5" x14ac:dyDescent="0.2">
      <c r="C312" s="24" t="s">
        <v>228</v>
      </c>
      <c r="D312">
        <f>D311</f>
        <v>4000</v>
      </c>
      <c r="E312" s="85">
        <f>E252</f>
        <v>4.2138</v>
      </c>
      <c r="F312" s="66">
        <f>D312*E312</f>
        <v>16855.2</v>
      </c>
      <c r="H312" s="24" t="s">
        <v>228</v>
      </c>
      <c r="I312">
        <f>D312</f>
        <v>4000</v>
      </c>
      <c r="J312" s="105">
        <f>E312</f>
        <v>4.2138</v>
      </c>
      <c r="K312" s="66">
        <f>I312*J312</f>
        <v>16855.2</v>
      </c>
      <c r="L312" s="66"/>
      <c r="M312" s="66"/>
    </row>
    <row r="313" spans="1:14" ht="25.5" x14ac:dyDescent="0.2">
      <c r="C313" s="24" t="s">
        <v>211</v>
      </c>
      <c r="D313" s="12">
        <v>1800000</v>
      </c>
      <c r="E313" s="85">
        <v>1.32E-2</v>
      </c>
      <c r="F313" s="66">
        <f>D313*E313</f>
        <v>23760</v>
      </c>
      <c r="H313" s="24" t="s">
        <v>211</v>
      </c>
      <c r="I313" s="207">
        <f>D313</f>
        <v>1800000</v>
      </c>
      <c r="J313" s="105">
        <f>E313</f>
        <v>1.32E-2</v>
      </c>
      <c r="K313" s="66">
        <f>I313*J313</f>
        <v>23760</v>
      </c>
      <c r="L313" s="66"/>
      <c r="M313" s="66"/>
    </row>
    <row r="314" spans="1:14" ht="25.5" x14ac:dyDescent="0.2">
      <c r="C314" s="24" t="s">
        <v>229</v>
      </c>
      <c r="D314" s="12">
        <v>1800000</v>
      </c>
      <c r="E314" s="85">
        <f>E254</f>
        <v>5.5E-2</v>
      </c>
      <c r="F314" s="66">
        <f>D314*E314</f>
        <v>99000</v>
      </c>
      <c r="H314" s="24" t="s">
        <v>229</v>
      </c>
      <c r="I314" s="129">
        <f>D314</f>
        <v>1800000</v>
      </c>
      <c r="J314" s="105">
        <f>E314</f>
        <v>5.5E-2</v>
      </c>
      <c r="K314" s="66">
        <f>I314*J314</f>
        <v>99000</v>
      </c>
    </row>
    <row r="315" spans="1:14" x14ac:dyDescent="0.2">
      <c r="C315" s="6"/>
      <c r="H315" s="6"/>
      <c r="J315" s="105"/>
      <c r="K315" s="66"/>
    </row>
    <row r="316" spans="1:14" x14ac:dyDescent="0.2">
      <c r="C316" t="s">
        <v>208</v>
      </c>
      <c r="F316" s="106">
        <f>SUM(F310:F314)</f>
        <v>141299.07</v>
      </c>
      <c r="H316" t="s">
        <v>213</v>
      </c>
      <c r="K316" s="106">
        <f>SUM(K310:K314)</f>
        <v>143960.22293593042</v>
      </c>
      <c r="L316" s="66"/>
      <c r="M316" s="66">
        <f>K316-F316</f>
        <v>2661.1529359304113</v>
      </c>
      <c r="N316" s="89">
        <f>K316/F316-1</f>
        <v>1.8833478068400744E-2</v>
      </c>
    </row>
    <row r="317" spans="1:14" x14ac:dyDescent="0.2">
      <c r="A317" s="36"/>
      <c r="B317" s="36"/>
      <c r="C317" s="222"/>
      <c r="D317" s="36"/>
      <c r="E317" s="224"/>
      <c r="F317" s="76"/>
      <c r="G317" s="36"/>
      <c r="H317" s="222"/>
      <c r="I317" s="36"/>
      <c r="J317" s="210"/>
      <c r="K317" s="76"/>
      <c r="L317" s="76"/>
      <c r="M317" s="76"/>
      <c r="N317" s="36"/>
    </row>
    <row r="318" spans="1:14" ht="13.5" thickBot="1" x14ac:dyDescent="0.25">
      <c r="A318" s="118"/>
      <c r="B318" s="118"/>
      <c r="C318" s="118"/>
      <c r="D318" s="230"/>
      <c r="E318" s="231"/>
      <c r="F318" s="127"/>
      <c r="G318" s="118"/>
      <c r="H318" s="118"/>
      <c r="I318" s="232"/>
      <c r="J318" s="228"/>
      <c r="K318" s="127"/>
      <c r="L318" s="127"/>
      <c r="M318" s="127"/>
      <c r="N318" s="233"/>
    </row>
    <row r="319" spans="1:14" x14ac:dyDescent="0.2">
      <c r="A319" s="36"/>
      <c r="B319" s="36"/>
      <c r="C319" s="222"/>
      <c r="D319" s="225"/>
      <c r="E319" s="220"/>
      <c r="F319" s="76"/>
      <c r="G319" s="36"/>
      <c r="H319" s="222"/>
      <c r="I319" s="225"/>
      <c r="J319" s="224"/>
      <c r="K319" s="76"/>
      <c r="L319" s="76"/>
      <c r="M319" s="76"/>
      <c r="N319" s="95"/>
    </row>
    <row r="320" spans="1:14" x14ac:dyDescent="0.2">
      <c r="A320" s="36"/>
      <c r="B320" s="36"/>
      <c r="C320" s="222"/>
      <c r="D320" s="225"/>
      <c r="E320" s="220"/>
      <c r="F320" s="76"/>
      <c r="G320" s="36"/>
      <c r="H320" s="222"/>
      <c r="I320" s="225"/>
      <c r="J320" s="224"/>
      <c r="K320" s="76"/>
      <c r="L320" s="76"/>
      <c r="M320" s="76"/>
      <c r="N320" s="95"/>
    </row>
    <row r="321" spans="1:15" ht="15.75" x14ac:dyDescent="0.25">
      <c r="A321" s="27" t="s">
        <v>238</v>
      </c>
      <c r="B321" s="27"/>
      <c r="F321" s="66"/>
      <c r="J321" s="105"/>
      <c r="K321" s="66"/>
      <c r="L321" s="66"/>
      <c r="M321" s="66"/>
      <c r="N321" s="86"/>
    </row>
    <row r="322" spans="1:15" ht="15.75" x14ac:dyDescent="0.25">
      <c r="A322" s="27"/>
      <c r="B322" s="27"/>
      <c r="F322" s="66"/>
      <c r="J322" s="105"/>
      <c r="K322" s="66"/>
      <c r="L322" s="66"/>
      <c r="M322" s="66"/>
      <c r="N322" s="86"/>
    </row>
    <row r="323" spans="1:15" ht="15.75" x14ac:dyDescent="0.25">
      <c r="A323" s="125" t="s">
        <v>237</v>
      </c>
      <c r="B323" s="27"/>
      <c r="F323" s="66"/>
      <c r="J323" s="105"/>
      <c r="K323" s="66"/>
      <c r="L323" s="66"/>
      <c r="M323" s="66"/>
      <c r="N323" s="86"/>
    </row>
    <row r="324" spans="1:15" ht="15.75" x14ac:dyDescent="0.25">
      <c r="A324" s="125" t="s">
        <v>231</v>
      </c>
      <c r="B324" s="27"/>
      <c r="F324" s="66"/>
      <c r="J324" s="105"/>
      <c r="K324" s="66"/>
      <c r="L324" s="66"/>
      <c r="M324" s="66"/>
      <c r="N324" s="86"/>
    </row>
    <row r="325" spans="1:15" ht="27" customHeight="1" x14ac:dyDescent="0.2">
      <c r="A325" s="275" t="s">
        <v>315</v>
      </c>
      <c r="B325" s="273"/>
      <c r="C325" s="27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</row>
    <row r="326" spans="1:15" ht="14.25" x14ac:dyDescent="0.2">
      <c r="A326" s="125" t="s">
        <v>232</v>
      </c>
      <c r="F326" s="66"/>
      <c r="J326" s="105"/>
      <c r="K326" s="66"/>
      <c r="L326" s="66"/>
      <c r="M326" s="66"/>
      <c r="N326" s="86"/>
    </row>
    <row r="327" spans="1:15" ht="14.25" x14ac:dyDescent="0.2">
      <c r="A327" s="125"/>
      <c r="F327" s="66"/>
      <c r="J327" s="105"/>
      <c r="K327" s="66"/>
      <c r="L327" s="66"/>
      <c r="M327" s="66"/>
      <c r="N327" s="86"/>
    </row>
    <row r="328" spans="1:15" ht="15" x14ac:dyDescent="0.25">
      <c r="C328" s="96" t="s">
        <v>208</v>
      </c>
      <c r="D328" s="47"/>
      <c r="E328" s="47"/>
      <c r="F328" s="47"/>
      <c r="H328" s="271" t="s">
        <v>225</v>
      </c>
      <c r="I328" s="47"/>
      <c r="J328" s="47"/>
      <c r="K328" s="90"/>
      <c r="L328" s="47"/>
      <c r="M328" s="47"/>
      <c r="N328" s="47"/>
      <c r="O328" s="36"/>
    </row>
    <row r="329" spans="1:15" x14ac:dyDescent="0.2">
      <c r="F329" s="66"/>
      <c r="J329" s="105"/>
      <c r="K329" s="66"/>
      <c r="L329" s="66"/>
      <c r="M329" s="66"/>
    </row>
    <row r="330" spans="1:15" ht="15" x14ac:dyDescent="0.25">
      <c r="A330" s="98" t="s">
        <v>73</v>
      </c>
      <c r="B330" s="4"/>
      <c r="F330" s="83"/>
      <c r="K330" s="83"/>
    </row>
    <row r="331" spans="1:15" x14ac:dyDescent="0.2">
      <c r="D331" s="91" t="s">
        <v>235</v>
      </c>
      <c r="E331" s="91" t="s">
        <v>68</v>
      </c>
      <c r="F331" s="92" t="s">
        <v>69</v>
      </c>
      <c r="I331" s="91" t="s">
        <v>235</v>
      </c>
      <c r="J331" s="91" t="s">
        <v>68</v>
      </c>
      <c r="K331" s="94" t="s">
        <v>69</v>
      </c>
      <c r="L331" s="4"/>
      <c r="M331" s="4" t="s">
        <v>70</v>
      </c>
      <c r="N331" s="4" t="s">
        <v>70</v>
      </c>
    </row>
    <row r="332" spans="1:15" x14ac:dyDescent="0.2">
      <c r="A332" s="4" t="s">
        <v>93</v>
      </c>
      <c r="D332" s="93" t="s">
        <v>76</v>
      </c>
      <c r="E332" s="91" t="s">
        <v>236</v>
      </c>
      <c r="F332" s="92" t="s">
        <v>71</v>
      </c>
      <c r="I332" s="91"/>
      <c r="J332" s="91" t="s">
        <v>236</v>
      </c>
      <c r="K332" s="94" t="s">
        <v>71</v>
      </c>
      <c r="L332" s="4"/>
      <c r="M332" s="4" t="s">
        <v>72</v>
      </c>
      <c r="N332" s="91" t="s">
        <v>78</v>
      </c>
    </row>
    <row r="333" spans="1:15" ht="38.25" x14ac:dyDescent="0.2">
      <c r="A333" s="4" t="s">
        <v>239</v>
      </c>
      <c r="B333" s="36"/>
      <c r="C333" s="24" t="s">
        <v>13</v>
      </c>
      <c r="D333" s="32" t="s">
        <v>77</v>
      </c>
      <c r="E333" s="32" t="s">
        <v>77</v>
      </c>
      <c r="F333" s="267">
        <f>'9. Service Charge Adj.'!E26</f>
        <v>0</v>
      </c>
      <c r="H333" s="24" t="s">
        <v>13</v>
      </c>
      <c r="I333" s="32" t="s">
        <v>77</v>
      </c>
      <c r="J333" s="32" t="s">
        <v>77</v>
      </c>
      <c r="K333" s="66" t="e">
        <f>'10. 2004 Rate Schedule '!#REF!</f>
        <v>#REF!</v>
      </c>
      <c r="L333" s="66"/>
      <c r="M333" s="66"/>
    </row>
    <row r="334" spans="1:15" ht="25.5" x14ac:dyDescent="0.2">
      <c r="C334" s="24" t="s">
        <v>104</v>
      </c>
      <c r="D334">
        <v>3000</v>
      </c>
      <c r="E334" s="204">
        <v>0</v>
      </c>
      <c r="F334" s="66">
        <f>D334*E334</f>
        <v>0</v>
      </c>
      <c r="H334" s="24" t="s">
        <v>104</v>
      </c>
      <c r="I334">
        <f>D334</f>
        <v>3000</v>
      </c>
      <c r="J334" s="105" t="e">
        <f>'10. 2004 Rate Schedule '!#REF!</f>
        <v>#REF!</v>
      </c>
      <c r="K334" s="66" t="e">
        <f>I334*J334</f>
        <v>#REF!</v>
      </c>
      <c r="L334" s="66"/>
      <c r="M334" s="66"/>
    </row>
    <row r="335" spans="1:15" ht="25.5" x14ac:dyDescent="0.2">
      <c r="C335" s="24" t="s">
        <v>228</v>
      </c>
      <c r="D335">
        <f>D334</f>
        <v>3000</v>
      </c>
      <c r="E335" s="85">
        <v>4.2138</v>
      </c>
      <c r="F335" s="66">
        <f>D335*E335</f>
        <v>12641.4</v>
      </c>
      <c r="H335" s="24" t="s">
        <v>228</v>
      </c>
      <c r="I335">
        <f>D335</f>
        <v>3000</v>
      </c>
      <c r="J335" s="105">
        <f>E335</f>
        <v>4.2138</v>
      </c>
      <c r="K335" s="66">
        <f>I335*J335</f>
        <v>12641.4</v>
      </c>
      <c r="L335" s="66"/>
      <c r="M335" s="66"/>
    </row>
    <row r="336" spans="1:15" ht="25.5" x14ac:dyDescent="0.2">
      <c r="C336" s="24" t="s">
        <v>211</v>
      </c>
      <c r="D336" s="12">
        <v>800000</v>
      </c>
      <c r="E336" s="85">
        <v>1.32E-2</v>
      </c>
      <c r="F336" s="66">
        <f>D336*E336</f>
        <v>10560</v>
      </c>
      <c r="H336" s="24" t="s">
        <v>211</v>
      </c>
      <c r="I336" s="12">
        <f>D336</f>
        <v>800000</v>
      </c>
      <c r="J336" s="105">
        <f>E336</f>
        <v>1.32E-2</v>
      </c>
      <c r="K336" s="66">
        <f>I336*J336</f>
        <v>10560</v>
      </c>
      <c r="L336" s="66"/>
      <c r="M336" s="66"/>
    </row>
    <row r="337" spans="1:14" ht="25.5" x14ac:dyDescent="0.2">
      <c r="C337" s="24" t="s">
        <v>229</v>
      </c>
      <c r="D337" s="12">
        <f>D336</f>
        <v>800000</v>
      </c>
      <c r="E337" s="85">
        <v>5.5E-2</v>
      </c>
      <c r="F337" s="66">
        <f>D337*E337</f>
        <v>44000</v>
      </c>
      <c r="H337" s="24" t="s">
        <v>229</v>
      </c>
      <c r="I337" s="12">
        <f>D336</f>
        <v>800000</v>
      </c>
      <c r="J337" s="105">
        <f>E337</f>
        <v>5.5E-2</v>
      </c>
      <c r="K337" s="66">
        <f>I337*J337</f>
        <v>44000</v>
      </c>
    </row>
    <row r="338" spans="1:14" x14ac:dyDescent="0.2">
      <c r="C338" s="6"/>
      <c r="H338" s="6"/>
      <c r="J338" s="105"/>
      <c r="K338" s="66"/>
    </row>
    <row r="339" spans="1:14" x14ac:dyDescent="0.2">
      <c r="C339" t="s">
        <v>208</v>
      </c>
      <c r="F339" s="106">
        <f>SUM(F333:F337)</f>
        <v>67201.399999999994</v>
      </c>
      <c r="H339" t="s">
        <v>213</v>
      </c>
      <c r="K339" s="106" t="e">
        <f>SUM(K333:K337)</f>
        <v>#REF!</v>
      </c>
      <c r="L339" s="66"/>
      <c r="M339" s="66" t="e">
        <f>K339-F339</f>
        <v>#REF!</v>
      </c>
      <c r="N339" s="89" t="e">
        <f>K339/F339-1</f>
        <v>#REF!</v>
      </c>
    </row>
    <row r="340" spans="1:14" x14ac:dyDescent="0.2">
      <c r="F340" s="76"/>
      <c r="K340" s="76"/>
      <c r="L340" s="66"/>
      <c r="M340" s="66"/>
      <c r="N340" s="95"/>
    </row>
    <row r="341" spans="1:14" ht="15.75" x14ac:dyDescent="0.25">
      <c r="A341" s="27"/>
      <c r="B341" s="27"/>
      <c r="F341" s="66"/>
      <c r="J341" s="105"/>
      <c r="K341" s="66"/>
      <c r="L341" s="66"/>
      <c r="M341" s="66"/>
    </row>
    <row r="342" spans="1:14" x14ac:dyDescent="0.2">
      <c r="C342" s="6"/>
      <c r="E342" s="87"/>
      <c r="F342" s="66"/>
      <c r="J342" s="105"/>
      <c r="K342" s="66"/>
      <c r="L342" s="66"/>
      <c r="M342" s="66"/>
      <c r="N342" s="86"/>
    </row>
    <row r="343" spans="1:14" x14ac:dyDescent="0.2">
      <c r="A343" s="4" t="s">
        <v>93</v>
      </c>
      <c r="B343" s="4"/>
      <c r="D343" s="91" t="s">
        <v>235</v>
      </c>
      <c r="E343" s="91" t="s">
        <v>68</v>
      </c>
      <c r="F343" s="92" t="s">
        <v>69</v>
      </c>
      <c r="I343" s="91" t="s">
        <v>235</v>
      </c>
      <c r="J343" s="91" t="s">
        <v>68</v>
      </c>
      <c r="K343" s="94" t="s">
        <v>69</v>
      </c>
      <c r="L343" s="4"/>
      <c r="M343" s="4" t="s">
        <v>70</v>
      </c>
      <c r="N343" s="4" t="s">
        <v>70</v>
      </c>
    </row>
    <row r="344" spans="1:14" x14ac:dyDescent="0.2">
      <c r="A344" s="4" t="s">
        <v>240</v>
      </c>
      <c r="D344" s="93" t="s">
        <v>76</v>
      </c>
      <c r="E344" s="91" t="s">
        <v>236</v>
      </c>
      <c r="F344" s="92" t="s">
        <v>71</v>
      </c>
      <c r="I344" s="91"/>
      <c r="J344" s="91" t="s">
        <v>236</v>
      </c>
      <c r="K344" s="94" t="s">
        <v>71</v>
      </c>
      <c r="L344" s="4"/>
      <c r="M344" s="4" t="s">
        <v>72</v>
      </c>
      <c r="N344" s="91" t="s">
        <v>78</v>
      </c>
    </row>
    <row r="345" spans="1:14" ht="38.25" x14ac:dyDescent="0.2">
      <c r="A345" s="97"/>
      <c r="B345" s="36"/>
      <c r="C345" s="24" t="s">
        <v>13</v>
      </c>
      <c r="D345" s="32" t="s">
        <v>77</v>
      </c>
      <c r="E345" s="32" t="s">
        <v>77</v>
      </c>
      <c r="F345" s="103">
        <f>F333</f>
        <v>0</v>
      </c>
      <c r="H345" s="24" t="s">
        <v>13</v>
      </c>
      <c r="I345" s="32" t="s">
        <v>77</v>
      </c>
      <c r="J345" s="32" t="s">
        <v>77</v>
      </c>
      <c r="K345" s="66" t="e">
        <f>K333</f>
        <v>#REF!</v>
      </c>
      <c r="L345" s="66"/>
      <c r="M345" s="66"/>
    </row>
    <row r="346" spans="1:14" ht="25.5" x14ac:dyDescent="0.2">
      <c r="C346" s="24" t="s">
        <v>233</v>
      </c>
      <c r="D346">
        <v>3000</v>
      </c>
      <c r="E346" s="85">
        <f>E334</f>
        <v>0</v>
      </c>
      <c r="F346" s="66">
        <f>D346*E346</f>
        <v>0</v>
      </c>
      <c r="H346" s="24" t="s">
        <v>233</v>
      </c>
      <c r="I346">
        <f>D346</f>
        <v>3000</v>
      </c>
      <c r="J346" s="105" t="e">
        <f>J334</f>
        <v>#REF!</v>
      </c>
      <c r="K346" s="66" t="e">
        <f>I346*J346</f>
        <v>#REF!</v>
      </c>
      <c r="L346" s="66"/>
      <c r="M346" s="66"/>
    </row>
    <row r="347" spans="1:14" ht="25.5" x14ac:dyDescent="0.2">
      <c r="C347" s="24" t="s">
        <v>228</v>
      </c>
      <c r="D347">
        <f>D346</f>
        <v>3000</v>
      </c>
      <c r="E347" s="85">
        <f>E335</f>
        <v>4.2138</v>
      </c>
      <c r="F347" s="66">
        <f>D347*E347</f>
        <v>12641.4</v>
      </c>
      <c r="H347" s="24" t="s">
        <v>228</v>
      </c>
      <c r="I347">
        <f>D347</f>
        <v>3000</v>
      </c>
      <c r="J347" s="105">
        <f>E347</f>
        <v>4.2138</v>
      </c>
      <c r="K347" s="66">
        <f>I347*J347</f>
        <v>12641.4</v>
      </c>
      <c r="L347" s="66"/>
      <c r="M347" s="66"/>
    </row>
    <row r="348" spans="1:14" ht="25.5" x14ac:dyDescent="0.2">
      <c r="C348" s="24" t="s">
        <v>211</v>
      </c>
      <c r="D348" s="12">
        <v>1000000</v>
      </c>
      <c r="E348" s="85">
        <v>1.32E-2</v>
      </c>
      <c r="F348" s="66">
        <f>D348*E348</f>
        <v>13200</v>
      </c>
      <c r="H348" s="24" t="s">
        <v>211</v>
      </c>
      <c r="I348" s="12">
        <f>D348</f>
        <v>1000000</v>
      </c>
      <c r="J348" s="105">
        <f>E348</f>
        <v>1.32E-2</v>
      </c>
      <c r="K348" s="66">
        <f>I348*J348</f>
        <v>13200</v>
      </c>
      <c r="L348" s="66"/>
      <c r="M348" s="66"/>
    </row>
    <row r="349" spans="1:14" ht="25.5" x14ac:dyDescent="0.2">
      <c r="C349" s="24" t="s">
        <v>229</v>
      </c>
      <c r="D349" s="12">
        <v>1000000</v>
      </c>
      <c r="E349" s="85">
        <f>E337</f>
        <v>5.5E-2</v>
      </c>
      <c r="F349" s="66">
        <f>D349*E349</f>
        <v>55000</v>
      </c>
      <c r="H349" s="24" t="s">
        <v>229</v>
      </c>
      <c r="I349" s="206">
        <f>D349</f>
        <v>1000000</v>
      </c>
      <c r="J349" s="105">
        <f>E349</f>
        <v>5.5E-2</v>
      </c>
      <c r="K349" s="66">
        <f>I349*J349</f>
        <v>55000</v>
      </c>
    </row>
    <row r="350" spans="1:14" x14ac:dyDescent="0.2">
      <c r="C350" s="6"/>
      <c r="H350" s="6"/>
      <c r="J350" s="105"/>
      <c r="K350" s="66"/>
    </row>
    <row r="351" spans="1:14" x14ac:dyDescent="0.2">
      <c r="C351" t="s">
        <v>208</v>
      </c>
      <c r="F351" s="106">
        <f>SUM(F345:F349)</f>
        <v>80841.399999999994</v>
      </c>
      <c r="H351" t="s">
        <v>213</v>
      </c>
      <c r="K351" s="106" t="e">
        <f>SUM(K345:K349)</f>
        <v>#REF!</v>
      </c>
      <c r="L351" s="66"/>
      <c r="M351" s="66" t="e">
        <f>K351-F351</f>
        <v>#REF!</v>
      </c>
      <c r="N351" s="89" t="e">
        <f>K351/F351-1</f>
        <v>#REF!</v>
      </c>
    </row>
    <row r="352" spans="1:14" x14ac:dyDescent="0.2">
      <c r="K352" s="83"/>
    </row>
    <row r="353" spans="1:14" x14ac:dyDescent="0.2">
      <c r="F353" s="66"/>
      <c r="J353" s="105"/>
      <c r="K353" s="66"/>
      <c r="L353" s="66"/>
      <c r="M353" s="66"/>
      <c r="N353" s="86"/>
    </row>
    <row r="354" spans="1:14" x14ac:dyDescent="0.2">
      <c r="F354" s="66"/>
      <c r="J354" s="105"/>
      <c r="K354" s="66"/>
      <c r="L354" s="66"/>
      <c r="M354" s="66"/>
    </row>
    <row r="355" spans="1:14" x14ac:dyDescent="0.2">
      <c r="A355" s="4" t="s">
        <v>93</v>
      </c>
      <c r="B355" s="4"/>
      <c r="D355" s="91" t="s">
        <v>235</v>
      </c>
      <c r="E355" s="91" t="s">
        <v>68</v>
      </c>
      <c r="F355" s="92" t="s">
        <v>69</v>
      </c>
      <c r="I355" s="91" t="s">
        <v>235</v>
      </c>
      <c r="J355" s="91" t="s">
        <v>68</v>
      </c>
      <c r="K355" s="94" t="s">
        <v>69</v>
      </c>
      <c r="L355" s="4"/>
      <c r="M355" s="4" t="s">
        <v>70</v>
      </c>
      <c r="N355" s="4" t="s">
        <v>70</v>
      </c>
    </row>
    <row r="356" spans="1:14" x14ac:dyDescent="0.2">
      <c r="A356" s="4" t="s">
        <v>110</v>
      </c>
      <c r="D356" s="93" t="s">
        <v>76</v>
      </c>
      <c r="E356" s="91" t="s">
        <v>236</v>
      </c>
      <c r="F356" s="92" t="s">
        <v>71</v>
      </c>
      <c r="I356" s="91"/>
      <c r="J356" s="91" t="s">
        <v>236</v>
      </c>
      <c r="K356" s="94" t="s">
        <v>71</v>
      </c>
      <c r="L356" s="4"/>
      <c r="M356" s="4" t="s">
        <v>72</v>
      </c>
      <c r="N356" s="91" t="s">
        <v>78</v>
      </c>
    </row>
    <row r="357" spans="1:14" ht="38.25" x14ac:dyDescent="0.2">
      <c r="A357" s="97"/>
      <c r="B357" s="36"/>
      <c r="C357" s="24" t="s">
        <v>13</v>
      </c>
      <c r="D357" s="32" t="s">
        <v>77</v>
      </c>
      <c r="E357" s="32" t="s">
        <v>77</v>
      </c>
      <c r="F357" s="103">
        <f>F333</f>
        <v>0</v>
      </c>
      <c r="H357" s="24" t="s">
        <v>13</v>
      </c>
      <c r="I357" s="32" t="s">
        <v>77</v>
      </c>
      <c r="J357" s="32" t="s">
        <v>77</v>
      </c>
      <c r="K357" s="66" t="e">
        <f>K333</f>
        <v>#REF!</v>
      </c>
      <c r="L357" s="66"/>
      <c r="M357" s="66"/>
    </row>
    <row r="358" spans="1:14" ht="25.5" x14ac:dyDescent="0.2">
      <c r="C358" s="24" t="s">
        <v>233</v>
      </c>
      <c r="D358">
        <v>4000</v>
      </c>
      <c r="E358" s="85">
        <f>E334</f>
        <v>0</v>
      </c>
      <c r="F358" s="66">
        <f>D358*E358</f>
        <v>0</v>
      </c>
      <c r="H358" s="24" t="s">
        <v>233</v>
      </c>
      <c r="I358">
        <f>D358</f>
        <v>4000</v>
      </c>
      <c r="J358" s="105" t="e">
        <f>J334</f>
        <v>#REF!</v>
      </c>
      <c r="K358" s="66" t="e">
        <f>I358*J358</f>
        <v>#REF!</v>
      </c>
      <c r="L358" s="66"/>
      <c r="M358" s="66"/>
    </row>
    <row r="359" spans="1:14" ht="25.5" x14ac:dyDescent="0.2">
      <c r="C359" s="24" t="s">
        <v>228</v>
      </c>
      <c r="D359">
        <f>D358</f>
        <v>4000</v>
      </c>
      <c r="E359" s="85">
        <f>E335</f>
        <v>4.2138</v>
      </c>
      <c r="F359" s="66">
        <f>D359*E359</f>
        <v>16855.2</v>
      </c>
      <c r="H359" s="24" t="s">
        <v>228</v>
      </c>
      <c r="I359">
        <f>D359</f>
        <v>4000</v>
      </c>
      <c r="J359" s="105">
        <f>E359</f>
        <v>4.2138</v>
      </c>
      <c r="K359" s="66">
        <f>I359*J359</f>
        <v>16855.2</v>
      </c>
      <c r="L359" s="66"/>
      <c r="M359" s="66"/>
    </row>
    <row r="360" spans="1:14" ht="25.5" x14ac:dyDescent="0.2">
      <c r="C360" s="24" t="s">
        <v>211</v>
      </c>
      <c r="D360" s="12">
        <v>1200000</v>
      </c>
      <c r="E360" s="85">
        <v>1.32E-2</v>
      </c>
      <c r="F360" s="66">
        <f>D360*E360</f>
        <v>15840</v>
      </c>
      <c r="H360" s="24" t="s">
        <v>211</v>
      </c>
      <c r="I360" s="12">
        <f>D360</f>
        <v>1200000</v>
      </c>
      <c r="J360" s="105">
        <f>E360</f>
        <v>1.32E-2</v>
      </c>
      <c r="K360" s="66">
        <f>I360*J360</f>
        <v>15840</v>
      </c>
      <c r="L360" s="66"/>
      <c r="M360" s="66"/>
    </row>
    <row r="361" spans="1:14" ht="25.5" x14ac:dyDescent="0.2">
      <c r="C361" s="24" t="s">
        <v>229</v>
      </c>
      <c r="D361" s="12">
        <v>1200000</v>
      </c>
      <c r="E361" s="85">
        <f>E337</f>
        <v>5.5E-2</v>
      </c>
      <c r="F361" s="66">
        <f>D361*E361</f>
        <v>66000</v>
      </c>
      <c r="H361" s="24" t="s">
        <v>229</v>
      </c>
      <c r="I361" s="129">
        <f>D361</f>
        <v>1200000</v>
      </c>
      <c r="J361" s="105">
        <f>J349</f>
        <v>5.5E-2</v>
      </c>
      <c r="K361" s="66">
        <f>I361*J361</f>
        <v>66000</v>
      </c>
    </row>
    <row r="362" spans="1:14" x14ac:dyDescent="0.2">
      <c r="C362" s="6"/>
      <c r="H362" s="6"/>
      <c r="J362" s="105"/>
      <c r="K362" s="66"/>
    </row>
    <row r="363" spans="1:14" x14ac:dyDescent="0.2">
      <c r="C363" t="s">
        <v>208</v>
      </c>
      <c r="F363" s="106">
        <f>SUM(F357:F361)</f>
        <v>98695.2</v>
      </c>
      <c r="H363" t="s">
        <v>213</v>
      </c>
      <c r="K363" s="106" t="e">
        <f>SUM(K357:K361)</f>
        <v>#REF!</v>
      </c>
      <c r="L363" s="66"/>
      <c r="M363" s="66" t="e">
        <f>K363-F363</f>
        <v>#REF!</v>
      </c>
      <c r="N363" s="89" t="e">
        <f>K363/F363-1</f>
        <v>#REF!</v>
      </c>
    </row>
    <row r="364" spans="1:14" x14ac:dyDescent="0.2">
      <c r="F364" s="76"/>
      <c r="K364" s="76"/>
      <c r="L364" s="66"/>
      <c r="M364" s="66"/>
      <c r="N364" s="95"/>
    </row>
    <row r="365" spans="1:14" x14ac:dyDescent="0.2">
      <c r="A365" s="36"/>
      <c r="B365" s="36"/>
      <c r="C365" s="36"/>
      <c r="D365" s="36"/>
      <c r="E365" s="36"/>
      <c r="F365" s="76"/>
      <c r="G365" s="36"/>
      <c r="H365" s="36"/>
      <c r="I365" s="36"/>
      <c r="J365" s="36"/>
      <c r="K365" s="76"/>
      <c r="L365" s="76"/>
      <c r="M365" s="76"/>
      <c r="N365" s="95"/>
    </row>
    <row r="366" spans="1:14" x14ac:dyDescent="0.2">
      <c r="K366" s="83"/>
    </row>
    <row r="367" spans="1:14" x14ac:dyDescent="0.2">
      <c r="A367" s="4" t="s">
        <v>93</v>
      </c>
      <c r="B367" s="4"/>
      <c r="D367" s="91" t="s">
        <v>235</v>
      </c>
      <c r="E367" s="91" t="s">
        <v>68</v>
      </c>
      <c r="F367" s="92" t="s">
        <v>69</v>
      </c>
      <c r="I367" s="91" t="s">
        <v>235</v>
      </c>
      <c r="J367" s="91" t="s">
        <v>68</v>
      </c>
      <c r="K367" s="94" t="s">
        <v>69</v>
      </c>
      <c r="L367" s="4"/>
      <c r="M367" s="4" t="s">
        <v>70</v>
      </c>
      <c r="N367" s="4" t="s">
        <v>70</v>
      </c>
    </row>
    <row r="368" spans="1:14" x14ac:dyDescent="0.2">
      <c r="A368" s="4" t="s">
        <v>241</v>
      </c>
      <c r="D368" s="93" t="s">
        <v>76</v>
      </c>
      <c r="E368" s="91" t="s">
        <v>236</v>
      </c>
      <c r="F368" s="92" t="s">
        <v>71</v>
      </c>
      <c r="I368" s="91"/>
      <c r="J368" s="91" t="s">
        <v>236</v>
      </c>
      <c r="K368" s="94" t="s">
        <v>71</v>
      </c>
      <c r="L368" s="4"/>
      <c r="M368" s="4" t="s">
        <v>72</v>
      </c>
      <c r="N368" s="91" t="s">
        <v>78</v>
      </c>
    </row>
    <row r="369" spans="1:15" ht="38.25" x14ac:dyDescent="0.2">
      <c r="A369" s="97"/>
      <c r="B369" s="36"/>
      <c r="C369" s="24" t="s">
        <v>13</v>
      </c>
      <c r="D369" s="32" t="s">
        <v>77</v>
      </c>
      <c r="E369" s="32" t="s">
        <v>77</v>
      </c>
      <c r="F369" s="103">
        <f>F333</f>
        <v>0</v>
      </c>
      <c r="H369" s="24" t="s">
        <v>13</v>
      </c>
      <c r="I369" s="32" t="s">
        <v>77</v>
      </c>
      <c r="J369" s="32" t="s">
        <v>77</v>
      </c>
      <c r="K369" s="66" t="e">
        <f>K333</f>
        <v>#REF!</v>
      </c>
      <c r="L369" s="66"/>
      <c r="M369" s="66"/>
    </row>
    <row r="370" spans="1:15" ht="25.5" x14ac:dyDescent="0.2">
      <c r="C370" s="24" t="s">
        <v>233</v>
      </c>
      <c r="D370">
        <v>4000</v>
      </c>
      <c r="E370" s="85">
        <f>E334</f>
        <v>0</v>
      </c>
      <c r="F370" s="66">
        <f>D370*E370</f>
        <v>0</v>
      </c>
      <c r="H370" s="24" t="s">
        <v>233</v>
      </c>
      <c r="I370">
        <f>D370</f>
        <v>4000</v>
      </c>
      <c r="J370" s="105" t="e">
        <f>J334</f>
        <v>#REF!</v>
      </c>
      <c r="K370" s="66" t="e">
        <f>I370*J370</f>
        <v>#REF!</v>
      </c>
      <c r="L370" s="66"/>
      <c r="M370" s="66"/>
    </row>
    <row r="371" spans="1:15" ht="25.5" x14ac:dyDescent="0.2">
      <c r="C371" s="24" t="s">
        <v>228</v>
      </c>
      <c r="D371">
        <f>D370</f>
        <v>4000</v>
      </c>
      <c r="E371" s="85">
        <f>E335</f>
        <v>4.2138</v>
      </c>
      <c r="F371" s="66">
        <f>D371*E371</f>
        <v>16855.2</v>
      </c>
      <c r="H371" s="24" t="s">
        <v>228</v>
      </c>
      <c r="I371">
        <f>D371</f>
        <v>4000</v>
      </c>
      <c r="J371" s="105">
        <f>E371</f>
        <v>4.2138</v>
      </c>
      <c r="K371" s="66">
        <f>I371*J371</f>
        <v>16855.2</v>
      </c>
      <c r="L371" s="66"/>
      <c r="M371" s="66"/>
    </row>
    <row r="372" spans="1:15" ht="25.5" x14ac:dyDescent="0.2">
      <c r="C372" s="24" t="s">
        <v>211</v>
      </c>
      <c r="D372" s="129">
        <v>1800000</v>
      </c>
      <c r="E372" s="85">
        <v>1.32E-2</v>
      </c>
      <c r="F372" s="66">
        <f>D372*E372</f>
        <v>23760</v>
      </c>
      <c r="H372" s="24" t="s">
        <v>211</v>
      </c>
      <c r="I372" s="207">
        <f>D372</f>
        <v>1800000</v>
      </c>
      <c r="J372" s="105">
        <f>E372</f>
        <v>1.32E-2</v>
      </c>
      <c r="K372" s="66">
        <f>I372*J372</f>
        <v>23760</v>
      </c>
      <c r="L372" s="66"/>
      <c r="M372" s="66"/>
    </row>
    <row r="373" spans="1:15" ht="25.5" x14ac:dyDescent="0.2">
      <c r="C373" s="24" t="s">
        <v>229</v>
      </c>
      <c r="D373" s="129">
        <v>1800000</v>
      </c>
      <c r="E373" s="85">
        <f>E337</f>
        <v>5.5E-2</v>
      </c>
      <c r="F373" s="66">
        <f>D373*E373</f>
        <v>99000</v>
      </c>
      <c r="H373" s="24" t="s">
        <v>229</v>
      </c>
      <c r="I373" s="129">
        <f>D373</f>
        <v>1800000</v>
      </c>
      <c r="J373" s="105">
        <f>E373</f>
        <v>5.5E-2</v>
      </c>
      <c r="K373" s="66">
        <f>I373*J373</f>
        <v>99000</v>
      </c>
    </row>
    <row r="374" spans="1:15" x14ac:dyDescent="0.2">
      <c r="C374" s="6"/>
      <c r="H374" s="6"/>
      <c r="J374" s="105"/>
      <c r="K374" s="66"/>
    </row>
    <row r="375" spans="1:15" x14ac:dyDescent="0.2">
      <c r="C375" t="s">
        <v>208</v>
      </c>
      <c r="F375" s="106">
        <f>SUM(F369:F373)</f>
        <v>139615.20000000001</v>
      </c>
      <c r="H375" t="s">
        <v>213</v>
      </c>
      <c r="K375" s="106" t="e">
        <f>SUM(K369:K373)</f>
        <v>#REF!</v>
      </c>
      <c r="L375" s="66"/>
      <c r="M375" s="66" t="e">
        <f>K375-F375</f>
        <v>#REF!</v>
      </c>
      <c r="N375" s="89" t="e">
        <f>K375/F375-1</f>
        <v>#REF!</v>
      </c>
    </row>
    <row r="376" spans="1:15" x14ac:dyDescent="0.2">
      <c r="F376" s="76"/>
      <c r="K376" s="76"/>
      <c r="L376" s="66"/>
      <c r="M376" s="66"/>
      <c r="N376" s="95"/>
    </row>
    <row r="377" spans="1:15" ht="13.5" thickBot="1" x14ac:dyDescent="0.25">
      <c r="A377" s="118"/>
      <c r="B377" s="118"/>
      <c r="C377" s="118"/>
      <c r="D377" s="230"/>
      <c r="E377" s="231"/>
      <c r="F377" s="127"/>
      <c r="G377" s="118"/>
      <c r="H377" s="118"/>
      <c r="I377" s="232"/>
      <c r="J377" s="228"/>
      <c r="K377" s="127"/>
      <c r="L377" s="127"/>
      <c r="M377" s="127"/>
      <c r="N377" s="233"/>
    </row>
    <row r="378" spans="1:15" x14ac:dyDescent="0.2">
      <c r="A378" s="36"/>
      <c r="B378" s="36"/>
      <c r="C378" s="222"/>
      <c r="D378" s="225"/>
      <c r="E378" s="220"/>
      <c r="F378" s="76"/>
      <c r="G378" s="36"/>
      <c r="H378" s="222"/>
      <c r="I378" s="225"/>
      <c r="J378" s="224"/>
      <c r="K378" s="76"/>
      <c r="L378" s="76"/>
      <c r="M378" s="76"/>
      <c r="N378" s="95"/>
    </row>
    <row r="379" spans="1:15" ht="15.75" x14ac:dyDescent="0.25">
      <c r="A379" s="27" t="s">
        <v>242</v>
      </c>
    </row>
    <row r="380" spans="1:15" ht="15.75" x14ac:dyDescent="0.25">
      <c r="A380" s="27"/>
    </row>
    <row r="381" spans="1:15" ht="15" x14ac:dyDescent="0.25">
      <c r="A381" s="125" t="s">
        <v>243</v>
      </c>
    </row>
    <row r="382" spans="1:15" ht="14.25" x14ac:dyDescent="0.2">
      <c r="A382" s="125" t="s">
        <v>231</v>
      </c>
    </row>
    <row r="383" spans="1:15" ht="27" customHeight="1" x14ac:dyDescent="0.2">
      <c r="A383" s="275" t="s">
        <v>234</v>
      </c>
      <c r="B383" s="273"/>
      <c r="C383" s="273"/>
      <c r="D383" s="273"/>
      <c r="E383" s="273"/>
      <c r="F383" s="273"/>
      <c r="G383" s="273"/>
      <c r="H383" s="273"/>
      <c r="I383" s="273"/>
      <c r="J383" s="273"/>
      <c r="K383" s="273"/>
      <c r="L383" s="273"/>
      <c r="M383" s="273"/>
      <c r="N383" s="273"/>
      <c r="O383" s="273"/>
    </row>
    <row r="384" spans="1:15" ht="14.25" x14ac:dyDescent="0.2">
      <c r="A384" s="125" t="s">
        <v>232</v>
      </c>
    </row>
    <row r="385" spans="1:14" x14ac:dyDescent="0.2">
      <c r="F385" s="66"/>
      <c r="J385" s="105"/>
      <c r="K385" s="66"/>
      <c r="L385" s="66"/>
      <c r="M385" s="66"/>
      <c r="N385" s="86"/>
    </row>
    <row r="386" spans="1:14" ht="15" x14ac:dyDescent="0.25">
      <c r="C386" s="96" t="s">
        <v>208</v>
      </c>
      <c r="D386" s="47"/>
      <c r="E386" s="47"/>
      <c r="F386" s="47"/>
      <c r="H386" s="271" t="s">
        <v>225</v>
      </c>
      <c r="I386" s="47"/>
      <c r="J386" s="47"/>
      <c r="K386" s="90"/>
      <c r="L386" s="47"/>
      <c r="M386" s="47"/>
      <c r="N386" s="47"/>
    </row>
    <row r="387" spans="1:14" x14ac:dyDescent="0.2">
      <c r="F387" s="66"/>
      <c r="J387" s="105"/>
      <c r="K387" s="66"/>
      <c r="L387" s="66"/>
      <c r="M387" s="66"/>
    </row>
    <row r="388" spans="1:14" ht="15" x14ac:dyDescent="0.25">
      <c r="A388" s="98" t="s">
        <v>73</v>
      </c>
      <c r="B388" s="4"/>
      <c r="F388" s="83"/>
      <c r="K388" s="83"/>
    </row>
    <row r="389" spans="1:14" x14ac:dyDescent="0.2">
      <c r="D389" s="91" t="s">
        <v>235</v>
      </c>
      <c r="E389" s="91" t="s">
        <v>68</v>
      </c>
      <c r="F389" s="92" t="s">
        <v>69</v>
      </c>
      <c r="I389" s="91" t="s">
        <v>235</v>
      </c>
      <c r="J389" s="91" t="s">
        <v>68</v>
      </c>
      <c r="K389" s="94" t="s">
        <v>69</v>
      </c>
      <c r="L389" s="4"/>
      <c r="M389" s="4" t="s">
        <v>70</v>
      </c>
      <c r="N389" s="4" t="s">
        <v>70</v>
      </c>
    </row>
    <row r="390" spans="1:14" x14ac:dyDescent="0.2">
      <c r="A390" s="4" t="s">
        <v>93</v>
      </c>
      <c r="D390" s="93" t="s">
        <v>76</v>
      </c>
      <c r="E390" s="91" t="s">
        <v>236</v>
      </c>
      <c r="F390" s="92" t="s">
        <v>71</v>
      </c>
      <c r="I390" s="91"/>
      <c r="J390" s="91" t="s">
        <v>236</v>
      </c>
      <c r="K390" s="94" t="s">
        <v>71</v>
      </c>
      <c r="L390" s="4"/>
      <c r="M390" s="4" t="s">
        <v>72</v>
      </c>
      <c r="N390" s="91" t="s">
        <v>78</v>
      </c>
    </row>
    <row r="391" spans="1:14" ht="38.25" x14ac:dyDescent="0.2">
      <c r="A391" s="4" t="s">
        <v>316</v>
      </c>
      <c r="B391" s="36"/>
      <c r="C391" s="24" t="s">
        <v>13</v>
      </c>
      <c r="D391" s="32" t="s">
        <v>77</v>
      </c>
      <c r="E391" s="32" t="s">
        <v>77</v>
      </c>
      <c r="F391" s="267">
        <f>'9. Service Charge Adj.'!E27</f>
        <v>0</v>
      </c>
      <c r="H391" s="24" t="s">
        <v>13</v>
      </c>
      <c r="I391" s="32" t="s">
        <v>77</v>
      </c>
      <c r="J391" s="32" t="s">
        <v>77</v>
      </c>
      <c r="K391" s="66" t="e">
        <f>'10. 2004 Rate Schedule '!#REF!</f>
        <v>#REF!</v>
      </c>
      <c r="L391" s="66"/>
      <c r="M391" s="66"/>
    </row>
    <row r="392" spans="1:14" ht="25.5" x14ac:dyDescent="0.2">
      <c r="C392" s="24" t="s">
        <v>104</v>
      </c>
      <c r="D392">
        <v>6000</v>
      </c>
      <c r="E392" s="204">
        <v>0</v>
      </c>
      <c r="F392" s="66">
        <f>D392*E392</f>
        <v>0</v>
      </c>
      <c r="H392" s="24" t="s">
        <v>104</v>
      </c>
      <c r="I392">
        <f>D392</f>
        <v>6000</v>
      </c>
      <c r="J392" s="105" t="e">
        <f>'10. 2004 Rate Schedule '!#REF!</f>
        <v>#REF!</v>
      </c>
      <c r="K392" s="66" t="e">
        <f>I392*J392</f>
        <v>#REF!</v>
      </c>
      <c r="L392" s="66"/>
      <c r="M392" s="66"/>
    </row>
    <row r="393" spans="1:14" ht="25.5" x14ac:dyDescent="0.2">
      <c r="C393" s="24" t="s">
        <v>228</v>
      </c>
      <c r="D393">
        <f>D392</f>
        <v>6000</v>
      </c>
      <c r="E393" s="85">
        <v>4.7369000000000003</v>
      </c>
      <c r="F393" s="66">
        <f>D393*E393</f>
        <v>28421.4</v>
      </c>
      <c r="H393" s="24" t="s">
        <v>228</v>
      </c>
      <c r="I393">
        <f>D393</f>
        <v>6000</v>
      </c>
      <c r="J393" s="105">
        <f>E393</f>
        <v>4.7369000000000003</v>
      </c>
      <c r="K393" s="66">
        <f>I393*J393</f>
        <v>28421.4</v>
      </c>
      <c r="L393" s="66"/>
      <c r="M393" s="66"/>
    </row>
    <row r="394" spans="1:14" ht="25.5" x14ac:dyDescent="0.2">
      <c r="C394" s="24" t="s">
        <v>211</v>
      </c>
      <c r="D394" s="12">
        <v>2800000</v>
      </c>
      <c r="E394" s="85">
        <v>1.32E-2</v>
      </c>
      <c r="F394" s="66">
        <f>D394*E394</f>
        <v>36960</v>
      </c>
      <c r="H394" s="24" t="s">
        <v>211</v>
      </c>
      <c r="I394" s="12">
        <f>D394</f>
        <v>2800000</v>
      </c>
      <c r="J394" s="105">
        <f>E394</f>
        <v>1.32E-2</v>
      </c>
      <c r="K394" s="66">
        <f>I394*J394</f>
        <v>36960</v>
      </c>
      <c r="L394" s="66"/>
      <c r="M394" s="66"/>
    </row>
    <row r="395" spans="1:14" ht="25.5" x14ac:dyDescent="0.2">
      <c r="C395" s="24" t="s">
        <v>229</v>
      </c>
      <c r="D395" s="12">
        <f>D394</f>
        <v>2800000</v>
      </c>
      <c r="E395" s="85">
        <v>0.05</v>
      </c>
      <c r="F395" s="66">
        <f>D395*E395</f>
        <v>140000</v>
      </c>
      <c r="H395" s="24" t="s">
        <v>229</v>
      </c>
      <c r="I395" s="12">
        <f>D394</f>
        <v>2800000</v>
      </c>
      <c r="J395" s="105">
        <f>E395</f>
        <v>0.05</v>
      </c>
      <c r="K395" s="66">
        <f>I395*J395</f>
        <v>140000</v>
      </c>
    </row>
    <row r="396" spans="1:14" x14ac:dyDescent="0.2">
      <c r="C396" s="6"/>
      <c r="H396" s="6"/>
      <c r="J396" s="105"/>
      <c r="K396" s="66"/>
    </row>
    <row r="397" spans="1:14" x14ac:dyDescent="0.2">
      <c r="C397" t="s">
        <v>208</v>
      </c>
      <c r="F397" s="106">
        <f>SUM(F391:F395)</f>
        <v>205381.4</v>
      </c>
      <c r="H397" t="s">
        <v>213</v>
      </c>
      <c r="K397" s="106" t="e">
        <f>SUM(K391:K395)</f>
        <v>#REF!</v>
      </c>
      <c r="L397" s="66"/>
      <c r="M397" s="66" t="e">
        <f>K397-F397</f>
        <v>#REF!</v>
      </c>
      <c r="N397" s="89" t="e">
        <f>K397/F397-1</f>
        <v>#REF!</v>
      </c>
    </row>
    <row r="398" spans="1:14" x14ac:dyDescent="0.2">
      <c r="F398" s="76"/>
      <c r="K398" s="76"/>
      <c r="L398" s="66"/>
      <c r="M398" s="66"/>
      <c r="N398" s="95"/>
    </row>
    <row r="399" spans="1:14" ht="15.75" x14ac:dyDescent="0.25">
      <c r="A399" s="27"/>
      <c r="B399" s="27"/>
      <c r="F399" s="66"/>
      <c r="J399" s="105"/>
      <c r="K399" s="66"/>
      <c r="L399" s="66"/>
      <c r="M399" s="66"/>
    </row>
    <row r="400" spans="1:14" x14ac:dyDescent="0.2">
      <c r="C400" s="6"/>
      <c r="E400" s="87"/>
      <c r="F400" s="66"/>
      <c r="J400" s="105"/>
      <c r="K400" s="66"/>
      <c r="L400" s="66"/>
      <c r="M400" s="66"/>
      <c r="N400" s="86"/>
    </row>
    <row r="401" spans="1:14" x14ac:dyDescent="0.2">
      <c r="A401" s="4" t="s">
        <v>93</v>
      </c>
      <c r="B401" s="4"/>
      <c r="D401" s="91" t="s">
        <v>235</v>
      </c>
      <c r="E401" s="91" t="s">
        <v>68</v>
      </c>
      <c r="F401" s="92" t="s">
        <v>69</v>
      </c>
      <c r="I401" s="91" t="s">
        <v>235</v>
      </c>
      <c r="J401" s="91" t="s">
        <v>68</v>
      </c>
      <c r="K401" s="94" t="s">
        <v>69</v>
      </c>
      <c r="L401" s="4"/>
      <c r="M401" s="4" t="s">
        <v>70</v>
      </c>
      <c r="N401" s="4" t="s">
        <v>70</v>
      </c>
    </row>
    <row r="402" spans="1:14" x14ac:dyDescent="0.2">
      <c r="A402" s="4" t="s">
        <v>244</v>
      </c>
      <c r="D402" s="93" t="s">
        <v>76</v>
      </c>
      <c r="E402" s="91" t="s">
        <v>236</v>
      </c>
      <c r="F402" s="92" t="s">
        <v>71</v>
      </c>
      <c r="I402" s="91"/>
      <c r="J402" s="91" t="s">
        <v>236</v>
      </c>
      <c r="K402" s="94" t="s">
        <v>71</v>
      </c>
      <c r="L402" s="4"/>
      <c r="M402" s="4" t="s">
        <v>72</v>
      </c>
      <c r="N402" s="91" t="s">
        <v>78</v>
      </c>
    </row>
    <row r="403" spans="1:14" ht="38.25" x14ac:dyDescent="0.2">
      <c r="A403" s="97"/>
      <c r="B403" s="36"/>
      <c r="C403" s="24" t="s">
        <v>13</v>
      </c>
      <c r="D403" s="32" t="s">
        <v>77</v>
      </c>
      <c r="E403" s="32" t="s">
        <v>77</v>
      </c>
      <c r="F403" s="103">
        <f>F391</f>
        <v>0</v>
      </c>
      <c r="H403" s="24" t="s">
        <v>13</v>
      </c>
      <c r="I403" s="32" t="s">
        <v>77</v>
      </c>
      <c r="J403" s="32" t="s">
        <v>77</v>
      </c>
      <c r="K403" s="66" t="e">
        <f>K391</f>
        <v>#REF!</v>
      </c>
      <c r="L403" s="66"/>
      <c r="M403" s="66"/>
    </row>
    <row r="404" spans="1:14" ht="25.5" x14ac:dyDescent="0.2">
      <c r="C404" s="24" t="s">
        <v>233</v>
      </c>
      <c r="D404">
        <v>15000</v>
      </c>
      <c r="E404" s="85">
        <f>E392</f>
        <v>0</v>
      </c>
      <c r="F404" s="66">
        <f>D404*E404</f>
        <v>0</v>
      </c>
      <c r="H404" s="24" t="s">
        <v>233</v>
      </c>
      <c r="I404">
        <f>D404</f>
        <v>15000</v>
      </c>
      <c r="J404" s="105" t="e">
        <f>J392</f>
        <v>#REF!</v>
      </c>
      <c r="K404" s="66" t="e">
        <f>I404*J404</f>
        <v>#REF!</v>
      </c>
      <c r="L404" s="66"/>
      <c r="M404" s="66"/>
    </row>
    <row r="405" spans="1:14" ht="25.5" x14ac:dyDescent="0.2">
      <c r="C405" s="24" t="s">
        <v>228</v>
      </c>
      <c r="D405">
        <f>D404</f>
        <v>15000</v>
      </c>
      <c r="E405" s="85">
        <f>E393</f>
        <v>4.7369000000000003</v>
      </c>
      <c r="F405" s="66">
        <f>D405*E405</f>
        <v>71053.5</v>
      </c>
      <c r="H405" s="24" t="s">
        <v>228</v>
      </c>
      <c r="I405">
        <f>D405</f>
        <v>15000</v>
      </c>
      <c r="J405" s="105">
        <f>E405</f>
        <v>4.7369000000000003</v>
      </c>
      <c r="K405" s="66">
        <f>I405*J405</f>
        <v>71053.5</v>
      </c>
      <c r="L405" s="66"/>
      <c r="M405" s="66"/>
    </row>
    <row r="406" spans="1:14" ht="25.5" x14ac:dyDescent="0.2">
      <c r="C406" s="24" t="s">
        <v>211</v>
      </c>
      <c r="D406" s="12">
        <v>10000000</v>
      </c>
      <c r="E406" s="85">
        <v>1.32E-2</v>
      </c>
      <c r="F406" s="66">
        <f>D406*E406</f>
        <v>132000</v>
      </c>
      <c r="H406" s="24" t="s">
        <v>211</v>
      </c>
      <c r="I406" s="12">
        <f>D406</f>
        <v>10000000</v>
      </c>
      <c r="J406" s="105">
        <f>E406</f>
        <v>1.32E-2</v>
      </c>
      <c r="K406" s="66">
        <f>I406*J406</f>
        <v>132000</v>
      </c>
      <c r="L406" s="66"/>
      <c r="M406" s="66"/>
    </row>
    <row r="407" spans="1:14" ht="25.5" x14ac:dyDescent="0.2">
      <c r="C407" s="24" t="s">
        <v>229</v>
      </c>
      <c r="D407" s="12">
        <v>10000000</v>
      </c>
      <c r="E407" s="85">
        <f>E395</f>
        <v>0.05</v>
      </c>
      <c r="F407" s="66">
        <f>D407*E407</f>
        <v>500000</v>
      </c>
      <c r="H407" s="24" t="s">
        <v>229</v>
      </c>
      <c r="I407" s="206">
        <f>D407</f>
        <v>10000000</v>
      </c>
      <c r="J407" s="105">
        <f>E407</f>
        <v>0.05</v>
      </c>
      <c r="K407" s="66">
        <f>I407*J407</f>
        <v>500000</v>
      </c>
    </row>
    <row r="408" spans="1:14" x14ac:dyDescent="0.2">
      <c r="C408" s="6"/>
      <c r="H408" s="6"/>
      <c r="J408" s="105"/>
      <c r="K408" s="66"/>
    </row>
    <row r="409" spans="1:14" x14ac:dyDescent="0.2">
      <c r="C409" t="s">
        <v>208</v>
      </c>
      <c r="F409" s="106">
        <f>SUM(F403:F407)</f>
        <v>703053.5</v>
      </c>
      <c r="H409" t="s">
        <v>213</v>
      </c>
      <c r="K409" s="106" t="e">
        <f>SUM(K403:K407)</f>
        <v>#REF!</v>
      </c>
      <c r="L409" s="66"/>
      <c r="M409" s="66" t="e">
        <f>K409-F409</f>
        <v>#REF!</v>
      </c>
      <c r="N409" s="89" t="e">
        <f>K409/F409-1</f>
        <v>#REF!</v>
      </c>
    </row>
    <row r="410" spans="1:14" x14ac:dyDescent="0.2">
      <c r="K410" s="83"/>
    </row>
    <row r="411" spans="1:14" x14ac:dyDescent="0.2">
      <c r="F411" s="66"/>
      <c r="J411" s="105"/>
      <c r="K411" s="66"/>
      <c r="L411" s="66"/>
      <c r="M411" s="66"/>
      <c r="N411" s="86"/>
    </row>
    <row r="412" spans="1:14" x14ac:dyDescent="0.2">
      <c r="C412" s="6"/>
      <c r="E412" s="105"/>
      <c r="F412" s="66"/>
      <c r="H412" s="6"/>
      <c r="J412" s="105"/>
      <c r="K412" s="66"/>
      <c r="L412" s="66"/>
      <c r="M412" s="66"/>
      <c r="N412" s="86"/>
    </row>
    <row r="413" spans="1:14" x14ac:dyDescent="0.2">
      <c r="C413" s="6"/>
      <c r="E413" s="87"/>
      <c r="F413" s="66"/>
      <c r="J413" s="105"/>
      <c r="K413" s="66"/>
      <c r="L413" s="66"/>
      <c r="M413" s="66"/>
      <c r="N413" s="86"/>
    </row>
    <row r="414" spans="1:14" x14ac:dyDescent="0.2">
      <c r="C414" s="4"/>
      <c r="F414" s="66"/>
      <c r="H414" s="4"/>
      <c r="K414" s="66"/>
      <c r="L414" s="66"/>
      <c r="M414" s="66"/>
      <c r="N414" s="86"/>
    </row>
    <row r="415" spans="1:14" x14ac:dyDescent="0.2">
      <c r="C415" s="6"/>
      <c r="E415" s="87"/>
      <c r="F415" s="66"/>
      <c r="J415" s="105"/>
      <c r="K415" s="66"/>
      <c r="L415" s="66"/>
      <c r="M415" s="66"/>
      <c r="N415" s="86"/>
    </row>
    <row r="416" spans="1:14" x14ac:dyDescent="0.2">
      <c r="C416" s="6"/>
      <c r="E416" s="87"/>
      <c r="F416" s="66"/>
      <c r="J416" s="105"/>
      <c r="K416" s="66"/>
      <c r="L416" s="66"/>
      <c r="M416" s="66"/>
      <c r="N416" s="86"/>
    </row>
  </sheetData>
  <mergeCells count="10">
    <mergeCell ref="E13:F13"/>
    <mergeCell ref="E14:F14"/>
    <mergeCell ref="E15:F15"/>
    <mergeCell ref="E16:F16"/>
    <mergeCell ref="A383:O383"/>
    <mergeCell ref="A325:O325"/>
    <mergeCell ref="A242:O242"/>
    <mergeCell ref="A162:O162"/>
    <mergeCell ref="E21:F21"/>
    <mergeCell ref="E17:F17"/>
  </mergeCells>
  <phoneticPr fontId="0" type="noConversion"/>
  <pageMargins left="0.4" right="0.17" top="0.4" bottom="0.47" header="0.24" footer="0.18"/>
  <pageSetup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0"/>
  <sheetViews>
    <sheetView topLeftCell="A52" zoomScale="75" workbookViewId="0">
      <selection activeCell="F195" sqref="F195"/>
    </sheetView>
  </sheetViews>
  <sheetFormatPr defaultRowHeight="12.75" x14ac:dyDescent="0.2"/>
  <cols>
    <col min="1" max="1" width="31.42578125" customWidth="1"/>
    <col min="2" max="2" width="1.42578125" customWidth="1"/>
    <col min="3" max="3" width="15.85546875" customWidth="1"/>
    <col min="4" max="4" width="8.7109375" customWidth="1"/>
    <col min="5" max="5" width="10.140625" customWidth="1"/>
    <col min="6" max="6" width="19.7109375" customWidth="1"/>
    <col min="7" max="7" width="1.5703125" customWidth="1"/>
    <col min="8" max="8" width="16.140625" customWidth="1"/>
    <col min="9" max="9" width="9.42578125" customWidth="1"/>
    <col min="11" max="11" width="12.5703125" customWidth="1"/>
    <col min="12" max="12" width="0.85546875" customWidth="1"/>
    <col min="13" max="13" width="11" customWidth="1"/>
  </cols>
  <sheetData>
    <row r="1" spans="1:11" ht="18" x14ac:dyDescent="0.25">
      <c r="A1" s="15" t="s">
        <v>206</v>
      </c>
      <c r="B1" s="15"/>
    </row>
    <row r="2" spans="1:11" x14ac:dyDescent="0.2">
      <c r="A2" s="4" t="s">
        <v>221</v>
      </c>
    </row>
    <row r="3" spans="1:11" ht="18" x14ac:dyDescent="0.25">
      <c r="A3" s="111" t="s">
        <v>0</v>
      </c>
      <c r="B3" s="1"/>
      <c r="C3" s="107" t="str">
        <f>'2. 2002 Base Rate Schedule'!B3</f>
        <v>E.L.K. Energy Inc.</v>
      </c>
      <c r="D3" s="108"/>
      <c r="F3" s="111" t="s">
        <v>1</v>
      </c>
      <c r="H3" s="115" t="str">
        <f>'2. 2002 Base Rate Schedule'!F3</f>
        <v>ED-2003-0015</v>
      </c>
    </row>
    <row r="4" spans="1:11" ht="18" x14ac:dyDescent="0.25">
      <c r="A4" s="111" t="s">
        <v>3</v>
      </c>
      <c r="B4" s="1"/>
      <c r="C4" s="107" t="str">
        <f>'2. 2002 Base Rate Schedule'!B4</f>
        <v>Sandra Slater</v>
      </c>
      <c r="D4" s="15"/>
      <c r="F4" s="111" t="s">
        <v>4</v>
      </c>
      <c r="H4" s="115" t="str">
        <f>'2. 2002 Base Rate Schedule'!F4</f>
        <v>519-776-5291</v>
      </c>
    </row>
    <row r="5" spans="1:11" ht="18" x14ac:dyDescent="0.25">
      <c r="A5" s="27" t="s">
        <v>38</v>
      </c>
      <c r="B5" s="15"/>
      <c r="C5" s="107" t="str">
        <f>'2. 2002 Base Rate Schedule'!B5</f>
        <v>sslater@elkenergyinc.com</v>
      </c>
      <c r="D5" s="15"/>
    </row>
    <row r="6" spans="1:11" ht="18" x14ac:dyDescent="0.25">
      <c r="A6" s="111" t="s">
        <v>2</v>
      </c>
      <c r="B6" s="1"/>
      <c r="C6" s="107">
        <f>'2. 2002 Base Rate Schedule'!B6</f>
        <v>1</v>
      </c>
      <c r="D6" s="15"/>
    </row>
    <row r="7" spans="1:11" ht="18" x14ac:dyDescent="0.25">
      <c r="A7" s="27" t="s">
        <v>39</v>
      </c>
      <c r="B7" s="15"/>
      <c r="C7" s="110">
        <f>'2. 2002 Base Rate Schedule'!B7</f>
        <v>38031</v>
      </c>
      <c r="D7" s="15"/>
    </row>
    <row r="8" spans="1:11" ht="18" x14ac:dyDescent="0.25">
      <c r="D8" s="15"/>
    </row>
    <row r="9" spans="1:11" ht="14.25" x14ac:dyDescent="0.2">
      <c r="A9" s="125" t="s">
        <v>207</v>
      </c>
    </row>
    <row r="10" spans="1:11" ht="14.25" x14ac:dyDescent="0.2">
      <c r="A10" s="125" t="s">
        <v>216</v>
      </c>
    </row>
    <row r="11" spans="1:11" ht="14.25" x14ac:dyDescent="0.2">
      <c r="A11" s="125"/>
    </row>
    <row r="12" spans="1:11" ht="13.5" customHeight="1" x14ac:dyDescent="0.2">
      <c r="A12" s="125"/>
    </row>
    <row r="13" spans="1:11" ht="16.5" customHeight="1" x14ac:dyDescent="0.25">
      <c r="A13" s="82"/>
      <c r="B13" s="82"/>
      <c r="E13" s="274"/>
      <c r="F13" s="274"/>
      <c r="K13" s="83"/>
    </row>
    <row r="14" spans="1:11" ht="15.75" customHeight="1" x14ac:dyDescent="0.25">
      <c r="A14" s="125" t="s">
        <v>312</v>
      </c>
      <c r="B14" s="84"/>
      <c r="E14" s="274"/>
      <c r="F14" s="274"/>
      <c r="K14" s="83"/>
    </row>
    <row r="15" spans="1:11" ht="15.75" customHeight="1" x14ac:dyDescent="0.25">
      <c r="E15" s="274"/>
      <c r="F15" s="274"/>
      <c r="K15" s="83"/>
    </row>
    <row r="16" spans="1:11" ht="18" x14ac:dyDescent="0.25">
      <c r="A16" s="99" t="s">
        <v>44</v>
      </c>
      <c r="B16" s="27"/>
      <c r="D16" s="36"/>
      <c r="E16" s="274"/>
      <c r="F16" s="274"/>
      <c r="K16" s="83"/>
    </row>
    <row r="17" spans="1:15" ht="18" x14ac:dyDescent="0.25">
      <c r="A17" s="99"/>
      <c r="B17" s="27"/>
      <c r="D17" s="36"/>
      <c r="E17" s="274"/>
      <c r="F17" s="274"/>
      <c r="K17" s="83"/>
    </row>
    <row r="18" spans="1:15" ht="18" x14ac:dyDescent="0.25">
      <c r="A18" s="99"/>
      <c r="B18" s="27"/>
      <c r="D18" s="36"/>
      <c r="E18" s="136"/>
      <c r="F18" s="136"/>
      <c r="K18" s="83"/>
    </row>
    <row r="19" spans="1:15" ht="15.75" x14ac:dyDescent="0.25">
      <c r="A19" s="125" t="s">
        <v>214</v>
      </c>
      <c r="B19" s="27"/>
      <c r="D19" s="36"/>
      <c r="E19" s="136"/>
      <c r="F19" s="136"/>
      <c r="K19" s="83"/>
    </row>
    <row r="20" spans="1:15" ht="15.75" x14ac:dyDescent="0.25">
      <c r="A20" s="125" t="s">
        <v>223</v>
      </c>
      <c r="D20" s="36"/>
      <c r="E20" s="136"/>
      <c r="F20" s="136"/>
      <c r="K20" s="83"/>
    </row>
    <row r="21" spans="1:15" ht="15.75" customHeight="1" x14ac:dyDescent="0.25">
      <c r="A21" s="125" t="s">
        <v>224</v>
      </c>
      <c r="E21" s="274"/>
      <c r="F21" s="274"/>
      <c r="K21" s="83"/>
    </row>
    <row r="22" spans="1:15" ht="15.75" customHeight="1" x14ac:dyDescent="0.25">
      <c r="A22" s="125"/>
      <c r="E22" s="136"/>
      <c r="F22" s="136"/>
      <c r="K22" s="83"/>
    </row>
    <row r="23" spans="1:15" ht="15" x14ac:dyDescent="0.25">
      <c r="A23" t="s">
        <v>67</v>
      </c>
      <c r="C23" s="96" t="s">
        <v>208</v>
      </c>
      <c r="D23" s="47"/>
      <c r="E23" s="47"/>
      <c r="F23" s="47"/>
      <c r="H23" s="96" t="s">
        <v>215</v>
      </c>
      <c r="I23" s="47"/>
      <c r="J23" s="47"/>
      <c r="K23" s="90"/>
      <c r="L23" s="47"/>
      <c r="M23" s="47"/>
      <c r="N23" s="47"/>
      <c r="O23" s="36"/>
    </row>
    <row r="24" spans="1:15" x14ac:dyDescent="0.2">
      <c r="F24" s="83"/>
      <c r="K24" s="83"/>
    </row>
    <row r="25" spans="1:15" ht="15" x14ac:dyDescent="0.25">
      <c r="A25" s="98" t="s">
        <v>73</v>
      </c>
      <c r="B25" s="4"/>
      <c r="D25" s="91" t="s">
        <v>41</v>
      </c>
      <c r="E25" s="91" t="s">
        <v>68</v>
      </c>
      <c r="F25" s="92" t="s">
        <v>69</v>
      </c>
      <c r="I25" s="91" t="s">
        <v>41</v>
      </c>
      <c r="J25" s="91" t="s">
        <v>68</v>
      </c>
      <c r="K25" s="94" t="s">
        <v>69</v>
      </c>
      <c r="L25" s="4"/>
      <c r="M25" s="4" t="s">
        <v>70</v>
      </c>
      <c r="N25" s="4" t="s">
        <v>70</v>
      </c>
    </row>
    <row r="26" spans="1:15" x14ac:dyDescent="0.2">
      <c r="A26" s="4" t="s">
        <v>87</v>
      </c>
      <c r="D26" s="93" t="s">
        <v>76</v>
      </c>
      <c r="E26" s="91" t="s">
        <v>103</v>
      </c>
      <c r="F26" s="92" t="s">
        <v>71</v>
      </c>
      <c r="I26" s="91"/>
      <c r="J26" s="91" t="s">
        <v>103</v>
      </c>
      <c r="K26" s="94" t="s">
        <v>71</v>
      </c>
      <c r="L26" s="4"/>
      <c r="M26" s="4" t="s">
        <v>72</v>
      </c>
      <c r="N26" s="91" t="s">
        <v>78</v>
      </c>
    </row>
    <row r="27" spans="1:15" ht="38.25" x14ac:dyDescent="0.2">
      <c r="A27" s="97"/>
      <c r="B27" s="36"/>
      <c r="C27" s="24" t="s">
        <v>13</v>
      </c>
      <c r="D27" s="32" t="s">
        <v>77</v>
      </c>
      <c r="E27" s="32" t="s">
        <v>77</v>
      </c>
      <c r="F27" s="203">
        <f>'11.Bill Impact (no commod. in.)'!F27</f>
        <v>14.66</v>
      </c>
      <c r="H27" s="24" t="s">
        <v>13</v>
      </c>
      <c r="I27" s="32" t="s">
        <v>77</v>
      </c>
      <c r="J27" s="32" t="s">
        <v>77</v>
      </c>
      <c r="K27" s="66">
        <f>'10. 2004 Rate Schedule '!F10</f>
        <v>14.66</v>
      </c>
      <c r="L27" s="66"/>
      <c r="M27" s="66"/>
    </row>
    <row r="28" spans="1:15" ht="25.5" x14ac:dyDescent="0.2">
      <c r="C28" s="24" t="s">
        <v>210</v>
      </c>
      <c r="D28">
        <v>100</v>
      </c>
      <c r="E28" s="204">
        <f>'11.Bill Impact (no commod. in.)'!E28</f>
        <v>7.7999999999999996E-3</v>
      </c>
      <c r="F28" s="66">
        <f>D28*E28</f>
        <v>0.77999999999999992</v>
      </c>
      <c r="H28" s="24" t="s">
        <v>210</v>
      </c>
      <c r="I28">
        <f>D28</f>
        <v>100</v>
      </c>
      <c r="J28" s="105">
        <f>'10. 2004 Rate Schedule '!F11</f>
        <v>7.9885402519283086E-3</v>
      </c>
      <c r="K28" s="66">
        <f>I28*J28</f>
        <v>0.79885402519283089</v>
      </c>
      <c r="L28" s="66"/>
      <c r="M28" s="66"/>
    </row>
    <row r="29" spans="1:15" ht="27" customHeight="1" x14ac:dyDescent="0.2">
      <c r="C29" s="24" t="s">
        <v>211</v>
      </c>
      <c r="D29">
        <v>100</v>
      </c>
      <c r="E29" s="205">
        <v>2.3900000000000001E-2</v>
      </c>
      <c r="F29" s="66">
        <f>D29*E29</f>
        <v>2.39</v>
      </c>
      <c r="H29" s="24" t="s">
        <v>211</v>
      </c>
      <c r="I29">
        <v>100</v>
      </c>
      <c r="J29" s="105">
        <f>E29</f>
        <v>2.3900000000000001E-2</v>
      </c>
      <c r="K29" s="66">
        <f>I29*J29</f>
        <v>2.39</v>
      </c>
      <c r="L29" s="66"/>
      <c r="M29" s="66"/>
    </row>
    <row r="30" spans="1:15" ht="25.5" customHeight="1" x14ac:dyDescent="0.2">
      <c r="C30" s="24" t="s">
        <v>217</v>
      </c>
      <c r="D30">
        <v>100</v>
      </c>
      <c r="E30" s="85">
        <v>4.2999999999999997E-2</v>
      </c>
      <c r="F30" s="66">
        <f>D30*E30</f>
        <v>4.3</v>
      </c>
      <c r="H30" s="24" t="s">
        <v>217</v>
      </c>
      <c r="I30">
        <f>D30</f>
        <v>100</v>
      </c>
      <c r="J30" s="105">
        <v>4.7E-2</v>
      </c>
      <c r="K30" s="66">
        <f>I30*J30</f>
        <v>4.7</v>
      </c>
      <c r="L30" s="66"/>
      <c r="M30" s="66"/>
    </row>
    <row r="31" spans="1:15" x14ac:dyDescent="0.2">
      <c r="C31" s="6"/>
      <c r="H31" s="6"/>
      <c r="J31" s="105"/>
    </row>
    <row r="32" spans="1:15" x14ac:dyDescent="0.2">
      <c r="C32" t="s">
        <v>208</v>
      </c>
      <c r="F32" s="106">
        <f>SUM(F27:F30)</f>
        <v>22.13</v>
      </c>
      <c r="H32" t="s">
        <v>213</v>
      </c>
      <c r="K32" s="106">
        <f>SUM(K27:K30)</f>
        <v>22.548854025192831</v>
      </c>
      <c r="L32" s="66"/>
      <c r="M32" s="66">
        <f>K32-F32</f>
        <v>0.41885402519283232</v>
      </c>
      <c r="N32" s="89">
        <f>K32/F32-1</f>
        <v>1.8926978092762337E-2</v>
      </c>
    </row>
    <row r="33" spans="1:14" x14ac:dyDescent="0.2">
      <c r="K33" s="83"/>
    </row>
    <row r="34" spans="1:14" x14ac:dyDescent="0.2">
      <c r="F34" s="83"/>
      <c r="K34" s="83"/>
    </row>
    <row r="35" spans="1:14" ht="15" x14ac:dyDescent="0.25">
      <c r="A35" s="98" t="s">
        <v>85</v>
      </c>
      <c r="B35" s="4"/>
      <c r="D35" s="91" t="s">
        <v>41</v>
      </c>
      <c r="E35" s="91" t="s">
        <v>68</v>
      </c>
      <c r="F35" s="92" t="s">
        <v>69</v>
      </c>
      <c r="I35" s="91" t="s">
        <v>41</v>
      </c>
      <c r="J35" s="91" t="s">
        <v>68</v>
      </c>
      <c r="K35" s="94" t="s">
        <v>69</v>
      </c>
      <c r="L35" s="4"/>
      <c r="M35" s="4" t="s">
        <v>70</v>
      </c>
      <c r="N35" s="4" t="s">
        <v>70</v>
      </c>
    </row>
    <row r="36" spans="1:14" x14ac:dyDescent="0.2">
      <c r="A36" s="4" t="s">
        <v>86</v>
      </c>
      <c r="D36" s="93" t="s">
        <v>76</v>
      </c>
      <c r="E36" s="91" t="s">
        <v>103</v>
      </c>
      <c r="F36" s="92" t="s">
        <v>71</v>
      </c>
      <c r="I36" s="91"/>
      <c r="J36" s="91" t="s">
        <v>103</v>
      </c>
      <c r="K36" s="94" t="s">
        <v>71</v>
      </c>
      <c r="L36" s="4"/>
      <c r="M36" s="4" t="s">
        <v>72</v>
      </c>
      <c r="N36" s="91" t="s">
        <v>78</v>
      </c>
    </row>
    <row r="37" spans="1:14" ht="38.25" x14ac:dyDescent="0.2">
      <c r="A37" s="97"/>
      <c r="B37" s="36"/>
      <c r="C37" s="24" t="s">
        <v>13</v>
      </c>
      <c r="D37" s="32" t="s">
        <v>77</v>
      </c>
      <c r="E37" s="32" t="s">
        <v>77</v>
      </c>
      <c r="F37" s="103">
        <f>F27</f>
        <v>14.66</v>
      </c>
      <c r="H37" s="24" t="s">
        <v>13</v>
      </c>
      <c r="I37" s="32" t="s">
        <v>77</v>
      </c>
      <c r="J37" s="32" t="s">
        <v>77</v>
      </c>
      <c r="K37" s="66">
        <f>K27</f>
        <v>14.66</v>
      </c>
      <c r="L37" s="66"/>
      <c r="M37" s="66"/>
    </row>
    <row r="38" spans="1:14" ht="25.5" x14ac:dyDescent="0.2">
      <c r="C38" s="24" t="s">
        <v>210</v>
      </c>
      <c r="D38">
        <v>250</v>
      </c>
      <c r="E38" s="85">
        <f>E28</f>
        <v>7.7999999999999996E-3</v>
      </c>
      <c r="F38" s="66">
        <f>D38*E38</f>
        <v>1.95</v>
      </c>
      <c r="H38" s="24" t="s">
        <v>210</v>
      </c>
      <c r="I38">
        <f>D38</f>
        <v>250</v>
      </c>
      <c r="J38" s="105">
        <f>J28</f>
        <v>7.9885402519283086E-3</v>
      </c>
      <c r="K38" s="66">
        <f>I38*J38</f>
        <v>1.9971350629820772</v>
      </c>
      <c r="L38" s="66"/>
      <c r="M38" s="66"/>
    </row>
    <row r="39" spans="1:14" ht="24.75" customHeight="1" x14ac:dyDescent="0.2">
      <c r="C39" s="24" t="s">
        <v>211</v>
      </c>
      <c r="D39">
        <v>250</v>
      </c>
      <c r="E39" s="85">
        <f>E29</f>
        <v>2.3900000000000001E-2</v>
      </c>
      <c r="F39" s="66">
        <f>D39*E39</f>
        <v>5.9750000000000005</v>
      </c>
      <c r="H39" s="24" t="s">
        <v>211</v>
      </c>
      <c r="I39">
        <v>250</v>
      </c>
      <c r="J39" s="105">
        <f>E39</f>
        <v>2.3900000000000001E-2</v>
      </c>
      <c r="K39" s="66">
        <f>I39*J39</f>
        <v>5.9750000000000005</v>
      </c>
      <c r="L39" s="66"/>
      <c r="M39" s="66"/>
    </row>
    <row r="40" spans="1:14" ht="27" customHeight="1" x14ac:dyDescent="0.2">
      <c r="C40" s="24" t="s">
        <v>217</v>
      </c>
      <c r="D40">
        <v>250</v>
      </c>
      <c r="E40" s="85">
        <f>E30</f>
        <v>4.2999999999999997E-2</v>
      </c>
      <c r="F40" s="66">
        <f>D40*E40</f>
        <v>10.75</v>
      </c>
      <c r="H40" s="24" t="s">
        <v>217</v>
      </c>
      <c r="I40">
        <f>D40</f>
        <v>250</v>
      </c>
      <c r="J40" s="105">
        <f>J30</f>
        <v>4.7E-2</v>
      </c>
      <c r="K40" s="66">
        <f>I40*J40</f>
        <v>11.75</v>
      </c>
      <c r="L40" s="66"/>
      <c r="M40" s="66"/>
    </row>
    <row r="41" spans="1:14" x14ac:dyDescent="0.2">
      <c r="C41" s="6"/>
      <c r="H41" s="6"/>
      <c r="J41" s="105"/>
    </row>
    <row r="42" spans="1:14" x14ac:dyDescent="0.2">
      <c r="C42" t="s">
        <v>208</v>
      </c>
      <c r="F42" s="106">
        <f>SUM(F37:F40)</f>
        <v>33.335000000000001</v>
      </c>
      <c r="H42" t="s">
        <v>213</v>
      </c>
      <c r="K42" s="106">
        <f>SUM(K37:K40)</f>
        <v>34.38213506298208</v>
      </c>
      <c r="L42" s="66"/>
      <c r="M42" s="66">
        <f>K42-F42</f>
        <v>1.047135062982079</v>
      </c>
      <c r="N42" s="89">
        <f>K42/F42-1</f>
        <v>3.1412481265399084E-2</v>
      </c>
    </row>
    <row r="43" spans="1:14" x14ac:dyDescent="0.2">
      <c r="F43" s="76"/>
      <c r="K43" s="76"/>
      <c r="L43" s="66"/>
      <c r="M43" s="66"/>
      <c r="N43" s="95"/>
    </row>
    <row r="44" spans="1:14" x14ac:dyDescent="0.2">
      <c r="K44" s="83"/>
    </row>
    <row r="45" spans="1:14" ht="15" x14ac:dyDescent="0.25">
      <c r="A45" s="98" t="s">
        <v>85</v>
      </c>
      <c r="B45" s="4"/>
      <c r="D45" s="91" t="s">
        <v>41</v>
      </c>
      <c r="E45" s="91" t="s">
        <v>68</v>
      </c>
      <c r="F45" s="92" t="s">
        <v>69</v>
      </c>
      <c r="I45" s="91" t="s">
        <v>41</v>
      </c>
      <c r="J45" s="91" t="s">
        <v>68</v>
      </c>
      <c r="K45" s="94" t="s">
        <v>69</v>
      </c>
      <c r="L45" s="4"/>
      <c r="M45" s="4" t="s">
        <v>70</v>
      </c>
      <c r="N45" s="4" t="s">
        <v>70</v>
      </c>
    </row>
    <row r="46" spans="1:14" x14ac:dyDescent="0.2">
      <c r="A46" s="4" t="s">
        <v>88</v>
      </c>
      <c r="D46" s="93" t="s">
        <v>76</v>
      </c>
      <c r="E46" s="91" t="s">
        <v>103</v>
      </c>
      <c r="F46" s="92" t="s">
        <v>71</v>
      </c>
      <c r="I46" s="91"/>
      <c r="J46" s="91" t="s">
        <v>103</v>
      </c>
      <c r="K46" s="94" t="s">
        <v>71</v>
      </c>
      <c r="L46" s="4"/>
      <c r="M46" s="4" t="s">
        <v>72</v>
      </c>
      <c r="N46" s="91" t="s">
        <v>78</v>
      </c>
    </row>
    <row r="47" spans="1:14" ht="38.25" x14ac:dyDescent="0.2">
      <c r="A47" s="97"/>
      <c r="B47" s="36"/>
      <c r="C47" s="24" t="s">
        <v>13</v>
      </c>
      <c r="D47" s="32" t="s">
        <v>77</v>
      </c>
      <c r="E47" s="32" t="s">
        <v>77</v>
      </c>
      <c r="F47" s="103">
        <f>F27</f>
        <v>14.66</v>
      </c>
      <c r="H47" s="24" t="s">
        <v>13</v>
      </c>
      <c r="I47" s="32" t="s">
        <v>77</v>
      </c>
      <c r="J47" s="32" t="s">
        <v>77</v>
      </c>
      <c r="K47" s="66">
        <f>K27</f>
        <v>14.66</v>
      </c>
      <c r="L47" s="66"/>
      <c r="M47" s="66"/>
    </row>
    <row r="48" spans="1:14" ht="25.5" x14ac:dyDescent="0.2">
      <c r="C48" s="24" t="s">
        <v>210</v>
      </c>
      <c r="D48">
        <v>500</v>
      </c>
      <c r="E48" s="85">
        <f>E28</f>
        <v>7.7999999999999996E-3</v>
      </c>
      <c r="F48" s="66">
        <f>D48*E48</f>
        <v>3.9</v>
      </c>
      <c r="H48" s="24" t="s">
        <v>210</v>
      </c>
      <c r="I48">
        <f>D48</f>
        <v>500</v>
      </c>
      <c r="J48" s="105">
        <f>J28</f>
        <v>7.9885402519283086E-3</v>
      </c>
      <c r="K48" s="66">
        <f>I48*J48</f>
        <v>3.9942701259641544</v>
      </c>
      <c r="L48" s="66"/>
      <c r="M48" s="66"/>
    </row>
    <row r="49" spans="1:14" ht="25.5" customHeight="1" x14ac:dyDescent="0.2">
      <c r="C49" s="24" t="s">
        <v>211</v>
      </c>
      <c r="D49">
        <v>500</v>
      </c>
      <c r="E49" s="85">
        <f>E29</f>
        <v>2.3900000000000001E-2</v>
      </c>
      <c r="F49" s="66">
        <f>D49*E49</f>
        <v>11.950000000000001</v>
      </c>
      <c r="H49" s="24" t="s">
        <v>211</v>
      </c>
      <c r="I49">
        <v>500</v>
      </c>
      <c r="J49" s="105">
        <f>E49</f>
        <v>2.3900000000000001E-2</v>
      </c>
      <c r="K49" s="66">
        <f>I49*J49</f>
        <v>11.950000000000001</v>
      </c>
      <c r="L49" s="66"/>
      <c r="M49" s="66"/>
    </row>
    <row r="50" spans="1:14" ht="25.5" customHeight="1" x14ac:dyDescent="0.2">
      <c r="C50" s="24" t="s">
        <v>217</v>
      </c>
      <c r="D50">
        <f>D48</f>
        <v>500</v>
      </c>
      <c r="E50" s="85">
        <f>E30</f>
        <v>4.2999999999999997E-2</v>
      </c>
      <c r="F50" s="66">
        <f>D50*E50</f>
        <v>21.5</v>
      </c>
      <c r="H50" s="24" t="s">
        <v>217</v>
      </c>
      <c r="I50">
        <f>D50</f>
        <v>500</v>
      </c>
      <c r="J50" s="105">
        <f>J30</f>
        <v>4.7E-2</v>
      </c>
      <c r="K50" s="66">
        <f>I50*J50</f>
        <v>23.5</v>
      </c>
      <c r="L50" s="66"/>
      <c r="M50" s="66"/>
    </row>
    <row r="51" spans="1:14" x14ac:dyDescent="0.2">
      <c r="C51" s="6"/>
      <c r="H51" s="6"/>
      <c r="J51" s="105"/>
    </row>
    <row r="52" spans="1:14" x14ac:dyDescent="0.2">
      <c r="C52" t="s">
        <v>208</v>
      </c>
      <c r="F52" s="106">
        <f>SUM(F47:F50)</f>
        <v>52.01</v>
      </c>
      <c r="H52" t="s">
        <v>213</v>
      </c>
      <c r="K52" s="106">
        <f>SUM(K47:K50)</f>
        <v>54.104270125964156</v>
      </c>
      <c r="L52" s="66"/>
      <c r="M52" s="66">
        <f>K52-F52</f>
        <v>2.0942701259641581</v>
      </c>
      <c r="N52" s="89">
        <f>K52/F52-1</f>
        <v>4.0266681906636403E-2</v>
      </c>
    </row>
    <row r="53" spans="1:14" x14ac:dyDescent="0.2">
      <c r="F53" s="76"/>
      <c r="K53" s="76"/>
      <c r="L53" s="66"/>
      <c r="M53" s="66"/>
      <c r="N53" s="95"/>
    </row>
    <row r="54" spans="1:14" x14ac:dyDescent="0.2">
      <c r="F54" s="66"/>
      <c r="J54" s="105"/>
      <c r="K54" s="66"/>
      <c r="L54" s="66"/>
      <c r="M54" s="66"/>
    </row>
    <row r="55" spans="1:14" ht="15" x14ac:dyDescent="0.25">
      <c r="A55" s="98" t="s">
        <v>85</v>
      </c>
      <c r="B55" s="4"/>
      <c r="D55" s="91" t="s">
        <v>41</v>
      </c>
      <c r="E55" s="91" t="s">
        <v>68</v>
      </c>
      <c r="F55" s="92" t="s">
        <v>69</v>
      </c>
      <c r="I55" s="91" t="s">
        <v>41</v>
      </c>
      <c r="J55" s="91" t="s">
        <v>68</v>
      </c>
      <c r="K55" s="94" t="s">
        <v>69</v>
      </c>
      <c r="L55" s="4"/>
      <c r="M55" s="4" t="s">
        <v>70</v>
      </c>
      <c r="N55" s="4" t="s">
        <v>70</v>
      </c>
    </row>
    <row r="56" spans="1:14" x14ac:dyDescent="0.2">
      <c r="A56" s="4" t="s">
        <v>89</v>
      </c>
      <c r="D56" s="93" t="s">
        <v>76</v>
      </c>
      <c r="E56" s="91" t="s">
        <v>103</v>
      </c>
      <c r="F56" s="92" t="s">
        <v>71</v>
      </c>
      <c r="I56" s="91"/>
      <c r="J56" s="91" t="s">
        <v>103</v>
      </c>
      <c r="K56" s="94" t="s">
        <v>71</v>
      </c>
      <c r="L56" s="4"/>
      <c r="M56" s="4" t="s">
        <v>72</v>
      </c>
      <c r="N56" s="91" t="s">
        <v>78</v>
      </c>
    </row>
    <row r="57" spans="1:14" ht="38.25" x14ac:dyDescent="0.2">
      <c r="A57" s="97"/>
      <c r="B57" s="36"/>
      <c r="C57" s="24" t="s">
        <v>13</v>
      </c>
      <c r="D57" s="32" t="s">
        <v>77</v>
      </c>
      <c r="E57" s="32" t="s">
        <v>77</v>
      </c>
      <c r="F57" s="103">
        <f>F27</f>
        <v>14.66</v>
      </c>
      <c r="H57" s="24" t="s">
        <v>13</v>
      </c>
      <c r="I57" s="32" t="s">
        <v>77</v>
      </c>
      <c r="J57" s="32" t="s">
        <v>77</v>
      </c>
      <c r="K57" s="66">
        <f>K27</f>
        <v>14.66</v>
      </c>
      <c r="L57" s="66"/>
      <c r="M57" s="66"/>
    </row>
    <row r="58" spans="1:14" ht="25.5" x14ac:dyDescent="0.2">
      <c r="C58" s="24" t="s">
        <v>210</v>
      </c>
      <c r="D58">
        <v>750</v>
      </c>
      <c r="E58" s="85">
        <f>E28</f>
        <v>7.7999999999999996E-3</v>
      </c>
      <c r="F58" s="66">
        <f>D58*E58</f>
        <v>5.85</v>
      </c>
      <c r="H58" s="24" t="s">
        <v>210</v>
      </c>
      <c r="I58">
        <f>D58</f>
        <v>750</v>
      </c>
      <c r="J58" s="105">
        <f>J28</f>
        <v>7.9885402519283086E-3</v>
      </c>
      <c r="K58" s="66">
        <f>I58*J58</f>
        <v>5.9914051889462314</v>
      </c>
      <c r="L58" s="66"/>
      <c r="M58" s="66"/>
    </row>
    <row r="59" spans="1:14" ht="26.25" customHeight="1" x14ac:dyDescent="0.2">
      <c r="C59" s="24" t="s">
        <v>211</v>
      </c>
      <c r="D59">
        <v>750</v>
      </c>
      <c r="E59" s="85">
        <f>E29</f>
        <v>2.3900000000000001E-2</v>
      </c>
      <c r="F59" s="66">
        <f>D59*E59</f>
        <v>17.925000000000001</v>
      </c>
      <c r="H59" s="24" t="s">
        <v>211</v>
      </c>
      <c r="I59">
        <v>750</v>
      </c>
      <c r="J59" s="105">
        <f>E59</f>
        <v>2.3900000000000001E-2</v>
      </c>
      <c r="K59" s="66">
        <f>I59*J59</f>
        <v>17.925000000000001</v>
      </c>
      <c r="L59" s="66"/>
      <c r="M59" s="66"/>
    </row>
    <row r="60" spans="1:14" ht="26.25" customHeight="1" x14ac:dyDescent="0.2">
      <c r="C60" s="24" t="s">
        <v>217</v>
      </c>
      <c r="D60">
        <f>D58</f>
        <v>750</v>
      </c>
      <c r="E60" s="85">
        <f>E30</f>
        <v>4.2999999999999997E-2</v>
      </c>
      <c r="F60" s="66">
        <f>D60*E60</f>
        <v>32.25</v>
      </c>
      <c r="H60" s="24" t="s">
        <v>217</v>
      </c>
      <c r="I60">
        <f>D60</f>
        <v>750</v>
      </c>
      <c r="J60" s="105">
        <f>J30</f>
        <v>4.7E-2</v>
      </c>
      <c r="K60" s="66">
        <f>I60*J60</f>
        <v>35.25</v>
      </c>
      <c r="L60" s="66"/>
      <c r="M60" s="66"/>
    </row>
    <row r="61" spans="1:14" x14ac:dyDescent="0.2">
      <c r="C61" s="6"/>
      <c r="H61" s="6"/>
      <c r="J61" s="105"/>
    </row>
    <row r="62" spans="1:14" x14ac:dyDescent="0.2">
      <c r="C62" t="s">
        <v>208</v>
      </c>
      <c r="F62" s="106">
        <f>SUM(F57:F60)</f>
        <v>70.685000000000002</v>
      </c>
      <c r="H62" t="s">
        <v>213</v>
      </c>
      <c r="K62" s="106">
        <f>SUM(K57:K60)</f>
        <v>73.826405188946239</v>
      </c>
      <c r="L62" s="66"/>
      <c r="M62" s="66">
        <f>K62-F62</f>
        <v>3.1414051889462371</v>
      </c>
      <c r="N62" s="89">
        <f>K62/F62-1</f>
        <v>4.4442317166955236E-2</v>
      </c>
    </row>
    <row r="63" spans="1:14" x14ac:dyDescent="0.2">
      <c r="F63" s="76"/>
      <c r="K63" s="76"/>
      <c r="L63" s="66"/>
      <c r="M63" s="66"/>
      <c r="N63" s="95"/>
    </row>
    <row r="64" spans="1:14" x14ac:dyDescent="0.2">
      <c r="F64" s="66"/>
      <c r="J64" s="105"/>
      <c r="K64" s="66"/>
      <c r="L64" s="66"/>
      <c r="M64" s="66"/>
    </row>
    <row r="65" spans="1:14" ht="15" x14ac:dyDescent="0.25">
      <c r="A65" s="98" t="s">
        <v>85</v>
      </c>
      <c r="B65" s="4"/>
      <c r="D65" s="91" t="s">
        <v>41</v>
      </c>
      <c r="E65" s="91" t="s">
        <v>68</v>
      </c>
      <c r="F65" s="92" t="s">
        <v>69</v>
      </c>
      <c r="I65" s="91" t="s">
        <v>41</v>
      </c>
      <c r="J65" s="91" t="s">
        <v>68</v>
      </c>
      <c r="K65" s="94" t="s">
        <v>69</v>
      </c>
      <c r="L65" s="4"/>
      <c r="M65" s="4" t="s">
        <v>70</v>
      </c>
      <c r="N65" s="4" t="s">
        <v>70</v>
      </c>
    </row>
    <row r="66" spans="1:14" x14ac:dyDescent="0.2">
      <c r="A66" s="4" t="s">
        <v>90</v>
      </c>
      <c r="D66" s="93" t="s">
        <v>76</v>
      </c>
      <c r="E66" s="91" t="s">
        <v>103</v>
      </c>
      <c r="F66" s="92" t="s">
        <v>71</v>
      </c>
      <c r="I66" s="91"/>
      <c r="J66" s="91" t="s">
        <v>103</v>
      </c>
      <c r="K66" s="94" t="s">
        <v>71</v>
      </c>
      <c r="L66" s="4"/>
      <c r="M66" s="4" t="s">
        <v>72</v>
      </c>
      <c r="N66" s="91" t="s">
        <v>78</v>
      </c>
    </row>
    <row r="67" spans="1:14" ht="38.25" x14ac:dyDescent="0.2">
      <c r="A67" s="97"/>
      <c r="B67" s="36"/>
      <c r="C67" s="24" t="s">
        <v>13</v>
      </c>
      <c r="D67" s="32" t="s">
        <v>77</v>
      </c>
      <c r="E67" s="32" t="s">
        <v>77</v>
      </c>
      <c r="F67" s="103">
        <f>F27</f>
        <v>14.66</v>
      </c>
      <c r="H67" s="24" t="s">
        <v>13</v>
      </c>
      <c r="I67" s="32" t="s">
        <v>77</v>
      </c>
      <c r="J67" s="32" t="s">
        <v>77</v>
      </c>
      <c r="K67" s="66">
        <f>K27</f>
        <v>14.66</v>
      </c>
      <c r="L67" s="66"/>
      <c r="M67" s="66"/>
    </row>
    <row r="68" spans="1:14" ht="25.5" x14ac:dyDescent="0.2">
      <c r="C68" s="24" t="s">
        <v>210</v>
      </c>
      <c r="D68">
        <v>1000</v>
      </c>
      <c r="E68" s="85">
        <f>E28</f>
        <v>7.7999999999999996E-3</v>
      </c>
      <c r="F68" s="66">
        <f>D68*E68</f>
        <v>7.8</v>
      </c>
      <c r="H68" s="24" t="s">
        <v>210</v>
      </c>
      <c r="I68">
        <f>D68</f>
        <v>1000</v>
      </c>
      <c r="J68" s="105">
        <f>J28</f>
        <v>7.9885402519283086E-3</v>
      </c>
      <c r="K68" s="66">
        <f>I68*J68</f>
        <v>7.9885402519283089</v>
      </c>
      <c r="L68" s="66"/>
      <c r="M68" s="66"/>
    </row>
    <row r="69" spans="1:14" ht="25.5" customHeight="1" x14ac:dyDescent="0.2">
      <c r="C69" s="24" t="s">
        <v>211</v>
      </c>
      <c r="D69">
        <v>1000</v>
      </c>
      <c r="E69" s="85">
        <f>E29</f>
        <v>2.3900000000000001E-2</v>
      </c>
      <c r="F69" s="66">
        <f>D69*E69</f>
        <v>23.900000000000002</v>
      </c>
      <c r="H69" s="24" t="s">
        <v>211</v>
      </c>
      <c r="I69">
        <v>1000</v>
      </c>
      <c r="J69" s="104">
        <f>E69</f>
        <v>2.3900000000000001E-2</v>
      </c>
      <c r="K69" s="66">
        <f>I69*J69</f>
        <v>23.900000000000002</v>
      </c>
      <c r="L69" s="66"/>
      <c r="M69" s="66"/>
    </row>
    <row r="70" spans="1:14" ht="26.25" customHeight="1" x14ac:dyDescent="0.2">
      <c r="C70" s="24" t="s">
        <v>217</v>
      </c>
      <c r="D70">
        <f>D68</f>
        <v>1000</v>
      </c>
      <c r="E70" s="85">
        <f>E30</f>
        <v>4.2999999999999997E-2</v>
      </c>
      <c r="F70" s="66">
        <f>D70*E70</f>
        <v>43</v>
      </c>
      <c r="H70" s="24" t="s">
        <v>217</v>
      </c>
      <c r="I70">
        <v>750</v>
      </c>
      <c r="J70" s="105">
        <f>J30</f>
        <v>4.7E-2</v>
      </c>
      <c r="K70" s="66">
        <f>I70*J70</f>
        <v>35.25</v>
      </c>
      <c r="L70" s="66"/>
      <c r="M70" s="66"/>
    </row>
    <row r="71" spans="1:14" ht="26.25" customHeight="1" x14ac:dyDescent="0.2">
      <c r="C71" s="6"/>
      <c r="H71" s="24" t="s">
        <v>217</v>
      </c>
      <c r="I71">
        <v>250</v>
      </c>
      <c r="J71" s="105">
        <v>5.5E-2</v>
      </c>
      <c r="K71" s="66">
        <f>I71*J71</f>
        <v>13.75</v>
      </c>
    </row>
    <row r="72" spans="1:14" ht="11.25" customHeight="1" x14ac:dyDescent="0.2">
      <c r="C72" s="6"/>
      <c r="H72" s="24"/>
      <c r="J72" s="105"/>
      <c r="K72" s="66"/>
    </row>
    <row r="73" spans="1:14" x14ac:dyDescent="0.2">
      <c r="C73" t="s">
        <v>208</v>
      </c>
      <c r="F73" s="106">
        <f>SUM(F67:F70)</f>
        <v>89.36</v>
      </c>
      <c r="H73" t="s">
        <v>213</v>
      </c>
      <c r="K73" s="106">
        <f>SUM(K67:K71)</f>
        <v>95.548540251928316</v>
      </c>
      <c r="L73" s="66"/>
      <c r="M73" s="66">
        <f>K73-F73</f>
        <v>6.1885402519283161</v>
      </c>
      <c r="N73" s="89">
        <f>K73/F73-1</f>
        <v>6.9254031467416155E-2</v>
      </c>
    </row>
    <row r="74" spans="1:14" x14ac:dyDescent="0.2">
      <c r="F74" s="76"/>
      <c r="K74" s="76"/>
      <c r="L74" s="66"/>
      <c r="M74" s="66"/>
      <c r="N74" s="95"/>
    </row>
    <row r="75" spans="1:14" x14ac:dyDescent="0.2">
      <c r="F75" s="66"/>
      <c r="J75" s="105"/>
      <c r="K75" s="66"/>
      <c r="L75" s="66"/>
      <c r="M75" s="66"/>
    </row>
    <row r="76" spans="1:14" ht="15" x14ac:dyDescent="0.25">
      <c r="A76" s="98" t="s">
        <v>85</v>
      </c>
      <c r="B76" s="4"/>
      <c r="D76" s="91" t="s">
        <v>41</v>
      </c>
      <c r="E76" s="91" t="s">
        <v>68</v>
      </c>
      <c r="F76" s="92" t="s">
        <v>69</v>
      </c>
      <c r="I76" s="91" t="s">
        <v>41</v>
      </c>
      <c r="J76" s="91" t="s">
        <v>68</v>
      </c>
      <c r="K76" s="94" t="s">
        <v>69</v>
      </c>
      <c r="L76" s="4"/>
      <c r="M76" s="4" t="s">
        <v>70</v>
      </c>
      <c r="N76" s="4" t="s">
        <v>70</v>
      </c>
    </row>
    <row r="77" spans="1:14" x14ac:dyDescent="0.2">
      <c r="A77" s="4" t="s">
        <v>91</v>
      </c>
      <c r="D77" s="93" t="s">
        <v>76</v>
      </c>
      <c r="E77" s="91" t="s">
        <v>103</v>
      </c>
      <c r="F77" s="92" t="s">
        <v>71</v>
      </c>
      <c r="I77" s="91"/>
      <c r="J77" s="91" t="s">
        <v>103</v>
      </c>
      <c r="K77" s="94" t="s">
        <v>71</v>
      </c>
      <c r="L77" s="4"/>
      <c r="M77" s="4" t="s">
        <v>72</v>
      </c>
      <c r="N77" s="91" t="s">
        <v>78</v>
      </c>
    </row>
    <row r="78" spans="1:14" ht="38.25" x14ac:dyDescent="0.2">
      <c r="A78" s="97"/>
      <c r="B78" s="36"/>
      <c r="C78" s="24" t="s">
        <v>13</v>
      </c>
      <c r="D78" s="32" t="s">
        <v>77</v>
      </c>
      <c r="E78" s="32" t="s">
        <v>77</v>
      </c>
      <c r="F78" s="103">
        <f>F27</f>
        <v>14.66</v>
      </c>
      <c r="H78" s="24" t="s">
        <v>13</v>
      </c>
      <c r="I78" s="32" t="s">
        <v>77</v>
      </c>
      <c r="J78" s="32" t="s">
        <v>77</v>
      </c>
      <c r="K78" s="66">
        <f>K27</f>
        <v>14.66</v>
      </c>
      <c r="L78" s="66"/>
      <c r="M78" s="66"/>
    </row>
    <row r="79" spans="1:14" ht="25.5" x14ac:dyDescent="0.2">
      <c r="C79" s="24" t="s">
        <v>210</v>
      </c>
      <c r="D79">
        <v>1500</v>
      </c>
      <c r="E79" s="85">
        <f>E28</f>
        <v>7.7999999999999996E-3</v>
      </c>
      <c r="F79" s="66">
        <f>D79*E79</f>
        <v>11.7</v>
      </c>
      <c r="H79" s="24" t="s">
        <v>210</v>
      </c>
      <c r="I79">
        <f>D79</f>
        <v>1500</v>
      </c>
      <c r="J79" s="105">
        <f>J28</f>
        <v>7.9885402519283086E-3</v>
      </c>
      <c r="K79" s="66">
        <f>I79*J79</f>
        <v>11.982810377892463</v>
      </c>
      <c r="L79" s="66"/>
      <c r="M79" s="66"/>
    </row>
    <row r="80" spans="1:14" ht="27.75" customHeight="1" x14ac:dyDescent="0.2">
      <c r="C80" s="24" t="s">
        <v>211</v>
      </c>
      <c r="D80">
        <v>1500</v>
      </c>
      <c r="E80" s="85">
        <f>E29</f>
        <v>2.3900000000000001E-2</v>
      </c>
      <c r="F80" s="66">
        <f>D80*E80</f>
        <v>35.85</v>
      </c>
      <c r="H80" s="24" t="s">
        <v>211</v>
      </c>
      <c r="I80">
        <f>D80</f>
        <v>1500</v>
      </c>
      <c r="J80" s="105">
        <f>E80</f>
        <v>2.3900000000000001E-2</v>
      </c>
      <c r="K80" s="66">
        <f>I80*J80</f>
        <v>35.85</v>
      </c>
      <c r="L80" s="66"/>
      <c r="M80" s="66"/>
    </row>
    <row r="81" spans="1:14" ht="27.75" customHeight="1" x14ac:dyDescent="0.2">
      <c r="C81" s="24" t="s">
        <v>217</v>
      </c>
      <c r="D81">
        <f>D79</f>
        <v>1500</v>
      </c>
      <c r="E81" s="85">
        <f>E30</f>
        <v>4.2999999999999997E-2</v>
      </c>
      <c r="F81" s="66">
        <f>D81*E81</f>
        <v>64.5</v>
      </c>
      <c r="H81" s="24" t="s">
        <v>217</v>
      </c>
      <c r="I81">
        <v>750</v>
      </c>
      <c r="J81" s="105">
        <f>J30</f>
        <v>4.7E-2</v>
      </c>
      <c r="K81" s="66">
        <f>I81*J81</f>
        <v>35.25</v>
      </c>
      <c r="L81" s="66"/>
      <c r="M81" s="66"/>
    </row>
    <row r="82" spans="1:14" ht="25.5" customHeight="1" x14ac:dyDescent="0.2">
      <c r="C82" s="24"/>
      <c r="E82" s="85"/>
      <c r="F82" s="66"/>
      <c r="H82" s="24" t="s">
        <v>217</v>
      </c>
      <c r="I82">
        <v>750</v>
      </c>
      <c r="J82" s="105">
        <f>J71</f>
        <v>5.5E-2</v>
      </c>
      <c r="K82" s="66">
        <f>I82*J82</f>
        <v>41.25</v>
      </c>
      <c r="L82" s="66"/>
      <c r="M82" s="66"/>
    </row>
    <row r="83" spans="1:14" x14ac:dyDescent="0.2">
      <c r="C83" s="6"/>
      <c r="H83" s="6"/>
      <c r="J83" s="105"/>
    </row>
    <row r="84" spans="1:14" x14ac:dyDescent="0.2">
      <c r="C84" t="s">
        <v>208</v>
      </c>
      <c r="F84" s="106">
        <f>SUM(F78:F81)</f>
        <v>126.71000000000001</v>
      </c>
      <c r="H84" t="s">
        <v>213</v>
      </c>
      <c r="K84" s="106">
        <f>SUM(K78:K82)</f>
        <v>138.99281037789245</v>
      </c>
      <c r="L84" s="66"/>
      <c r="M84" s="66">
        <f>K84-F84</f>
        <v>12.282810377892446</v>
      </c>
      <c r="N84" s="89">
        <f>K84/F84-1</f>
        <v>9.6936393164647194E-2</v>
      </c>
    </row>
    <row r="85" spans="1:14" x14ac:dyDescent="0.2">
      <c r="F85" s="76"/>
      <c r="K85" s="76"/>
      <c r="L85" s="66"/>
      <c r="M85" s="66"/>
      <c r="N85" s="95"/>
    </row>
    <row r="86" spans="1:14" x14ac:dyDescent="0.2">
      <c r="F86" s="66"/>
      <c r="J86" s="105"/>
      <c r="K86" s="66"/>
      <c r="L86" s="66"/>
      <c r="M86" s="66"/>
    </row>
    <row r="87" spans="1:14" ht="15" x14ac:dyDescent="0.25">
      <c r="A87" s="98" t="s">
        <v>85</v>
      </c>
      <c r="B87" s="4"/>
      <c r="D87" s="91" t="s">
        <v>41</v>
      </c>
      <c r="E87" s="91" t="s">
        <v>68</v>
      </c>
      <c r="F87" s="92" t="s">
        <v>69</v>
      </c>
      <c r="I87" s="91" t="s">
        <v>41</v>
      </c>
      <c r="J87" s="91" t="s">
        <v>68</v>
      </c>
      <c r="K87" s="94" t="s">
        <v>69</v>
      </c>
      <c r="L87" s="4"/>
      <c r="M87" s="4" t="s">
        <v>70</v>
      </c>
      <c r="N87" s="4" t="s">
        <v>70</v>
      </c>
    </row>
    <row r="88" spans="1:14" x14ac:dyDescent="0.2">
      <c r="A88" s="4" t="s">
        <v>92</v>
      </c>
      <c r="D88" s="93" t="s">
        <v>76</v>
      </c>
      <c r="E88" s="91" t="s">
        <v>103</v>
      </c>
      <c r="F88" s="92" t="s">
        <v>71</v>
      </c>
      <c r="I88" s="91"/>
      <c r="J88" s="91" t="s">
        <v>103</v>
      </c>
      <c r="K88" s="94" t="s">
        <v>71</v>
      </c>
      <c r="L88" s="4"/>
      <c r="M88" s="4" t="s">
        <v>72</v>
      </c>
      <c r="N88" s="91" t="s">
        <v>78</v>
      </c>
    </row>
    <row r="89" spans="1:14" ht="38.25" x14ac:dyDescent="0.2">
      <c r="A89" s="97"/>
      <c r="B89" s="36"/>
      <c r="C89" s="24" t="s">
        <v>13</v>
      </c>
      <c r="D89" s="32" t="s">
        <v>77</v>
      </c>
      <c r="E89" s="32" t="s">
        <v>77</v>
      </c>
      <c r="F89" s="103">
        <f>F27</f>
        <v>14.66</v>
      </c>
      <c r="H89" s="24" t="s">
        <v>13</v>
      </c>
      <c r="I89" s="32" t="s">
        <v>77</v>
      </c>
      <c r="J89" s="32" t="s">
        <v>77</v>
      </c>
      <c r="K89" s="66">
        <f>K27</f>
        <v>14.66</v>
      </c>
      <c r="L89" s="66"/>
      <c r="M89" s="66"/>
    </row>
    <row r="90" spans="1:14" ht="28.5" customHeight="1" x14ac:dyDescent="0.2">
      <c r="C90" s="24" t="s">
        <v>210</v>
      </c>
      <c r="D90">
        <v>2000</v>
      </c>
      <c r="E90" s="85">
        <f>E28</f>
        <v>7.7999999999999996E-3</v>
      </c>
      <c r="F90" s="66">
        <f>D90*E90</f>
        <v>15.6</v>
      </c>
      <c r="H90" s="24" t="s">
        <v>210</v>
      </c>
      <c r="I90">
        <f>D90</f>
        <v>2000</v>
      </c>
      <c r="J90" s="105">
        <f>J28</f>
        <v>7.9885402519283086E-3</v>
      </c>
      <c r="K90" s="66">
        <f>I90*J90</f>
        <v>15.977080503856618</v>
      </c>
      <c r="L90" s="66"/>
      <c r="M90" s="66"/>
    </row>
    <row r="91" spans="1:14" ht="24.75" customHeight="1" x14ac:dyDescent="0.2">
      <c r="C91" s="24" t="s">
        <v>211</v>
      </c>
      <c r="D91">
        <v>2000</v>
      </c>
      <c r="E91" s="85">
        <f>E29</f>
        <v>2.3900000000000001E-2</v>
      </c>
      <c r="F91" s="66">
        <f>D91*E91</f>
        <v>47.800000000000004</v>
      </c>
      <c r="H91" s="24" t="s">
        <v>211</v>
      </c>
      <c r="I91">
        <f>D91</f>
        <v>2000</v>
      </c>
      <c r="J91" s="105">
        <f>E91</f>
        <v>2.3900000000000001E-2</v>
      </c>
      <c r="K91" s="66">
        <f>I91*J91</f>
        <v>47.800000000000004</v>
      </c>
      <c r="L91" s="66"/>
      <c r="M91" s="66"/>
    </row>
    <row r="92" spans="1:14" ht="27" customHeight="1" x14ac:dyDescent="0.2">
      <c r="C92" s="24" t="s">
        <v>217</v>
      </c>
      <c r="D92">
        <f>D90</f>
        <v>2000</v>
      </c>
      <c r="E92" s="85">
        <f>E30</f>
        <v>4.2999999999999997E-2</v>
      </c>
      <c r="F92" s="66">
        <f>D92*E92</f>
        <v>86</v>
      </c>
      <c r="H92" s="24" t="s">
        <v>217</v>
      </c>
      <c r="I92">
        <v>750</v>
      </c>
      <c r="J92" s="105">
        <f>J81</f>
        <v>4.7E-2</v>
      </c>
      <c r="K92" s="66">
        <f>I92*J92</f>
        <v>35.25</v>
      </c>
      <c r="L92" s="66"/>
      <c r="M92" s="66"/>
    </row>
    <row r="93" spans="1:14" ht="29.25" customHeight="1" x14ac:dyDescent="0.2">
      <c r="C93" s="24"/>
      <c r="E93" s="85"/>
      <c r="F93" s="66"/>
      <c r="H93" s="24" t="s">
        <v>217</v>
      </c>
      <c r="I93">
        <v>1250</v>
      </c>
      <c r="J93" s="105">
        <f>J71</f>
        <v>5.5E-2</v>
      </c>
      <c r="K93" s="66">
        <f>I93*J93</f>
        <v>68.75</v>
      </c>
      <c r="L93" s="66"/>
      <c r="M93" s="66"/>
    </row>
    <row r="94" spans="1:14" ht="13.5" customHeight="1" x14ac:dyDescent="0.2">
      <c r="C94" s="6"/>
      <c r="H94" s="6"/>
      <c r="J94" s="105"/>
    </row>
    <row r="95" spans="1:14" x14ac:dyDescent="0.2">
      <c r="C95" t="s">
        <v>208</v>
      </c>
      <c r="F95" s="106">
        <f>SUM(F89:F92)</f>
        <v>164.06</v>
      </c>
      <c r="H95" t="s">
        <v>213</v>
      </c>
      <c r="K95" s="106">
        <f>SUM(K89:K93)</f>
        <v>182.43708050385663</v>
      </c>
      <c r="L95" s="66"/>
      <c r="M95" s="66">
        <f>K95-F95</f>
        <v>18.377080503856632</v>
      </c>
      <c r="N95" s="89">
        <f>K95/F95-1</f>
        <v>0.11201438805227748</v>
      </c>
    </row>
    <row r="96" spans="1:14" x14ac:dyDescent="0.2">
      <c r="F96" s="66"/>
      <c r="J96" s="105"/>
      <c r="K96" s="66"/>
      <c r="L96" s="66"/>
      <c r="M96" s="66"/>
    </row>
    <row r="97" spans="1:15" ht="13.5" thickBot="1" x14ac:dyDescent="0.25">
      <c r="A97" s="118"/>
      <c r="B97" s="118"/>
      <c r="C97" s="118"/>
      <c r="D97" s="118"/>
      <c r="E97" s="118"/>
      <c r="F97" s="127"/>
      <c r="G97" s="118"/>
      <c r="H97" s="118"/>
      <c r="I97" s="118"/>
      <c r="J97" s="128"/>
      <c r="K97" s="127"/>
      <c r="L97" s="127"/>
      <c r="M97" s="127"/>
      <c r="N97" s="118"/>
    </row>
    <row r="98" spans="1:15" x14ac:dyDescent="0.2">
      <c r="F98" s="66"/>
      <c r="J98" s="105"/>
      <c r="K98" s="66"/>
      <c r="L98" s="66"/>
      <c r="M98" s="66"/>
    </row>
    <row r="99" spans="1:15" ht="15.75" x14ac:dyDescent="0.25">
      <c r="A99" s="61" t="s">
        <v>10</v>
      </c>
      <c r="B99" s="61"/>
      <c r="D99" s="36"/>
      <c r="F99" s="66"/>
      <c r="J99" s="105"/>
      <c r="K99" s="66"/>
      <c r="L99" s="66"/>
      <c r="M99" s="66"/>
    </row>
    <row r="100" spans="1:15" ht="15.75" x14ac:dyDescent="0.25">
      <c r="A100" s="61"/>
      <c r="B100" s="61"/>
      <c r="D100" s="36"/>
      <c r="F100" s="66"/>
      <c r="J100" s="105"/>
      <c r="K100" s="66"/>
      <c r="L100" s="66"/>
      <c r="M100" s="66"/>
    </row>
    <row r="101" spans="1:15" ht="15.75" x14ac:dyDescent="0.25">
      <c r="A101" s="125" t="s">
        <v>218</v>
      </c>
      <c r="B101" s="61"/>
      <c r="D101" s="36"/>
      <c r="F101" s="66"/>
      <c r="J101" s="105"/>
      <c r="K101" s="66"/>
      <c r="L101" s="66"/>
      <c r="M101" s="66"/>
    </row>
    <row r="102" spans="1:15" ht="15.75" x14ac:dyDescent="0.25">
      <c r="A102" s="125" t="s">
        <v>219</v>
      </c>
      <c r="B102" s="61"/>
      <c r="D102" s="36"/>
      <c r="F102" s="66"/>
      <c r="J102" s="105"/>
      <c r="K102" s="66"/>
      <c r="L102" s="66"/>
      <c r="M102" s="66"/>
    </row>
    <row r="103" spans="1:15" ht="15.75" x14ac:dyDescent="0.25">
      <c r="A103" s="125" t="s">
        <v>224</v>
      </c>
      <c r="B103" s="61"/>
      <c r="D103" s="36"/>
      <c r="F103" s="66"/>
      <c r="J103" s="105"/>
      <c r="K103" s="66"/>
      <c r="L103" s="66"/>
      <c r="M103" s="66"/>
    </row>
    <row r="104" spans="1:15" ht="15.75" x14ac:dyDescent="0.25">
      <c r="A104" s="125"/>
      <c r="B104" s="61"/>
      <c r="D104" s="36"/>
      <c r="F104" s="66"/>
      <c r="J104" s="105"/>
      <c r="K104" s="66"/>
      <c r="L104" s="66"/>
      <c r="M104" s="66"/>
    </row>
    <row r="105" spans="1:15" ht="15" x14ac:dyDescent="0.25">
      <c r="C105" s="96" t="s">
        <v>208</v>
      </c>
      <c r="D105" s="47"/>
      <c r="E105" s="47"/>
      <c r="F105" s="47"/>
      <c r="H105" s="96" t="s">
        <v>215</v>
      </c>
      <c r="I105" s="47"/>
      <c r="J105" s="47"/>
      <c r="K105" s="90"/>
      <c r="L105" s="47"/>
      <c r="M105" s="47"/>
      <c r="N105" s="47"/>
      <c r="O105" s="36"/>
    </row>
    <row r="106" spans="1:15" ht="15" x14ac:dyDescent="0.25">
      <c r="A106" s="98" t="s">
        <v>85</v>
      </c>
      <c r="B106" s="4"/>
      <c r="D106" s="91" t="s">
        <v>41</v>
      </c>
      <c r="E106" s="91" t="s">
        <v>68</v>
      </c>
      <c r="F106" s="92" t="s">
        <v>69</v>
      </c>
      <c r="I106" s="91" t="s">
        <v>41</v>
      </c>
      <c r="J106" s="91" t="s">
        <v>68</v>
      </c>
      <c r="K106" s="94" t="s">
        <v>69</v>
      </c>
      <c r="L106" s="4"/>
      <c r="M106" s="4" t="s">
        <v>70</v>
      </c>
      <c r="N106" s="4" t="s">
        <v>70</v>
      </c>
    </row>
    <row r="107" spans="1:15" x14ac:dyDescent="0.2">
      <c r="A107" s="4" t="s">
        <v>90</v>
      </c>
      <c r="D107" s="93" t="s">
        <v>76</v>
      </c>
      <c r="E107" s="91" t="s">
        <v>103</v>
      </c>
      <c r="F107" s="92" t="s">
        <v>71</v>
      </c>
      <c r="I107" s="91"/>
      <c r="J107" s="91" t="s">
        <v>103</v>
      </c>
      <c r="K107" s="94" t="s">
        <v>71</v>
      </c>
      <c r="L107" s="4"/>
      <c r="M107" s="4" t="s">
        <v>72</v>
      </c>
      <c r="N107" s="91" t="s">
        <v>78</v>
      </c>
    </row>
    <row r="108" spans="1:15" ht="38.25" x14ac:dyDescent="0.2">
      <c r="A108" s="97"/>
      <c r="B108" s="36"/>
      <c r="C108" s="24" t="s">
        <v>13</v>
      </c>
      <c r="D108" s="32" t="s">
        <v>77</v>
      </c>
      <c r="E108" s="32" t="s">
        <v>77</v>
      </c>
      <c r="F108" s="203">
        <f>'11.Bill Impact (no commod. in.)'!F109</f>
        <v>15.14</v>
      </c>
      <c r="H108" s="24" t="s">
        <v>13</v>
      </c>
      <c r="I108" s="32" t="s">
        <v>77</v>
      </c>
      <c r="J108" s="32" t="s">
        <v>77</v>
      </c>
      <c r="K108" s="66">
        <f>'10. 2004 Rate Schedule '!F16</f>
        <v>15.14</v>
      </c>
      <c r="L108" s="66"/>
      <c r="M108" s="66"/>
    </row>
    <row r="109" spans="1:15" ht="25.5" x14ac:dyDescent="0.2">
      <c r="C109" s="24" t="s">
        <v>210</v>
      </c>
      <c r="D109">
        <v>1000</v>
      </c>
      <c r="E109" s="204">
        <f>'11.Bill Impact (no commod. in.)'!E110</f>
        <v>2.3E-3</v>
      </c>
      <c r="F109" s="66">
        <f>D109*E109</f>
        <v>2.2999999999999998</v>
      </c>
      <c r="H109" s="24" t="s">
        <v>210</v>
      </c>
      <c r="I109">
        <f>D109</f>
        <v>1000</v>
      </c>
      <c r="J109" s="104">
        <f>'10. 2004 Rate Schedule '!F17</f>
        <v>2.2018931206899033E-3</v>
      </c>
      <c r="K109" s="66">
        <f>I109*J109</f>
        <v>2.2018931206899035</v>
      </c>
      <c r="L109" s="66"/>
      <c r="M109" s="66"/>
    </row>
    <row r="110" spans="1:15" ht="25.5" x14ac:dyDescent="0.2">
      <c r="C110" s="24" t="s">
        <v>211</v>
      </c>
      <c r="D110">
        <v>1000</v>
      </c>
      <c r="E110" s="85">
        <v>2.29E-2</v>
      </c>
      <c r="F110" s="66">
        <f>D110*E110</f>
        <v>22.9</v>
      </c>
      <c r="H110" s="24" t="s">
        <v>211</v>
      </c>
      <c r="I110">
        <v>1000</v>
      </c>
      <c r="J110" s="105">
        <f>E110</f>
        <v>2.29E-2</v>
      </c>
      <c r="K110" s="66">
        <f>I110*J110</f>
        <v>22.9</v>
      </c>
      <c r="L110" s="66"/>
      <c r="M110" s="66"/>
    </row>
    <row r="111" spans="1:15" ht="25.5" x14ac:dyDescent="0.2">
      <c r="C111" s="24" t="s">
        <v>217</v>
      </c>
      <c r="D111">
        <f>D109</f>
        <v>1000</v>
      </c>
      <c r="E111" s="85">
        <v>4.2999999999999997E-2</v>
      </c>
      <c r="F111" s="66">
        <f>D111*E111</f>
        <v>43</v>
      </c>
      <c r="H111" s="24" t="s">
        <v>217</v>
      </c>
      <c r="I111">
        <v>750</v>
      </c>
      <c r="J111" s="105">
        <v>4.7E-2</v>
      </c>
      <c r="K111" s="66">
        <f>I111*J111</f>
        <v>35.25</v>
      </c>
      <c r="L111" s="66"/>
      <c r="M111" s="66"/>
    </row>
    <row r="112" spans="1:15" ht="25.5" x14ac:dyDescent="0.2">
      <c r="C112" s="6"/>
      <c r="H112" s="24" t="s">
        <v>217</v>
      </c>
      <c r="I112">
        <f>I110-I111</f>
        <v>250</v>
      </c>
      <c r="J112" s="105">
        <v>5.5E-2</v>
      </c>
      <c r="K112" s="66">
        <f>I112*J112</f>
        <v>13.75</v>
      </c>
    </row>
    <row r="113" spans="1:14" x14ac:dyDescent="0.2">
      <c r="C113" s="6"/>
      <c r="H113" s="24"/>
      <c r="J113" s="105"/>
      <c r="K113" s="66"/>
    </row>
    <row r="114" spans="1:14" x14ac:dyDescent="0.2">
      <c r="C114" t="s">
        <v>208</v>
      </c>
      <c r="F114" s="106">
        <f>SUM(F108:F111)</f>
        <v>83.34</v>
      </c>
      <c r="H114" t="s">
        <v>213</v>
      </c>
      <c r="K114" s="106">
        <f>SUM(K108:K112)</f>
        <v>89.241893120689895</v>
      </c>
      <c r="L114" s="66"/>
      <c r="M114" s="66">
        <f>K114-F114</f>
        <v>5.9018931206898912</v>
      </c>
      <c r="N114" s="89">
        <f>K114/F114-1</f>
        <v>7.0817052084112042E-2</v>
      </c>
    </row>
    <row r="115" spans="1:14" x14ac:dyDescent="0.2">
      <c r="F115" s="76"/>
      <c r="K115" s="76"/>
      <c r="L115" s="66"/>
      <c r="M115" s="66"/>
      <c r="N115" s="95"/>
    </row>
    <row r="116" spans="1:14" x14ac:dyDescent="0.2">
      <c r="F116" s="66"/>
      <c r="J116" s="105"/>
      <c r="K116" s="66"/>
      <c r="L116" s="66"/>
      <c r="M116" s="66"/>
    </row>
    <row r="117" spans="1:14" ht="15" x14ac:dyDescent="0.25">
      <c r="A117" s="98" t="s">
        <v>85</v>
      </c>
      <c r="B117" s="4"/>
      <c r="D117" s="91" t="s">
        <v>41</v>
      </c>
      <c r="E117" s="91" t="s">
        <v>68</v>
      </c>
      <c r="F117" s="92" t="s">
        <v>69</v>
      </c>
      <c r="I117" s="91" t="s">
        <v>41</v>
      </c>
      <c r="J117" s="91" t="s">
        <v>68</v>
      </c>
      <c r="K117" s="94" t="s">
        <v>69</v>
      </c>
      <c r="L117" s="4"/>
      <c r="M117" s="4" t="s">
        <v>70</v>
      </c>
      <c r="N117" s="4" t="s">
        <v>70</v>
      </c>
    </row>
    <row r="118" spans="1:14" x14ac:dyDescent="0.2">
      <c r="A118" s="4" t="s">
        <v>92</v>
      </c>
      <c r="D118" s="93" t="s">
        <v>76</v>
      </c>
      <c r="E118" s="91" t="s">
        <v>103</v>
      </c>
      <c r="F118" s="92" t="s">
        <v>71</v>
      </c>
      <c r="I118" s="91"/>
      <c r="J118" s="91" t="s">
        <v>103</v>
      </c>
      <c r="K118" s="94" t="s">
        <v>71</v>
      </c>
      <c r="L118" s="4"/>
      <c r="M118" s="4" t="s">
        <v>72</v>
      </c>
      <c r="N118" s="91" t="s">
        <v>78</v>
      </c>
    </row>
    <row r="119" spans="1:14" ht="38.25" x14ac:dyDescent="0.2">
      <c r="A119" s="97"/>
      <c r="B119" s="36"/>
      <c r="C119" s="24" t="s">
        <v>13</v>
      </c>
      <c r="D119" s="32" t="s">
        <v>77</v>
      </c>
      <c r="E119" s="32" t="s">
        <v>77</v>
      </c>
      <c r="F119" s="103">
        <f>F108</f>
        <v>15.14</v>
      </c>
      <c r="H119" s="24" t="s">
        <v>13</v>
      </c>
      <c r="I119" s="32" t="s">
        <v>77</v>
      </c>
      <c r="J119" s="32" t="s">
        <v>77</v>
      </c>
      <c r="K119" s="66">
        <f>K108</f>
        <v>15.14</v>
      </c>
      <c r="L119" s="66"/>
      <c r="M119" s="66"/>
    </row>
    <row r="120" spans="1:14" ht="25.5" x14ac:dyDescent="0.2">
      <c r="C120" s="24" t="s">
        <v>210</v>
      </c>
      <c r="D120">
        <v>2000</v>
      </c>
      <c r="E120" s="85">
        <f>E109</f>
        <v>2.3E-3</v>
      </c>
      <c r="F120" s="66">
        <f>D120*E120</f>
        <v>4.5999999999999996</v>
      </c>
      <c r="H120" s="24" t="s">
        <v>210</v>
      </c>
      <c r="I120">
        <f>D120</f>
        <v>2000</v>
      </c>
      <c r="J120" s="105">
        <f>J109</f>
        <v>2.2018931206899033E-3</v>
      </c>
      <c r="K120" s="66">
        <f>I120*J120</f>
        <v>4.403786241379807</v>
      </c>
      <c r="L120" s="66"/>
      <c r="M120" s="66"/>
    </row>
    <row r="121" spans="1:14" ht="25.5" x14ac:dyDescent="0.2">
      <c r="C121" s="24" t="s">
        <v>211</v>
      </c>
      <c r="D121">
        <v>2000</v>
      </c>
      <c r="E121" s="85">
        <f>E110</f>
        <v>2.29E-2</v>
      </c>
      <c r="F121" s="66">
        <f>D121*E121</f>
        <v>45.8</v>
      </c>
      <c r="H121" s="24" t="s">
        <v>211</v>
      </c>
      <c r="I121">
        <v>2000</v>
      </c>
      <c r="J121" s="105">
        <f>E121</f>
        <v>2.29E-2</v>
      </c>
      <c r="K121" s="66">
        <f>I121*J121</f>
        <v>45.8</v>
      </c>
      <c r="L121" s="66"/>
      <c r="M121" s="66"/>
    </row>
    <row r="122" spans="1:14" ht="25.5" x14ac:dyDescent="0.2">
      <c r="C122" s="24" t="s">
        <v>217</v>
      </c>
      <c r="D122">
        <f>D120</f>
        <v>2000</v>
      </c>
      <c r="E122" s="85">
        <f>E111</f>
        <v>4.2999999999999997E-2</v>
      </c>
      <c r="F122" s="66">
        <f>D122*E122</f>
        <v>86</v>
      </c>
      <c r="H122" s="24" t="s">
        <v>217</v>
      </c>
      <c r="I122">
        <v>750</v>
      </c>
      <c r="J122" s="105">
        <f>J111</f>
        <v>4.7E-2</v>
      </c>
      <c r="K122" s="66">
        <f>I122*J122</f>
        <v>35.25</v>
      </c>
      <c r="L122" s="66"/>
      <c r="M122" s="66"/>
    </row>
    <row r="123" spans="1:14" ht="25.5" x14ac:dyDescent="0.2">
      <c r="C123" s="24"/>
      <c r="E123" s="85"/>
      <c r="F123" s="66"/>
      <c r="H123" s="24" t="s">
        <v>217</v>
      </c>
      <c r="I123">
        <f>I121-I122</f>
        <v>1250</v>
      </c>
      <c r="J123" s="105">
        <f>J112</f>
        <v>5.5E-2</v>
      </c>
      <c r="K123" s="66">
        <f>I123*J123</f>
        <v>68.75</v>
      </c>
      <c r="L123" s="66"/>
      <c r="M123" s="66"/>
    </row>
    <row r="124" spans="1:14" x14ac:dyDescent="0.2">
      <c r="C124" s="6"/>
      <c r="H124" s="6"/>
      <c r="J124" s="105"/>
    </row>
    <row r="125" spans="1:14" x14ac:dyDescent="0.2">
      <c r="C125" t="s">
        <v>208</v>
      </c>
      <c r="F125" s="106">
        <f>SUM(F119:F122)</f>
        <v>151.54</v>
      </c>
      <c r="H125" t="s">
        <v>213</v>
      </c>
      <c r="K125" s="106">
        <f>SUM(K119:K123)</f>
        <v>169.3437862413798</v>
      </c>
      <c r="L125" s="66"/>
      <c r="M125" s="66">
        <f>K125-F125</f>
        <v>17.803786241379811</v>
      </c>
      <c r="N125" s="89">
        <f>K125/F125-1</f>
        <v>0.1174857215347751</v>
      </c>
    </row>
    <row r="126" spans="1:14" x14ac:dyDescent="0.2">
      <c r="F126" s="76"/>
      <c r="K126" s="76"/>
      <c r="L126" s="66"/>
      <c r="M126" s="66"/>
      <c r="N126" s="95"/>
    </row>
    <row r="127" spans="1:14" x14ac:dyDescent="0.2">
      <c r="F127" s="66"/>
      <c r="J127" s="105"/>
      <c r="K127" s="66"/>
      <c r="L127" s="66"/>
      <c r="M127" s="66"/>
    </row>
    <row r="128" spans="1:14" ht="15" x14ac:dyDescent="0.25">
      <c r="A128" s="98" t="s">
        <v>85</v>
      </c>
      <c r="B128" s="4"/>
      <c r="D128" s="91" t="s">
        <v>41</v>
      </c>
      <c r="E128" s="91" t="s">
        <v>68</v>
      </c>
      <c r="F128" s="92" t="s">
        <v>69</v>
      </c>
      <c r="I128" s="91" t="s">
        <v>41</v>
      </c>
      <c r="J128" s="91" t="s">
        <v>68</v>
      </c>
      <c r="K128" s="94" t="s">
        <v>69</v>
      </c>
      <c r="L128" s="4"/>
      <c r="M128" s="4" t="s">
        <v>70</v>
      </c>
      <c r="N128" s="4" t="s">
        <v>70</v>
      </c>
    </row>
    <row r="129" spans="1:15" x14ac:dyDescent="0.2">
      <c r="A129" s="4" t="s">
        <v>245</v>
      </c>
      <c r="D129" s="93" t="s">
        <v>76</v>
      </c>
      <c r="E129" s="91" t="s">
        <v>103</v>
      </c>
      <c r="F129" s="92" t="s">
        <v>71</v>
      </c>
      <c r="I129" s="91"/>
      <c r="J129" s="91" t="s">
        <v>103</v>
      </c>
      <c r="K129" s="94" t="s">
        <v>71</v>
      </c>
      <c r="L129" s="4"/>
      <c r="M129" s="4" t="s">
        <v>72</v>
      </c>
      <c r="N129" s="91" t="s">
        <v>78</v>
      </c>
    </row>
    <row r="130" spans="1:15" ht="38.25" x14ac:dyDescent="0.2">
      <c r="A130" s="97"/>
      <c r="B130" s="36"/>
      <c r="C130" s="24" t="s">
        <v>13</v>
      </c>
      <c r="D130" s="32" t="s">
        <v>77</v>
      </c>
      <c r="E130" s="32" t="s">
        <v>77</v>
      </c>
      <c r="F130" s="103">
        <f>F108</f>
        <v>15.14</v>
      </c>
      <c r="H130" s="24" t="s">
        <v>13</v>
      </c>
      <c r="I130" s="32" t="s">
        <v>77</v>
      </c>
      <c r="J130" s="32" t="s">
        <v>77</v>
      </c>
      <c r="K130" s="66">
        <f>K108</f>
        <v>15.14</v>
      </c>
      <c r="L130" s="66"/>
      <c r="M130" s="66"/>
    </row>
    <row r="131" spans="1:15" ht="25.5" x14ac:dyDescent="0.2">
      <c r="C131" s="24" t="s">
        <v>210</v>
      </c>
      <c r="D131">
        <v>5000</v>
      </c>
      <c r="E131" s="85">
        <f>E109</f>
        <v>2.3E-3</v>
      </c>
      <c r="F131" s="66">
        <f>D131*E131</f>
        <v>11.5</v>
      </c>
      <c r="H131" s="24" t="s">
        <v>210</v>
      </c>
      <c r="I131">
        <f>D131</f>
        <v>5000</v>
      </c>
      <c r="J131" s="105">
        <f>J109</f>
        <v>2.2018931206899033E-3</v>
      </c>
      <c r="K131" s="66">
        <f>I131*J131</f>
        <v>11.009465603449517</v>
      </c>
      <c r="L131" s="66"/>
      <c r="M131" s="66"/>
    </row>
    <row r="132" spans="1:15" ht="25.5" x14ac:dyDescent="0.2">
      <c r="C132" s="24" t="s">
        <v>211</v>
      </c>
      <c r="D132">
        <f>D131</f>
        <v>5000</v>
      </c>
      <c r="E132" s="85">
        <f>E110</f>
        <v>2.29E-2</v>
      </c>
      <c r="F132" s="66">
        <f>D132*E132</f>
        <v>114.5</v>
      </c>
      <c r="H132" s="24" t="s">
        <v>211</v>
      </c>
      <c r="I132">
        <f>D132</f>
        <v>5000</v>
      </c>
      <c r="J132" s="105">
        <f>E132</f>
        <v>2.29E-2</v>
      </c>
      <c r="K132" s="66">
        <f>I132*J132</f>
        <v>114.5</v>
      </c>
      <c r="L132" s="66"/>
      <c r="M132" s="66"/>
    </row>
    <row r="133" spans="1:15" ht="25.5" x14ac:dyDescent="0.2">
      <c r="C133" s="24" t="s">
        <v>217</v>
      </c>
      <c r="D133">
        <f>D131</f>
        <v>5000</v>
      </c>
      <c r="E133" s="85">
        <f>E111</f>
        <v>4.2999999999999997E-2</v>
      </c>
      <c r="F133" s="66">
        <f>D133*E133</f>
        <v>214.99999999999997</v>
      </c>
      <c r="H133" s="24" t="s">
        <v>217</v>
      </c>
      <c r="I133">
        <v>750</v>
      </c>
      <c r="J133" s="105">
        <f>J122</f>
        <v>4.7E-2</v>
      </c>
      <c r="K133" s="66">
        <f>I133*J133</f>
        <v>35.25</v>
      </c>
      <c r="L133" s="66"/>
      <c r="M133" s="66"/>
    </row>
    <row r="134" spans="1:15" ht="25.5" x14ac:dyDescent="0.2">
      <c r="C134" s="24"/>
      <c r="E134" s="85"/>
      <c r="F134" s="66"/>
      <c r="H134" s="24" t="s">
        <v>217</v>
      </c>
      <c r="I134">
        <f>I132-I133</f>
        <v>4250</v>
      </c>
      <c r="J134" s="105">
        <f>J112</f>
        <v>5.5E-2</v>
      </c>
      <c r="K134" s="66">
        <f>I134*J134</f>
        <v>233.75</v>
      </c>
      <c r="L134" s="66"/>
      <c r="M134" s="66"/>
    </row>
    <row r="135" spans="1:15" x14ac:dyDescent="0.2">
      <c r="C135" s="6"/>
      <c r="H135" s="6"/>
      <c r="J135" s="105"/>
    </row>
    <row r="136" spans="1:15" x14ac:dyDescent="0.2">
      <c r="C136" t="s">
        <v>208</v>
      </c>
      <c r="F136" s="106">
        <f>SUM(F130:F133)</f>
        <v>356.14</v>
      </c>
      <c r="H136" t="s">
        <v>213</v>
      </c>
      <c r="K136" s="106">
        <f>SUM(K130:K134)</f>
        <v>409.64946560344953</v>
      </c>
      <c r="L136" s="66"/>
      <c r="M136" s="66">
        <f>K136-F136</f>
        <v>53.509465603449542</v>
      </c>
      <c r="N136" s="89">
        <f>K136/F136-1</f>
        <v>0.15024840120022898</v>
      </c>
    </row>
    <row r="137" spans="1:15" x14ac:dyDescent="0.2">
      <c r="F137" s="66"/>
      <c r="J137" s="105"/>
      <c r="K137" s="66"/>
      <c r="L137" s="66"/>
      <c r="M137" s="66"/>
    </row>
    <row r="138" spans="1:15" x14ac:dyDescent="0.2">
      <c r="C138" s="217"/>
      <c r="D138" s="36"/>
      <c r="E138" s="220"/>
      <c r="F138" s="76"/>
      <c r="G138" s="36"/>
      <c r="H138" s="217"/>
      <c r="I138" s="36"/>
      <c r="J138" s="210"/>
      <c r="K138" s="76"/>
      <c r="L138" s="76"/>
      <c r="M138" s="76"/>
      <c r="N138" s="36"/>
    </row>
    <row r="139" spans="1:15" ht="15" x14ac:dyDescent="0.25">
      <c r="A139" s="98" t="s">
        <v>85</v>
      </c>
      <c r="B139" s="4"/>
      <c r="D139" s="91" t="s">
        <v>41</v>
      </c>
      <c r="E139" s="91" t="s">
        <v>68</v>
      </c>
      <c r="F139" s="92" t="s">
        <v>69</v>
      </c>
      <c r="I139" s="91" t="s">
        <v>41</v>
      </c>
      <c r="J139" s="91" t="s">
        <v>68</v>
      </c>
      <c r="K139" s="94" t="s">
        <v>69</v>
      </c>
      <c r="L139" s="4"/>
      <c r="M139" s="4" t="s">
        <v>70</v>
      </c>
      <c r="N139" s="4" t="s">
        <v>70</v>
      </c>
    </row>
    <row r="140" spans="1:15" x14ac:dyDescent="0.2">
      <c r="A140" s="4" t="s">
        <v>246</v>
      </c>
      <c r="D140" s="93" t="s">
        <v>76</v>
      </c>
      <c r="E140" s="91" t="s">
        <v>103</v>
      </c>
      <c r="F140" s="92" t="s">
        <v>71</v>
      </c>
      <c r="I140" s="91"/>
      <c r="J140" s="91" t="s">
        <v>103</v>
      </c>
      <c r="K140" s="94" t="s">
        <v>71</v>
      </c>
      <c r="L140" s="4"/>
      <c r="M140" s="4" t="s">
        <v>72</v>
      </c>
      <c r="N140" s="91" t="s">
        <v>78</v>
      </c>
    </row>
    <row r="141" spans="1:15" ht="38.25" x14ac:dyDescent="0.2">
      <c r="A141" s="97"/>
      <c r="B141" s="36"/>
      <c r="C141" s="24" t="s">
        <v>13</v>
      </c>
      <c r="D141" s="32" t="s">
        <v>77</v>
      </c>
      <c r="E141" s="32" t="s">
        <v>77</v>
      </c>
      <c r="F141" s="103">
        <f>F108</f>
        <v>15.14</v>
      </c>
      <c r="H141" s="24" t="s">
        <v>13</v>
      </c>
      <c r="I141" s="32" t="s">
        <v>77</v>
      </c>
      <c r="J141" s="32" t="s">
        <v>77</v>
      </c>
      <c r="K141" s="66">
        <f>K108</f>
        <v>15.14</v>
      </c>
      <c r="L141" s="66"/>
      <c r="M141" s="66"/>
    </row>
    <row r="142" spans="1:15" ht="25.5" x14ac:dyDescent="0.2">
      <c r="C142" s="24" t="s">
        <v>210</v>
      </c>
      <c r="D142">
        <v>10000</v>
      </c>
      <c r="E142" s="85">
        <f>E109</f>
        <v>2.3E-3</v>
      </c>
      <c r="F142" s="66">
        <f>D142*E142</f>
        <v>23</v>
      </c>
      <c r="H142" s="24" t="s">
        <v>210</v>
      </c>
      <c r="I142">
        <f>D142</f>
        <v>10000</v>
      </c>
      <c r="J142" s="105">
        <f>J109</f>
        <v>2.2018931206899033E-3</v>
      </c>
      <c r="K142" s="66">
        <f>I142*J142</f>
        <v>22.018931206899033</v>
      </c>
      <c r="L142" s="66"/>
      <c r="M142" s="66"/>
    </row>
    <row r="143" spans="1:15" ht="25.5" x14ac:dyDescent="0.2">
      <c r="C143" s="24" t="s">
        <v>211</v>
      </c>
      <c r="D143">
        <f>D142</f>
        <v>10000</v>
      </c>
      <c r="E143" s="85">
        <f>E132</f>
        <v>2.29E-2</v>
      </c>
      <c r="F143" s="66">
        <f>D143*E143</f>
        <v>229</v>
      </c>
      <c r="H143" s="24" t="s">
        <v>211</v>
      </c>
      <c r="I143">
        <f>D143</f>
        <v>10000</v>
      </c>
      <c r="J143" s="105">
        <f>E143</f>
        <v>2.29E-2</v>
      </c>
      <c r="K143" s="66">
        <f>I143*J143</f>
        <v>229</v>
      </c>
      <c r="L143" s="66"/>
      <c r="M143" s="66"/>
      <c r="O143" s="36"/>
    </row>
    <row r="144" spans="1:15" ht="25.5" x14ac:dyDescent="0.2">
      <c r="C144" s="24" t="s">
        <v>217</v>
      </c>
      <c r="D144">
        <f>D142</f>
        <v>10000</v>
      </c>
      <c r="E144" s="85">
        <f>E133</f>
        <v>4.2999999999999997E-2</v>
      </c>
      <c r="F144" s="66">
        <f>D144*E144</f>
        <v>429.99999999999994</v>
      </c>
      <c r="H144" s="24" t="s">
        <v>217</v>
      </c>
      <c r="I144">
        <v>750</v>
      </c>
      <c r="J144" s="105">
        <f>J133</f>
        <v>4.7E-2</v>
      </c>
      <c r="K144" s="66">
        <f>I144*J144</f>
        <v>35.25</v>
      </c>
      <c r="L144" s="66"/>
      <c r="M144" s="66"/>
      <c r="O144" s="36"/>
    </row>
    <row r="145" spans="1:16" ht="25.5" x14ac:dyDescent="0.2">
      <c r="C145" s="24"/>
      <c r="E145" s="85"/>
      <c r="F145" s="66"/>
      <c r="H145" s="24" t="s">
        <v>217</v>
      </c>
      <c r="I145">
        <f>I143-I144</f>
        <v>9250</v>
      </c>
      <c r="J145" s="105">
        <f>J134</f>
        <v>5.5E-2</v>
      </c>
      <c r="K145" s="66">
        <f>I145*J145</f>
        <v>508.75</v>
      </c>
      <c r="L145" s="66"/>
      <c r="M145" s="66"/>
      <c r="O145" s="36"/>
    </row>
    <row r="146" spans="1:16" x14ac:dyDescent="0.2">
      <c r="C146" s="6"/>
      <c r="H146" s="6"/>
      <c r="J146" s="105"/>
      <c r="O146" s="36"/>
    </row>
    <row r="147" spans="1:16" ht="18" customHeight="1" x14ac:dyDescent="0.2">
      <c r="C147" t="s">
        <v>208</v>
      </c>
      <c r="F147" s="106">
        <f>SUM(F141:F144)</f>
        <v>697.13999999999987</v>
      </c>
      <c r="H147" t="s">
        <v>213</v>
      </c>
      <c r="K147" s="106">
        <f>SUM(K141:K145)</f>
        <v>810.15893120689907</v>
      </c>
      <c r="L147" s="66"/>
      <c r="M147" s="66">
        <f>K147-F147</f>
        <v>113.0189312068992</v>
      </c>
      <c r="N147" s="89">
        <f>K147/F147-1</f>
        <v>0.16211798377212494</v>
      </c>
      <c r="O147" s="36"/>
    </row>
    <row r="148" spans="1:16" x14ac:dyDescent="0.2">
      <c r="F148" s="76"/>
      <c r="K148" s="76"/>
      <c r="L148" s="66"/>
      <c r="M148" s="66"/>
      <c r="N148" s="95"/>
      <c r="O148" s="36"/>
    </row>
    <row r="149" spans="1:16" x14ac:dyDescent="0.2">
      <c r="F149" s="66"/>
      <c r="J149" s="105"/>
      <c r="K149" s="66"/>
      <c r="L149" s="66"/>
      <c r="M149" s="66"/>
      <c r="O149" s="36"/>
    </row>
    <row r="150" spans="1:16" ht="15" x14ac:dyDescent="0.25">
      <c r="A150" s="98" t="s">
        <v>85</v>
      </c>
      <c r="B150" s="4"/>
      <c r="D150" s="91" t="s">
        <v>41</v>
      </c>
      <c r="E150" s="91" t="s">
        <v>68</v>
      </c>
      <c r="F150" s="92" t="s">
        <v>69</v>
      </c>
      <c r="I150" s="91" t="s">
        <v>41</v>
      </c>
      <c r="J150" s="91" t="s">
        <v>68</v>
      </c>
      <c r="K150" s="94" t="s">
        <v>69</v>
      </c>
      <c r="L150" s="4"/>
      <c r="M150" s="4" t="s">
        <v>70</v>
      </c>
      <c r="N150" s="4" t="s">
        <v>70</v>
      </c>
      <c r="O150" s="36"/>
    </row>
    <row r="151" spans="1:16" x14ac:dyDescent="0.2">
      <c r="A151" s="4" t="s">
        <v>247</v>
      </c>
      <c r="D151" s="93" t="s">
        <v>76</v>
      </c>
      <c r="E151" s="91" t="s">
        <v>103</v>
      </c>
      <c r="F151" s="92" t="s">
        <v>71</v>
      </c>
      <c r="I151" s="91"/>
      <c r="J151" s="91" t="s">
        <v>103</v>
      </c>
      <c r="K151" s="94" t="s">
        <v>71</v>
      </c>
      <c r="L151" s="4"/>
      <c r="M151" s="4" t="s">
        <v>72</v>
      </c>
      <c r="N151" s="91" t="s">
        <v>78</v>
      </c>
      <c r="O151" s="36"/>
    </row>
    <row r="152" spans="1:16" ht="38.25" x14ac:dyDescent="0.2">
      <c r="A152" s="97"/>
      <c r="B152" s="36"/>
      <c r="C152" s="24" t="s">
        <v>13</v>
      </c>
      <c r="D152" s="32" t="s">
        <v>77</v>
      </c>
      <c r="E152" s="32" t="s">
        <v>77</v>
      </c>
      <c r="F152" s="103">
        <f>F108</f>
        <v>15.14</v>
      </c>
      <c r="H152" s="24" t="s">
        <v>13</v>
      </c>
      <c r="I152" s="32" t="s">
        <v>77</v>
      </c>
      <c r="J152" s="32" t="s">
        <v>77</v>
      </c>
      <c r="K152" s="66">
        <f>K108</f>
        <v>15.14</v>
      </c>
      <c r="L152" s="66"/>
      <c r="M152" s="66"/>
      <c r="O152" s="36"/>
      <c r="P152" s="36"/>
    </row>
    <row r="153" spans="1:16" ht="25.5" x14ac:dyDescent="0.2">
      <c r="C153" s="24" t="s">
        <v>210</v>
      </c>
      <c r="D153">
        <v>15000</v>
      </c>
      <c r="E153" s="85">
        <f>E109</f>
        <v>2.3E-3</v>
      </c>
      <c r="F153" s="66">
        <f>D153*E153</f>
        <v>34.5</v>
      </c>
      <c r="H153" s="24" t="s">
        <v>210</v>
      </c>
      <c r="I153">
        <f>D153</f>
        <v>15000</v>
      </c>
      <c r="J153" s="105">
        <f>J109</f>
        <v>2.2018931206899033E-3</v>
      </c>
      <c r="K153" s="66">
        <f>I153*J153</f>
        <v>33.028396810348546</v>
      </c>
      <c r="L153" s="66"/>
      <c r="M153" s="66"/>
      <c r="O153" s="36"/>
      <c r="P153" s="36"/>
    </row>
    <row r="154" spans="1:16" ht="25.5" x14ac:dyDescent="0.2">
      <c r="C154" s="24" t="s">
        <v>211</v>
      </c>
      <c r="D154">
        <f>D153</f>
        <v>15000</v>
      </c>
      <c r="E154" s="85">
        <f>E132</f>
        <v>2.29E-2</v>
      </c>
      <c r="F154" s="66">
        <f>D154*E154</f>
        <v>343.5</v>
      </c>
      <c r="H154" s="24" t="s">
        <v>211</v>
      </c>
      <c r="I154">
        <f>D154</f>
        <v>15000</v>
      </c>
      <c r="J154" s="105">
        <f>E154</f>
        <v>2.29E-2</v>
      </c>
      <c r="K154" s="66">
        <f>I154*J154</f>
        <v>343.5</v>
      </c>
      <c r="L154" s="66"/>
      <c r="M154" s="66"/>
      <c r="O154" s="36"/>
      <c r="P154" s="36"/>
    </row>
    <row r="155" spans="1:16" ht="25.5" x14ac:dyDescent="0.2">
      <c r="C155" s="24" t="s">
        <v>217</v>
      </c>
      <c r="D155">
        <f>D153</f>
        <v>15000</v>
      </c>
      <c r="E155" s="85">
        <f>E133</f>
        <v>4.2999999999999997E-2</v>
      </c>
      <c r="F155" s="66">
        <f>D155*E155</f>
        <v>645</v>
      </c>
      <c r="H155" s="24" t="s">
        <v>217</v>
      </c>
      <c r="I155">
        <v>750</v>
      </c>
      <c r="J155" s="105">
        <f>J144</f>
        <v>4.7E-2</v>
      </c>
      <c r="K155" s="66">
        <f>I155*J155</f>
        <v>35.25</v>
      </c>
      <c r="L155" s="66"/>
      <c r="M155" s="66"/>
      <c r="O155" s="36"/>
      <c r="P155" s="36"/>
    </row>
    <row r="156" spans="1:16" ht="25.5" x14ac:dyDescent="0.2">
      <c r="C156" s="24"/>
      <c r="E156" s="85"/>
      <c r="F156" s="66"/>
      <c r="H156" s="24" t="s">
        <v>217</v>
      </c>
      <c r="I156">
        <f>I154-I155</f>
        <v>14250</v>
      </c>
      <c r="J156" s="105">
        <f>J134</f>
        <v>5.5E-2</v>
      </c>
      <c r="K156" s="66">
        <f>I156*J156</f>
        <v>783.75</v>
      </c>
      <c r="L156" s="66"/>
      <c r="M156" s="66"/>
      <c r="O156" s="36"/>
      <c r="P156" s="36"/>
    </row>
    <row r="157" spans="1:16" x14ac:dyDescent="0.2">
      <c r="C157" s="6"/>
      <c r="H157" s="6"/>
      <c r="J157" s="105"/>
      <c r="O157" s="36"/>
      <c r="P157" s="36"/>
    </row>
    <row r="158" spans="1:16" x14ac:dyDescent="0.2">
      <c r="C158" t="s">
        <v>208</v>
      </c>
      <c r="F158" s="106">
        <f>SUM(F152:F155)</f>
        <v>1038.1399999999999</v>
      </c>
      <c r="H158" t="s">
        <v>213</v>
      </c>
      <c r="K158" s="106">
        <f>SUM(K152:K156)</f>
        <v>1210.6683968103484</v>
      </c>
      <c r="L158" s="66"/>
      <c r="M158" s="66">
        <f>K158-F158</f>
        <v>172.52839681034857</v>
      </c>
      <c r="N158" s="89">
        <f>K158/F158-1</f>
        <v>0.16618991350911116</v>
      </c>
      <c r="O158" s="36"/>
      <c r="P158" s="36"/>
    </row>
    <row r="159" spans="1:16" x14ac:dyDescent="0.2">
      <c r="F159" s="66"/>
      <c r="J159" s="105"/>
      <c r="K159" s="66"/>
      <c r="L159" s="66"/>
      <c r="M159" s="66"/>
      <c r="O159" s="36"/>
      <c r="P159" s="36"/>
    </row>
    <row r="160" spans="1:16" x14ac:dyDescent="0.2">
      <c r="C160" s="217"/>
      <c r="D160" s="36"/>
      <c r="E160" s="220"/>
      <c r="F160" s="76"/>
      <c r="G160" s="36"/>
      <c r="H160" s="217"/>
      <c r="I160" s="36"/>
      <c r="J160" s="210"/>
      <c r="K160" s="76"/>
      <c r="L160" s="76"/>
      <c r="M160" s="76"/>
      <c r="N160" s="36"/>
      <c r="O160" s="36"/>
      <c r="P160" s="36"/>
    </row>
    <row r="161" spans="1:16" x14ac:dyDescent="0.2">
      <c r="A161" s="36"/>
      <c r="B161" s="36"/>
      <c r="C161" s="217"/>
      <c r="D161" s="36"/>
      <c r="E161" s="220"/>
      <c r="F161" s="76"/>
      <c r="G161" s="36"/>
      <c r="H161" s="217"/>
      <c r="I161" s="36"/>
      <c r="J161" s="221"/>
      <c r="K161" s="76"/>
      <c r="L161" s="76"/>
      <c r="M161" s="76"/>
      <c r="N161" s="36"/>
      <c r="O161" s="36"/>
      <c r="P161" s="36"/>
    </row>
    <row r="162" spans="1:16" x14ac:dyDescent="0.2">
      <c r="A162" s="36"/>
      <c r="B162" s="36"/>
      <c r="C162" s="217"/>
      <c r="D162" s="36"/>
      <c r="E162" s="220"/>
      <c r="F162" s="76"/>
      <c r="G162" s="36"/>
      <c r="H162" s="217"/>
      <c r="I162" s="36"/>
      <c r="J162" s="210"/>
      <c r="K162" s="76"/>
      <c r="L162" s="76"/>
      <c r="M162" s="76"/>
      <c r="N162" s="36"/>
      <c r="O162" s="36"/>
      <c r="P162" s="36"/>
    </row>
    <row r="163" spans="1:16" x14ac:dyDescent="0.2">
      <c r="A163" s="36"/>
      <c r="B163" s="36"/>
      <c r="C163" s="217"/>
      <c r="D163" s="36"/>
      <c r="E163" s="220"/>
      <c r="F163" s="76"/>
      <c r="G163" s="36"/>
      <c r="H163" s="217"/>
      <c r="I163" s="36"/>
      <c r="J163" s="210"/>
      <c r="K163" s="76"/>
      <c r="L163" s="36"/>
      <c r="M163" s="36"/>
      <c r="N163" s="36"/>
      <c r="O163" s="36"/>
      <c r="P163" s="36"/>
    </row>
    <row r="164" spans="1:16" x14ac:dyDescent="0.2">
      <c r="A164" s="36"/>
      <c r="B164" s="36"/>
      <c r="C164" s="222"/>
      <c r="D164" s="36"/>
      <c r="E164" s="36"/>
      <c r="F164" s="36"/>
      <c r="G164" s="36"/>
      <c r="H164" s="222"/>
      <c r="I164" s="36"/>
      <c r="J164" s="210"/>
      <c r="K164" s="76"/>
      <c r="L164" s="36"/>
      <c r="M164" s="36"/>
      <c r="N164" s="36"/>
      <c r="O164" s="36"/>
      <c r="P164" s="36"/>
    </row>
    <row r="165" spans="1:16" x14ac:dyDescent="0.2">
      <c r="A165" s="36"/>
      <c r="B165" s="36"/>
      <c r="C165" s="36"/>
      <c r="D165" s="36"/>
      <c r="E165" s="36"/>
      <c r="F165" s="76"/>
      <c r="G165" s="36"/>
      <c r="H165" s="36"/>
      <c r="I165" s="36"/>
      <c r="J165" s="36"/>
      <c r="K165" s="76"/>
      <c r="L165" s="76"/>
      <c r="M165" s="76"/>
      <c r="N165" s="95"/>
      <c r="O165" s="36"/>
      <c r="P165" s="36"/>
    </row>
    <row r="166" spans="1:16" ht="12" customHeight="1" x14ac:dyDescent="0.25">
      <c r="A166" s="209"/>
      <c r="B166" s="209"/>
      <c r="C166" s="36"/>
      <c r="D166" s="36"/>
      <c r="E166" s="36"/>
      <c r="F166" s="76"/>
      <c r="G166" s="36"/>
      <c r="H166" s="36"/>
      <c r="I166" s="36"/>
      <c r="J166" s="210"/>
      <c r="K166" s="76"/>
      <c r="L166" s="76"/>
      <c r="M166" s="76"/>
      <c r="N166" s="36"/>
      <c r="O166" s="36"/>
      <c r="P166" s="36"/>
    </row>
    <row r="167" spans="1:16" ht="12" customHeight="1" x14ac:dyDescent="0.25">
      <c r="A167" s="209"/>
      <c r="B167" s="209"/>
      <c r="C167" s="36"/>
      <c r="D167" s="36"/>
      <c r="E167" s="36"/>
      <c r="F167" s="76"/>
      <c r="G167" s="36"/>
      <c r="H167" s="36"/>
      <c r="I167" s="36"/>
      <c r="J167" s="210"/>
      <c r="K167" s="76"/>
      <c r="L167" s="76"/>
      <c r="M167" s="76"/>
      <c r="N167" s="36"/>
      <c r="O167" s="36"/>
      <c r="P167" s="36"/>
    </row>
    <row r="168" spans="1:16" x14ac:dyDescent="0.2">
      <c r="A168" s="212"/>
      <c r="B168" s="212"/>
      <c r="C168" s="36"/>
      <c r="D168" s="116"/>
      <c r="E168" s="116"/>
      <c r="F168" s="213"/>
      <c r="G168" s="36"/>
      <c r="H168" s="36"/>
      <c r="I168" s="116"/>
      <c r="J168" s="116"/>
      <c r="K168" s="214"/>
      <c r="L168" s="212"/>
      <c r="M168" s="212"/>
      <c r="N168" s="212"/>
      <c r="O168" s="36"/>
      <c r="P168" s="36"/>
    </row>
    <row r="169" spans="1:16" x14ac:dyDescent="0.2">
      <c r="A169" s="212"/>
      <c r="B169" s="36"/>
      <c r="C169" s="36"/>
      <c r="D169" s="215"/>
      <c r="E169" s="116"/>
      <c r="F169" s="213"/>
      <c r="G169" s="36"/>
      <c r="H169" s="36"/>
      <c r="I169" s="116"/>
      <c r="J169" s="116"/>
      <c r="K169" s="214"/>
      <c r="L169" s="212"/>
      <c r="M169" s="212"/>
      <c r="N169" s="116"/>
      <c r="O169" s="36"/>
      <c r="P169" s="36"/>
    </row>
    <row r="170" spans="1:16" ht="15" x14ac:dyDescent="0.2">
      <c r="A170" s="216"/>
      <c r="B170" s="36"/>
      <c r="C170" s="217"/>
      <c r="D170" s="218"/>
      <c r="E170" s="218"/>
      <c r="F170" s="219"/>
      <c r="G170" s="36"/>
      <c r="H170" s="217"/>
      <c r="I170" s="218"/>
      <c r="J170" s="218"/>
      <c r="K170" s="76"/>
      <c r="L170" s="76"/>
      <c r="M170" s="76"/>
      <c r="N170" s="36"/>
      <c r="O170" s="36"/>
      <c r="P170" s="36"/>
    </row>
    <row r="171" spans="1:16" x14ac:dyDescent="0.2">
      <c r="A171" s="36"/>
      <c r="B171" s="36"/>
      <c r="C171" s="217"/>
      <c r="D171" s="36"/>
      <c r="E171" s="220"/>
      <c r="F171" s="76"/>
      <c r="G171" s="36"/>
      <c r="H171" s="217"/>
      <c r="I171" s="36"/>
      <c r="J171" s="221"/>
      <c r="K171" s="76"/>
      <c r="L171" s="76"/>
      <c r="M171" s="76"/>
      <c r="N171" s="36"/>
      <c r="O171" s="36"/>
      <c r="P171" s="36"/>
    </row>
    <row r="172" spans="1:16" x14ac:dyDescent="0.2">
      <c r="A172" s="36"/>
      <c r="B172" s="36"/>
      <c r="C172" s="217"/>
      <c r="D172" s="36"/>
      <c r="E172" s="220"/>
      <c r="F172" s="76"/>
      <c r="G172" s="36"/>
      <c r="H172" s="217"/>
      <c r="I172" s="36"/>
      <c r="J172" s="210"/>
      <c r="K172" s="76"/>
      <c r="L172" s="76"/>
      <c r="M172" s="76"/>
      <c r="N172" s="36"/>
      <c r="O172" s="36"/>
      <c r="P172" s="36"/>
    </row>
    <row r="173" spans="1:16" x14ac:dyDescent="0.2">
      <c r="A173" s="36"/>
      <c r="B173" s="36"/>
      <c r="C173" s="217"/>
      <c r="D173" s="223"/>
      <c r="E173" s="220"/>
      <c r="F173" s="76"/>
      <c r="G173" s="36"/>
      <c r="H173" s="217"/>
      <c r="I173" s="223"/>
      <c r="J173" s="210"/>
      <c r="K173" s="76"/>
      <c r="L173" s="36"/>
      <c r="M173" s="36"/>
      <c r="N173" s="36"/>
      <c r="O173" s="36"/>
      <c r="P173" s="36"/>
    </row>
    <row r="174" spans="1:16" x14ac:dyDescent="0.2">
      <c r="A174" s="36"/>
      <c r="B174" s="36"/>
      <c r="C174" s="222"/>
      <c r="D174" s="36"/>
      <c r="E174" s="36"/>
      <c r="F174" s="36"/>
      <c r="G174" s="36"/>
      <c r="H174" s="222"/>
      <c r="I174" s="36"/>
      <c r="J174" s="210"/>
      <c r="K174" s="76"/>
      <c r="L174" s="36"/>
      <c r="M174" s="36"/>
      <c r="N174" s="36"/>
      <c r="O174" s="36"/>
      <c r="P174" s="36"/>
    </row>
    <row r="175" spans="1:16" x14ac:dyDescent="0.2">
      <c r="A175" s="36"/>
      <c r="B175" s="36"/>
      <c r="C175" s="36"/>
      <c r="D175" s="36"/>
      <c r="E175" s="36"/>
      <c r="F175" s="76"/>
      <c r="G175" s="36"/>
      <c r="H175" s="36"/>
      <c r="I175" s="36"/>
      <c r="J175" s="36"/>
      <c r="K175" s="76"/>
      <c r="L175" s="76"/>
      <c r="M175" s="76"/>
      <c r="N175" s="95"/>
      <c r="O175" s="36"/>
      <c r="P175" s="36"/>
    </row>
    <row r="176" spans="1:16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208"/>
      <c r="L176" s="36"/>
      <c r="M176" s="36"/>
      <c r="N176" s="36"/>
      <c r="O176" s="36"/>
      <c r="P176" s="36"/>
    </row>
    <row r="177" spans="1:16" x14ac:dyDescent="0.2">
      <c r="A177" s="36"/>
      <c r="B177" s="36"/>
      <c r="C177" s="36"/>
      <c r="D177" s="36"/>
      <c r="E177" s="36"/>
      <c r="F177" s="76"/>
      <c r="G177" s="36"/>
      <c r="H177" s="36"/>
      <c r="I177" s="36"/>
      <c r="J177" s="210"/>
      <c r="K177" s="76"/>
      <c r="L177" s="76"/>
      <c r="M177" s="76"/>
      <c r="N177" s="95"/>
      <c r="O177" s="36"/>
      <c r="P177" s="36"/>
    </row>
    <row r="178" spans="1:16" x14ac:dyDescent="0.2">
      <c r="A178" s="36"/>
      <c r="B178" s="36"/>
      <c r="C178" s="36"/>
      <c r="D178" s="36"/>
      <c r="E178" s="36"/>
      <c r="F178" s="76"/>
      <c r="G178" s="36"/>
      <c r="H178" s="36"/>
      <c r="I178" s="36"/>
      <c r="J178" s="210"/>
      <c r="K178" s="76"/>
      <c r="L178" s="76"/>
      <c r="M178" s="76"/>
      <c r="N178" s="36"/>
      <c r="O178" s="36"/>
      <c r="P178" s="36"/>
    </row>
    <row r="179" spans="1:16" x14ac:dyDescent="0.2">
      <c r="A179" s="212"/>
      <c r="B179" s="212"/>
      <c r="C179" s="36"/>
      <c r="D179" s="116"/>
      <c r="E179" s="116"/>
      <c r="F179" s="213"/>
      <c r="G179" s="36"/>
      <c r="H179" s="36"/>
      <c r="I179" s="116"/>
      <c r="J179" s="116"/>
      <c r="K179" s="214"/>
      <c r="L179" s="212"/>
      <c r="M179" s="212"/>
      <c r="N179" s="212"/>
      <c r="O179" s="36"/>
      <c r="P179" s="36"/>
    </row>
    <row r="180" spans="1:16" x14ac:dyDescent="0.2">
      <c r="A180" s="212"/>
      <c r="B180" s="36"/>
      <c r="C180" s="36"/>
      <c r="D180" s="215"/>
      <c r="E180" s="116"/>
      <c r="F180" s="213"/>
      <c r="G180" s="36"/>
      <c r="H180" s="36"/>
      <c r="I180" s="116"/>
      <c r="J180" s="116"/>
      <c r="K180" s="214"/>
      <c r="L180" s="212"/>
      <c r="M180" s="212"/>
      <c r="N180" s="116"/>
      <c r="O180" s="36"/>
      <c r="P180" s="36"/>
    </row>
    <row r="181" spans="1:16" ht="15" x14ac:dyDescent="0.2">
      <c r="A181" s="216"/>
      <c r="B181" s="36"/>
      <c r="C181" s="217"/>
      <c r="D181" s="218"/>
      <c r="E181" s="218"/>
      <c r="F181" s="219"/>
      <c r="G181" s="36"/>
      <c r="H181" s="217"/>
      <c r="I181" s="218"/>
      <c r="J181" s="218"/>
      <c r="K181" s="76"/>
      <c r="L181" s="76"/>
      <c r="M181" s="76"/>
      <c r="N181" s="36"/>
      <c r="O181" s="36"/>
      <c r="P181" s="36"/>
    </row>
    <row r="182" spans="1:16" x14ac:dyDescent="0.2">
      <c r="A182" s="36"/>
      <c r="B182" s="36"/>
      <c r="C182" s="217"/>
      <c r="D182" s="36"/>
      <c r="E182" s="220"/>
      <c r="F182" s="76"/>
      <c r="G182" s="36"/>
      <c r="H182" s="217"/>
      <c r="I182" s="36"/>
      <c r="J182" s="221"/>
      <c r="K182" s="76"/>
      <c r="L182" s="76"/>
      <c r="M182" s="76"/>
      <c r="N182" s="36"/>
      <c r="O182" s="36"/>
      <c r="P182" s="36"/>
    </row>
    <row r="183" spans="1:16" x14ac:dyDescent="0.2">
      <c r="A183" s="36"/>
      <c r="B183" s="36"/>
      <c r="C183" s="217"/>
      <c r="D183" s="36"/>
      <c r="E183" s="220"/>
      <c r="F183" s="76"/>
      <c r="G183" s="36"/>
      <c r="H183" s="217"/>
      <c r="I183" s="36"/>
      <c r="J183" s="210"/>
      <c r="K183" s="76"/>
      <c r="L183" s="76"/>
      <c r="M183" s="76"/>
      <c r="N183" s="36"/>
      <c r="O183" s="36"/>
      <c r="P183" s="36"/>
    </row>
    <row r="184" spans="1:16" x14ac:dyDescent="0.2">
      <c r="A184" s="36"/>
      <c r="B184" s="36"/>
      <c r="C184" s="217"/>
      <c r="D184" s="223"/>
      <c r="E184" s="220"/>
      <c r="F184" s="76"/>
      <c r="G184" s="36"/>
      <c r="H184" s="217"/>
      <c r="I184" s="223"/>
      <c r="J184" s="210"/>
      <c r="K184" s="76"/>
      <c r="L184" s="36"/>
      <c r="M184" s="36"/>
      <c r="N184" s="36"/>
      <c r="O184" s="36"/>
      <c r="P184" s="36"/>
    </row>
    <row r="185" spans="1:16" x14ac:dyDescent="0.2">
      <c r="A185" s="36"/>
      <c r="B185" s="36"/>
      <c r="C185" s="222"/>
      <c r="D185" s="36"/>
      <c r="E185" s="36"/>
      <c r="F185" s="36"/>
      <c r="G185" s="36"/>
      <c r="H185" s="222"/>
      <c r="I185" s="36"/>
      <c r="J185" s="210"/>
      <c r="K185" s="76"/>
      <c r="L185" s="36"/>
      <c r="M185" s="36"/>
      <c r="N185" s="36"/>
      <c r="O185" s="36"/>
      <c r="P185" s="36"/>
    </row>
    <row r="186" spans="1:16" x14ac:dyDescent="0.2">
      <c r="A186" s="36"/>
      <c r="B186" s="36"/>
      <c r="C186" s="36"/>
      <c r="D186" s="36"/>
      <c r="E186" s="36"/>
      <c r="F186" s="76"/>
      <c r="G186" s="36"/>
      <c r="H186" s="36"/>
      <c r="I186" s="36"/>
      <c r="J186" s="36"/>
      <c r="K186" s="76"/>
      <c r="L186" s="76"/>
      <c r="M186" s="76"/>
      <c r="N186" s="95"/>
      <c r="O186" s="36"/>
      <c r="P186" s="36"/>
    </row>
    <row r="187" spans="1:16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208"/>
      <c r="L187" s="36"/>
      <c r="M187" s="36"/>
      <c r="N187" s="36"/>
      <c r="O187" s="36"/>
      <c r="P187" s="36"/>
    </row>
    <row r="188" spans="1:16" x14ac:dyDescent="0.2">
      <c r="A188" s="36"/>
      <c r="B188" s="36"/>
      <c r="C188" s="36"/>
      <c r="D188" s="36"/>
      <c r="E188" s="36"/>
      <c r="F188" s="76"/>
      <c r="G188" s="36"/>
      <c r="H188" s="36"/>
      <c r="I188" s="36"/>
      <c r="J188" s="210"/>
      <c r="K188" s="76"/>
      <c r="L188" s="76"/>
      <c r="M188" s="76"/>
      <c r="N188" s="95"/>
      <c r="O188" s="36"/>
      <c r="P188" s="36"/>
    </row>
    <row r="189" spans="1:16" x14ac:dyDescent="0.2">
      <c r="A189" s="36"/>
      <c r="B189" s="36"/>
      <c r="C189" s="36"/>
      <c r="D189" s="36"/>
      <c r="E189" s="36"/>
      <c r="F189" s="76"/>
      <c r="G189" s="36"/>
      <c r="H189" s="36"/>
      <c r="I189" s="36"/>
      <c r="J189" s="210"/>
      <c r="K189" s="76"/>
      <c r="L189" s="76"/>
      <c r="M189" s="76"/>
      <c r="N189" s="36"/>
      <c r="O189" s="36"/>
      <c r="P189" s="36"/>
    </row>
    <row r="190" spans="1:16" x14ac:dyDescent="0.2">
      <c r="A190" s="212"/>
      <c r="B190" s="212"/>
      <c r="C190" s="36"/>
      <c r="D190" s="116"/>
      <c r="E190" s="116"/>
      <c r="F190" s="213"/>
      <c r="G190" s="36"/>
      <c r="H190" s="36"/>
      <c r="I190" s="116"/>
      <c r="J190" s="116"/>
      <c r="K190" s="214"/>
      <c r="L190" s="212"/>
      <c r="M190" s="212"/>
      <c r="N190" s="212"/>
      <c r="O190" s="36"/>
      <c r="P190" s="36"/>
    </row>
    <row r="191" spans="1:16" x14ac:dyDescent="0.2">
      <c r="A191" s="212"/>
      <c r="B191" s="36"/>
      <c r="C191" s="36"/>
      <c r="D191" s="215"/>
      <c r="E191" s="116"/>
      <c r="F191" s="213"/>
      <c r="G191" s="36"/>
      <c r="H191" s="36"/>
      <c r="I191" s="116"/>
      <c r="J191" s="116"/>
      <c r="K191" s="214"/>
      <c r="L191" s="212"/>
      <c r="M191" s="212"/>
      <c r="N191" s="116"/>
      <c r="O191" s="36"/>
      <c r="P191" s="36"/>
    </row>
    <row r="192" spans="1:16" ht="15" x14ac:dyDescent="0.2">
      <c r="A192" s="216"/>
      <c r="B192" s="36"/>
      <c r="C192" s="217"/>
      <c r="D192" s="218"/>
      <c r="E192" s="218"/>
      <c r="F192" s="219"/>
      <c r="G192" s="36"/>
      <c r="H192" s="217"/>
      <c r="I192" s="218"/>
      <c r="J192" s="218"/>
      <c r="K192" s="76"/>
      <c r="L192" s="76"/>
      <c r="M192" s="76"/>
      <c r="N192" s="36"/>
      <c r="O192" s="36"/>
      <c r="P192" s="36"/>
    </row>
    <row r="193" spans="1:16" x14ac:dyDescent="0.2">
      <c r="A193" s="36"/>
      <c r="B193" s="36"/>
      <c r="C193" s="217"/>
      <c r="D193" s="36"/>
      <c r="E193" s="220"/>
      <c r="F193" s="76"/>
      <c r="G193" s="36"/>
      <c r="H193" s="217"/>
      <c r="I193" s="36"/>
      <c r="J193" s="221"/>
      <c r="K193" s="76"/>
      <c r="L193" s="76"/>
      <c r="M193" s="76"/>
      <c r="N193" s="36"/>
      <c r="O193" s="36"/>
      <c r="P193" s="36"/>
    </row>
    <row r="194" spans="1:16" x14ac:dyDescent="0.2">
      <c r="A194" s="36"/>
      <c r="B194" s="36"/>
      <c r="C194" s="217"/>
      <c r="D194" s="36"/>
      <c r="E194" s="220"/>
      <c r="F194" s="76"/>
      <c r="G194" s="36"/>
      <c r="H194" s="217"/>
      <c r="I194" s="36"/>
      <c r="J194" s="210"/>
      <c r="K194" s="76"/>
      <c r="L194" s="76"/>
      <c r="M194" s="76"/>
      <c r="N194" s="36"/>
      <c r="O194" s="36"/>
      <c r="P194" s="36"/>
    </row>
    <row r="195" spans="1:16" x14ac:dyDescent="0.2">
      <c r="A195" s="36"/>
      <c r="B195" s="36"/>
      <c r="C195" s="217"/>
      <c r="D195" s="223"/>
      <c r="E195" s="220"/>
      <c r="F195" s="76"/>
      <c r="G195" s="36"/>
      <c r="H195" s="217"/>
      <c r="I195" s="223"/>
      <c r="J195" s="210"/>
      <c r="K195" s="76"/>
      <c r="L195" s="36"/>
      <c r="M195" s="36"/>
      <c r="N195" s="36"/>
      <c r="O195" s="36"/>
      <c r="P195" s="36"/>
    </row>
    <row r="196" spans="1:16" x14ac:dyDescent="0.2">
      <c r="A196" s="36"/>
      <c r="B196" s="36"/>
      <c r="C196" s="222"/>
      <c r="D196" s="36"/>
      <c r="E196" s="36"/>
      <c r="F196" s="36"/>
      <c r="G196" s="36"/>
      <c r="H196" s="222"/>
      <c r="I196" s="36"/>
      <c r="J196" s="210"/>
      <c r="K196" s="76"/>
      <c r="L196" s="36"/>
      <c r="M196" s="36"/>
      <c r="N196" s="36"/>
      <c r="O196" s="36"/>
      <c r="P196" s="36"/>
    </row>
    <row r="197" spans="1:16" x14ac:dyDescent="0.2">
      <c r="A197" s="36"/>
      <c r="B197" s="36"/>
      <c r="C197" s="36"/>
      <c r="D197" s="36"/>
      <c r="E197" s="36"/>
      <c r="F197" s="76"/>
      <c r="G197" s="36"/>
      <c r="H197" s="36"/>
      <c r="I197" s="36"/>
      <c r="J197" s="36"/>
      <c r="K197" s="76"/>
      <c r="L197" s="76"/>
      <c r="M197" s="76"/>
      <c r="N197" s="95"/>
      <c r="O197" s="36"/>
      <c r="P197" s="36"/>
    </row>
    <row r="198" spans="1:16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208"/>
      <c r="L198" s="36"/>
      <c r="M198" s="36"/>
      <c r="N198" s="36"/>
      <c r="O198" s="36"/>
      <c r="P198" s="36"/>
    </row>
    <row r="199" spans="1:16" x14ac:dyDescent="0.2">
      <c r="A199" s="36"/>
      <c r="B199" s="36"/>
      <c r="C199" s="36"/>
      <c r="D199" s="36"/>
      <c r="E199" s="36"/>
      <c r="F199" s="76"/>
      <c r="G199" s="36"/>
      <c r="H199" s="36"/>
      <c r="I199" s="36"/>
      <c r="J199" s="210"/>
      <c r="K199" s="76"/>
      <c r="L199" s="76"/>
      <c r="M199" s="76"/>
      <c r="N199" s="95"/>
      <c r="O199" s="36"/>
      <c r="P199" s="36"/>
    </row>
    <row r="200" spans="1:16" x14ac:dyDescent="0.2">
      <c r="A200" s="212"/>
      <c r="B200" s="212"/>
      <c r="C200" s="36"/>
      <c r="D200" s="116"/>
      <c r="E200" s="116"/>
      <c r="F200" s="213"/>
      <c r="G200" s="36"/>
      <c r="H200" s="36"/>
      <c r="I200" s="116"/>
      <c r="J200" s="116"/>
      <c r="K200" s="214"/>
      <c r="L200" s="212"/>
      <c r="M200" s="212"/>
      <c r="N200" s="212"/>
      <c r="O200" s="36"/>
      <c r="P200" s="36"/>
    </row>
    <row r="201" spans="1:16" x14ac:dyDescent="0.2">
      <c r="A201" s="212"/>
      <c r="B201" s="36"/>
      <c r="C201" s="36"/>
      <c r="D201" s="215"/>
      <c r="E201" s="116"/>
      <c r="F201" s="213"/>
      <c r="G201" s="36"/>
      <c r="H201" s="36"/>
      <c r="I201" s="116"/>
      <c r="J201" s="116"/>
      <c r="K201" s="214"/>
      <c r="L201" s="212"/>
      <c r="M201" s="212"/>
      <c r="N201" s="116"/>
      <c r="O201" s="36"/>
      <c r="P201" s="36"/>
    </row>
    <row r="202" spans="1:16" ht="15" x14ac:dyDescent="0.2">
      <c r="A202" s="216"/>
      <c r="B202" s="36"/>
      <c r="C202" s="217"/>
      <c r="D202" s="218"/>
      <c r="E202" s="218"/>
      <c r="F202" s="219"/>
      <c r="G202" s="36"/>
      <c r="H202" s="217"/>
      <c r="I202" s="218"/>
      <c r="J202" s="218"/>
      <c r="K202" s="76"/>
      <c r="L202" s="76"/>
      <c r="M202" s="76"/>
      <c r="N202" s="36"/>
      <c r="O202" s="36"/>
      <c r="P202" s="36"/>
    </row>
    <row r="203" spans="1:16" x14ac:dyDescent="0.2">
      <c r="A203" s="36"/>
      <c r="B203" s="36"/>
      <c r="C203" s="217"/>
      <c r="D203" s="36"/>
      <c r="E203" s="220"/>
      <c r="F203" s="76"/>
      <c r="G203" s="36"/>
      <c r="H203" s="217"/>
      <c r="I203" s="36"/>
      <c r="J203" s="221"/>
      <c r="K203" s="76"/>
      <c r="L203" s="76"/>
      <c r="M203" s="76"/>
      <c r="N203" s="36"/>
      <c r="O203" s="36"/>
      <c r="P203" s="36"/>
    </row>
    <row r="204" spans="1:16" x14ac:dyDescent="0.2">
      <c r="A204" s="36"/>
      <c r="B204" s="36"/>
      <c r="C204" s="217"/>
      <c r="D204" s="36"/>
      <c r="E204" s="220"/>
      <c r="F204" s="76"/>
      <c r="G204" s="36"/>
      <c r="H204" s="217"/>
      <c r="I204" s="36"/>
      <c r="J204" s="210"/>
      <c r="K204" s="76"/>
      <c r="L204" s="76"/>
      <c r="M204" s="76"/>
      <c r="N204" s="36"/>
      <c r="O204" s="36"/>
      <c r="P204" s="36"/>
    </row>
    <row r="205" spans="1:16" x14ac:dyDescent="0.2">
      <c r="A205" s="36"/>
      <c r="B205" s="36"/>
      <c r="C205" s="217"/>
      <c r="D205" s="223"/>
      <c r="E205" s="220"/>
      <c r="F205" s="76"/>
      <c r="G205" s="36"/>
      <c r="H205" s="217"/>
      <c r="I205" s="223"/>
      <c r="J205" s="210"/>
      <c r="K205" s="76"/>
      <c r="L205" s="36"/>
      <c r="M205" s="36"/>
      <c r="N205" s="36"/>
      <c r="O205" s="36"/>
      <c r="P205" s="36"/>
    </row>
    <row r="206" spans="1:16" x14ac:dyDescent="0.2">
      <c r="A206" s="36"/>
      <c r="B206" s="36"/>
      <c r="C206" s="222"/>
      <c r="D206" s="36"/>
      <c r="E206" s="36"/>
      <c r="F206" s="36"/>
      <c r="G206" s="36"/>
      <c r="H206" s="222"/>
      <c r="I206" s="36"/>
      <c r="J206" s="210"/>
      <c r="K206" s="76"/>
      <c r="L206" s="36"/>
      <c r="M206" s="36"/>
      <c r="N206" s="36"/>
      <c r="O206" s="36"/>
      <c r="P206" s="36"/>
    </row>
    <row r="207" spans="1:16" x14ac:dyDescent="0.2">
      <c r="A207" s="36"/>
      <c r="B207" s="36"/>
      <c r="C207" s="36"/>
      <c r="D207" s="36"/>
      <c r="E207" s="36"/>
      <c r="F207" s="76"/>
      <c r="G207" s="36"/>
      <c r="H207" s="36"/>
      <c r="I207" s="36"/>
      <c r="J207" s="36"/>
      <c r="K207" s="76"/>
      <c r="L207" s="76"/>
      <c r="M207" s="76"/>
      <c r="N207" s="95"/>
      <c r="O207" s="36"/>
      <c r="P207" s="36"/>
    </row>
    <row r="208" spans="1:16" x14ac:dyDescent="0.2">
      <c r="A208" s="36"/>
      <c r="B208" s="36"/>
      <c r="C208" s="36"/>
      <c r="D208" s="36"/>
      <c r="E208" s="36"/>
      <c r="F208" s="76"/>
      <c r="G208" s="36"/>
      <c r="H208" s="36"/>
      <c r="I208" s="36"/>
      <c r="J208" s="36"/>
      <c r="K208" s="76"/>
      <c r="L208" s="76"/>
      <c r="M208" s="76"/>
      <c r="N208" s="95"/>
      <c r="O208" s="36"/>
      <c r="P208" s="36"/>
    </row>
    <row r="209" spans="1:16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208"/>
      <c r="L209" s="36"/>
      <c r="M209" s="36"/>
      <c r="N209" s="36"/>
      <c r="O209" s="36"/>
      <c r="P209" s="36"/>
    </row>
    <row r="210" spans="1:16" x14ac:dyDescent="0.2">
      <c r="A210" s="212"/>
      <c r="B210" s="212"/>
      <c r="C210" s="36"/>
      <c r="D210" s="116"/>
      <c r="E210" s="116"/>
      <c r="F210" s="213"/>
      <c r="G210" s="36"/>
      <c r="H210" s="36"/>
      <c r="I210" s="116"/>
      <c r="J210" s="116"/>
      <c r="K210" s="214"/>
      <c r="L210" s="212"/>
      <c r="M210" s="212"/>
      <c r="N210" s="212"/>
      <c r="O210" s="36"/>
      <c r="P210" s="36"/>
    </row>
    <row r="211" spans="1:16" x14ac:dyDescent="0.2">
      <c r="A211" s="212"/>
      <c r="B211" s="36"/>
      <c r="C211" s="36"/>
      <c r="D211" s="215"/>
      <c r="E211" s="116"/>
      <c r="F211" s="213"/>
      <c r="G211" s="36"/>
      <c r="H211" s="36"/>
      <c r="I211" s="116"/>
      <c r="J211" s="116"/>
      <c r="K211" s="214"/>
      <c r="L211" s="212"/>
      <c r="M211" s="212"/>
      <c r="N211" s="116"/>
      <c r="O211" s="36"/>
      <c r="P211" s="36"/>
    </row>
    <row r="212" spans="1:16" ht="15" x14ac:dyDescent="0.2">
      <c r="A212" s="216"/>
      <c r="B212" s="36"/>
      <c r="C212" s="217"/>
      <c r="D212" s="218"/>
      <c r="E212" s="218"/>
      <c r="F212" s="219"/>
      <c r="G212" s="36"/>
      <c r="H212" s="217"/>
      <c r="I212" s="218"/>
      <c r="J212" s="218"/>
      <c r="K212" s="76"/>
      <c r="L212" s="76"/>
      <c r="M212" s="76"/>
      <c r="N212" s="36"/>
      <c r="O212" s="36"/>
      <c r="P212" s="36"/>
    </row>
    <row r="213" spans="1:16" x14ac:dyDescent="0.2">
      <c r="A213" s="36"/>
      <c r="B213" s="36"/>
      <c r="C213" s="217"/>
      <c r="D213" s="36"/>
      <c r="E213" s="220"/>
      <c r="F213" s="76"/>
      <c r="G213" s="36"/>
      <c r="H213" s="217"/>
      <c r="I213" s="36"/>
      <c r="J213" s="221"/>
      <c r="K213" s="76"/>
      <c r="L213" s="76"/>
      <c r="M213" s="76"/>
      <c r="N213" s="36"/>
      <c r="O213" s="36"/>
      <c r="P213" s="36"/>
    </row>
    <row r="214" spans="1:16" x14ac:dyDescent="0.2">
      <c r="A214" s="36"/>
      <c r="B214" s="36"/>
      <c r="C214" s="217"/>
      <c r="D214" s="36"/>
      <c r="E214" s="220"/>
      <c r="F214" s="76"/>
      <c r="G214" s="36"/>
      <c r="H214" s="217"/>
      <c r="I214" s="36"/>
      <c r="J214" s="210"/>
      <c r="K214" s="76"/>
      <c r="L214" s="76"/>
      <c r="M214" s="76"/>
      <c r="N214" s="36"/>
      <c r="O214" s="36"/>
      <c r="P214" s="36"/>
    </row>
    <row r="215" spans="1:16" x14ac:dyDescent="0.2">
      <c r="A215" s="36"/>
      <c r="B215" s="36"/>
      <c r="C215" s="217"/>
      <c r="D215" s="223"/>
      <c r="E215" s="220"/>
      <c r="F215" s="76"/>
      <c r="G215" s="36"/>
      <c r="H215" s="217"/>
      <c r="I215" s="223"/>
      <c r="J215" s="210"/>
      <c r="K215" s="76"/>
      <c r="L215" s="36"/>
      <c r="M215" s="36"/>
      <c r="N215" s="36"/>
      <c r="O215" s="36"/>
      <c r="P215" s="36"/>
    </row>
    <row r="216" spans="1:16" x14ac:dyDescent="0.2">
      <c r="A216" s="36"/>
      <c r="B216" s="36"/>
      <c r="C216" s="222"/>
      <c r="D216" s="36"/>
      <c r="E216" s="36"/>
      <c r="F216" s="36"/>
      <c r="G216" s="36"/>
      <c r="H216" s="222"/>
      <c r="I216" s="36"/>
      <c r="J216" s="210"/>
      <c r="K216" s="76"/>
      <c r="L216" s="36"/>
      <c r="M216" s="36"/>
      <c r="N216" s="36"/>
      <c r="O216" s="36"/>
      <c r="P216" s="36"/>
    </row>
    <row r="217" spans="1:16" x14ac:dyDescent="0.2">
      <c r="A217" s="36"/>
      <c r="B217" s="36"/>
      <c r="C217" s="36"/>
      <c r="D217" s="36"/>
      <c r="E217" s="36"/>
      <c r="F217" s="76"/>
      <c r="G217" s="36"/>
      <c r="H217" s="36"/>
      <c r="I217" s="36"/>
      <c r="J217" s="36"/>
      <c r="K217" s="76"/>
      <c r="L217" s="76"/>
      <c r="M217" s="76"/>
      <c r="N217" s="95"/>
      <c r="O217" s="36"/>
      <c r="P217" s="36"/>
    </row>
    <row r="218" spans="1:16" x14ac:dyDescent="0.2">
      <c r="A218" s="36"/>
      <c r="B218" s="36"/>
      <c r="C218" s="222"/>
      <c r="D218" s="36"/>
      <c r="E218" s="224"/>
      <c r="F218" s="76"/>
      <c r="G218" s="36"/>
      <c r="H218" s="222"/>
      <c r="I218" s="36"/>
      <c r="J218" s="210"/>
      <c r="K218" s="76"/>
      <c r="L218" s="76"/>
      <c r="M218" s="76"/>
      <c r="N218" s="36"/>
      <c r="O218" s="36"/>
      <c r="P218" s="36"/>
    </row>
    <row r="219" spans="1:16" x14ac:dyDescent="0.2">
      <c r="A219" s="36"/>
      <c r="B219" s="36"/>
      <c r="C219" s="222"/>
      <c r="D219" s="36"/>
      <c r="E219" s="224"/>
      <c r="F219" s="76"/>
      <c r="G219" s="36"/>
      <c r="H219" s="36"/>
      <c r="I219" s="36"/>
      <c r="J219" s="210"/>
      <c r="K219" s="76"/>
      <c r="L219" s="76"/>
      <c r="M219" s="76"/>
      <c r="N219" s="36"/>
      <c r="O219" s="36"/>
      <c r="P219" s="36"/>
    </row>
    <row r="220" spans="1:16" x14ac:dyDescent="0.2">
      <c r="A220" s="212"/>
      <c r="B220" s="212"/>
      <c r="C220" s="36"/>
      <c r="D220" s="116"/>
      <c r="E220" s="116"/>
      <c r="F220" s="213"/>
      <c r="G220" s="36"/>
      <c r="H220" s="36"/>
      <c r="I220" s="116"/>
      <c r="J220" s="116"/>
      <c r="K220" s="214"/>
      <c r="L220" s="212"/>
      <c r="M220" s="212"/>
      <c r="N220" s="212"/>
      <c r="O220" s="36"/>
      <c r="P220" s="36"/>
    </row>
    <row r="221" spans="1:16" x14ac:dyDescent="0.2">
      <c r="A221" s="212"/>
      <c r="B221" s="36"/>
      <c r="C221" s="36"/>
      <c r="D221" s="215"/>
      <c r="E221" s="116"/>
      <c r="F221" s="213"/>
      <c r="G221" s="36"/>
      <c r="H221" s="36"/>
      <c r="I221" s="116"/>
      <c r="J221" s="116"/>
      <c r="K221" s="214"/>
      <c r="L221" s="212"/>
      <c r="M221" s="212"/>
      <c r="N221" s="116"/>
      <c r="O221" s="36"/>
      <c r="P221" s="36"/>
    </row>
    <row r="222" spans="1:16" ht="15" x14ac:dyDescent="0.2">
      <c r="A222" s="216"/>
      <c r="B222" s="36"/>
      <c r="C222" s="217"/>
      <c r="D222" s="218"/>
      <c r="E222" s="218"/>
      <c r="F222" s="219"/>
      <c r="G222" s="36"/>
      <c r="H222" s="217"/>
      <c r="I222" s="218"/>
      <c r="J222" s="218"/>
      <c r="K222" s="76"/>
      <c r="L222" s="76"/>
      <c r="M222" s="76"/>
      <c r="N222" s="36"/>
      <c r="O222" s="36"/>
      <c r="P222" s="36"/>
    </row>
    <row r="223" spans="1:16" x14ac:dyDescent="0.2">
      <c r="A223" s="36"/>
      <c r="B223" s="36"/>
      <c r="C223" s="217"/>
      <c r="D223" s="36"/>
      <c r="E223" s="220"/>
      <c r="F223" s="76"/>
      <c r="G223" s="36"/>
      <c r="H223" s="217"/>
      <c r="I223" s="36"/>
      <c r="J223" s="221"/>
      <c r="K223" s="76"/>
      <c r="L223" s="76"/>
      <c r="M223" s="76"/>
      <c r="N223" s="36"/>
      <c r="O223" s="36"/>
      <c r="P223" s="36"/>
    </row>
    <row r="224" spans="1:16" x14ac:dyDescent="0.2">
      <c r="A224" s="36"/>
      <c r="B224" s="36"/>
      <c r="C224" s="217"/>
      <c r="D224" s="36"/>
      <c r="E224" s="220"/>
      <c r="F224" s="76"/>
      <c r="G224" s="36"/>
      <c r="H224" s="217"/>
      <c r="I224" s="36"/>
      <c r="J224" s="210"/>
      <c r="K224" s="76"/>
      <c r="L224" s="76"/>
      <c r="M224" s="76"/>
      <c r="N224" s="36"/>
      <c r="O224" s="36"/>
      <c r="P224" s="36"/>
    </row>
    <row r="225" spans="1:16" x14ac:dyDescent="0.2">
      <c r="A225" s="36"/>
      <c r="B225" s="36"/>
      <c r="C225" s="217"/>
      <c r="D225" s="223"/>
      <c r="E225" s="220"/>
      <c r="F225" s="76"/>
      <c r="G225" s="36"/>
      <c r="H225" s="217"/>
      <c r="I225" s="223"/>
      <c r="J225" s="210"/>
      <c r="K225" s="76"/>
      <c r="L225" s="36"/>
      <c r="M225" s="36"/>
      <c r="N225" s="36"/>
      <c r="O225" s="36"/>
      <c r="P225" s="36"/>
    </row>
    <row r="226" spans="1:16" x14ac:dyDescent="0.2">
      <c r="A226" s="36"/>
      <c r="B226" s="36"/>
      <c r="C226" s="222"/>
      <c r="D226" s="36"/>
      <c r="E226" s="36"/>
      <c r="F226" s="36"/>
      <c r="G226" s="36"/>
      <c r="H226" s="222"/>
      <c r="I226" s="36"/>
      <c r="J226" s="210"/>
      <c r="K226" s="76"/>
      <c r="L226" s="36"/>
      <c r="M226" s="36"/>
      <c r="N226" s="36"/>
      <c r="O226" s="36"/>
      <c r="P226" s="36"/>
    </row>
    <row r="227" spans="1:16" x14ac:dyDescent="0.2">
      <c r="A227" s="36"/>
      <c r="B227" s="36"/>
      <c r="C227" s="36"/>
      <c r="D227" s="36"/>
      <c r="E227" s="36"/>
      <c r="F227" s="76"/>
      <c r="G227" s="36"/>
      <c r="H227" s="36"/>
      <c r="I227" s="36"/>
      <c r="J227" s="36"/>
      <c r="K227" s="76"/>
      <c r="L227" s="76"/>
      <c r="M227" s="76"/>
      <c r="N227" s="95"/>
      <c r="O227" s="36"/>
      <c r="P227" s="36"/>
    </row>
    <row r="228" spans="1:16" x14ac:dyDescent="0.2">
      <c r="A228" s="36"/>
      <c r="B228" s="36"/>
      <c r="C228" s="36"/>
      <c r="D228" s="36"/>
      <c r="E228" s="36"/>
      <c r="F228" s="76"/>
      <c r="G228" s="36"/>
      <c r="H228" s="36"/>
      <c r="I228" s="36"/>
      <c r="J228" s="210"/>
      <c r="K228" s="76"/>
      <c r="L228" s="76"/>
      <c r="M228" s="76"/>
      <c r="N228" s="36"/>
      <c r="O228" s="36"/>
      <c r="P228" s="36"/>
    </row>
    <row r="229" spans="1:16" x14ac:dyDescent="0.2">
      <c r="A229" s="36"/>
      <c r="B229" s="36"/>
      <c r="C229" s="36"/>
      <c r="D229" s="36"/>
      <c r="E229" s="36"/>
      <c r="F229" s="76"/>
      <c r="G229" s="36"/>
      <c r="H229" s="36"/>
      <c r="I229" s="36"/>
      <c r="J229" s="210"/>
      <c r="K229" s="76"/>
      <c r="L229" s="76"/>
      <c r="M229" s="76"/>
      <c r="N229" s="36"/>
      <c r="O229" s="36"/>
      <c r="P229" s="36"/>
    </row>
    <row r="230" spans="1:16" x14ac:dyDescent="0.2">
      <c r="A230" s="212"/>
      <c r="B230" s="212"/>
      <c r="C230" s="36"/>
      <c r="D230" s="116"/>
      <c r="E230" s="116"/>
      <c r="F230" s="213"/>
      <c r="G230" s="36"/>
      <c r="H230" s="36"/>
      <c r="I230" s="116"/>
      <c r="J230" s="116"/>
      <c r="K230" s="214"/>
      <c r="L230" s="212"/>
      <c r="M230" s="212"/>
      <c r="N230" s="212"/>
      <c r="O230" s="36"/>
      <c r="P230" s="36"/>
    </row>
    <row r="231" spans="1:16" x14ac:dyDescent="0.2">
      <c r="A231" s="212"/>
      <c r="B231" s="36"/>
      <c r="C231" s="36"/>
      <c r="D231" s="215"/>
      <c r="E231" s="116"/>
      <c r="F231" s="213"/>
      <c r="G231" s="36"/>
      <c r="H231" s="36"/>
      <c r="I231" s="116"/>
      <c r="J231" s="116"/>
      <c r="K231" s="214"/>
      <c r="L231" s="212"/>
      <c r="M231" s="212"/>
      <c r="N231" s="116"/>
      <c r="O231" s="36"/>
      <c r="P231" s="36"/>
    </row>
    <row r="232" spans="1:16" ht="15" x14ac:dyDescent="0.2">
      <c r="A232" s="216"/>
      <c r="B232" s="36"/>
      <c r="C232" s="217"/>
      <c r="D232" s="218"/>
      <c r="E232" s="218"/>
      <c r="F232" s="219"/>
      <c r="G232" s="36"/>
      <c r="H232" s="217"/>
      <c r="I232" s="218"/>
      <c r="J232" s="218"/>
      <c r="K232" s="76"/>
      <c r="L232" s="76"/>
      <c r="M232" s="76"/>
      <c r="N232" s="36"/>
      <c r="O232" s="36"/>
      <c r="P232" s="36"/>
    </row>
    <row r="233" spans="1:16" x14ac:dyDescent="0.2">
      <c r="A233" s="36"/>
      <c r="B233" s="36"/>
      <c r="C233" s="217"/>
      <c r="D233" s="36"/>
      <c r="E233" s="220"/>
      <c r="F233" s="76"/>
      <c r="G233" s="36"/>
      <c r="H233" s="217"/>
      <c r="I233" s="36"/>
      <c r="J233" s="221"/>
      <c r="K233" s="76"/>
      <c r="L233" s="76"/>
      <c r="M233" s="76"/>
      <c r="N233" s="36"/>
      <c r="O233" s="36"/>
      <c r="P233" s="36"/>
    </row>
    <row r="234" spans="1:16" x14ac:dyDescent="0.2">
      <c r="A234" s="36"/>
      <c r="B234" s="36"/>
      <c r="C234" s="217"/>
      <c r="D234" s="36"/>
      <c r="E234" s="220"/>
      <c r="F234" s="76"/>
      <c r="G234" s="36"/>
      <c r="H234" s="217"/>
      <c r="I234" s="36"/>
      <c r="J234" s="210"/>
      <c r="K234" s="76"/>
      <c r="L234" s="76"/>
      <c r="M234" s="76"/>
      <c r="N234" s="36"/>
      <c r="O234" s="36"/>
      <c r="P234" s="36"/>
    </row>
    <row r="235" spans="1:16" x14ac:dyDescent="0.2">
      <c r="A235" s="36"/>
      <c r="B235" s="36"/>
      <c r="C235" s="217"/>
      <c r="D235" s="225"/>
      <c r="E235" s="220"/>
      <c r="F235" s="76"/>
      <c r="G235" s="36"/>
      <c r="H235" s="217"/>
      <c r="I235" s="223"/>
      <c r="J235" s="210"/>
      <c r="K235" s="76"/>
      <c r="L235" s="36"/>
      <c r="M235" s="36"/>
      <c r="N235" s="36"/>
      <c r="O235" s="36"/>
      <c r="P235" s="36"/>
    </row>
    <row r="236" spans="1:16" x14ac:dyDescent="0.2">
      <c r="A236" s="36"/>
      <c r="B236" s="36"/>
      <c r="C236" s="222"/>
      <c r="D236" s="36"/>
      <c r="E236" s="36"/>
      <c r="F236" s="36"/>
      <c r="G236" s="36"/>
      <c r="H236" s="222"/>
      <c r="I236" s="36"/>
      <c r="J236" s="210"/>
      <c r="K236" s="76"/>
      <c r="L236" s="36"/>
      <c r="M236" s="36"/>
      <c r="N236" s="36"/>
      <c r="O236" s="36"/>
      <c r="P236" s="36"/>
    </row>
    <row r="237" spans="1:16" x14ac:dyDescent="0.2">
      <c r="A237" s="36"/>
      <c r="B237" s="36"/>
      <c r="C237" s="36"/>
      <c r="D237" s="36"/>
      <c r="E237" s="36"/>
      <c r="F237" s="76"/>
      <c r="G237" s="36"/>
      <c r="H237" s="36"/>
      <c r="I237" s="36"/>
      <c r="J237" s="36"/>
      <c r="K237" s="76"/>
      <c r="L237" s="76"/>
      <c r="M237" s="76"/>
      <c r="N237" s="95"/>
      <c r="O237" s="36"/>
      <c r="P237" s="36"/>
    </row>
    <row r="238" spans="1:16" x14ac:dyDescent="0.2">
      <c r="A238" s="36"/>
      <c r="B238" s="36"/>
      <c r="C238" s="36"/>
      <c r="D238" s="36"/>
      <c r="E238" s="36"/>
      <c r="F238" s="76"/>
      <c r="G238" s="36"/>
      <c r="H238" s="36"/>
      <c r="I238" s="36"/>
      <c r="J238" s="210"/>
      <c r="K238" s="76"/>
      <c r="L238" s="76"/>
      <c r="M238" s="76"/>
      <c r="N238" s="36"/>
      <c r="O238" s="36"/>
      <c r="P238" s="36"/>
    </row>
    <row r="239" spans="1:16" x14ac:dyDescent="0.2">
      <c r="A239" s="36"/>
      <c r="B239" s="36"/>
      <c r="C239" s="36"/>
      <c r="D239" s="36"/>
      <c r="E239" s="36"/>
      <c r="F239" s="76"/>
      <c r="G239" s="36"/>
      <c r="H239" s="36"/>
      <c r="I239" s="36"/>
      <c r="J239" s="210"/>
      <c r="K239" s="76"/>
      <c r="L239" s="76"/>
      <c r="M239" s="76"/>
      <c r="N239" s="36"/>
      <c r="O239" s="36"/>
      <c r="P239" s="36"/>
    </row>
    <row r="240" spans="1:16" x14ac:dyDescent="0.2">
      <c r="A240" s="212"/>
      <c r="B240" s="212"/>
      <c r="C240" s="36"/>
      <c r="D240" s="116"/>
      <c r="E240" s="116"/>
      <c r="F240" s="213"/>
      <c r="G240" s="36"/>
      <c r="H240" s="36"/>
      <c r="I240" s="116"/>
      <c r="J240" s="116"/>
      <c r="K240" s="214"/>
      <c r="L240" s="212"/>
      <c r="M240" s="212"/>
      <c r="N240" s="212"/>
      <c r="O240" s="36"/>
      <c r="P240" s="36"/>
    </row>
    <row r="241" spans="1:16" x14ac:dyDescent="0.2">
      <c r="A241" s="212"/>
      <c r="B241" s="36"/>
      <c r="C241" s="36"/>
      <c r="D241" s="215"/>
      <c r="E241" s="116"/>
      <c r="F241" s="213"/>
      <c r="G241" s="36"/>
      <c r="H241" s="36"/>
      <c r="I241" s="116"/>
      <c r="J241" s="116"/>
      <c r="K241" s="214"/>
      <c r="L241" s="212"/>
      <c r="M241" s="212"/>
      <c r="N241" s="116"/>
      <c r="O241" s="36"/>
      <c r="P241" s="36"/>
    </row>
    <row r="242" spans="1:16" ht="15" x14ac:dyDescent="0.2">
      <c r="A242" s="216"/>
      <c r="B242" s="36"/>
      <c r="C242" s="217"/>
      <c r="D242" s="218"/>
      <c r="E242" s="218"/>
      <c r="F242" s="219"/>
      <c r="G242" s="36"/>
      <c r="H242" s="217"/>
      <c r="I242" s="218"/>
      <c r="J242" s="218"/>
      <c r="K242" s="76"/>
      <c r="L242" s="76"/>
      <c r="M242" s="76"/>
      <c r="N242" s="36"/>
      <c r="O242" s="36"/>
      <c r="P242" s="36"/>
    </row>
    <row r="243" spans="1:16" x14ac:dyDescent="0.2">
      <c r="A243" s="36"/>
      <c r="B243" s="36"/>
      <c r="C243" s="217"/>
      <c r="D243" s="36"/>
      <c r="E243" s="220"/>
      <c r="F243" s="76"/>
      <c r="G243" s="36"/>
      <c r="H243" s="217"/>
      <c r="I243" s="36"/>
      <c r="J243" s="221"/>
      <c r="K243" s="76"/>
      <c r="L243" s="76"/>
      <c r="M243" s="76"/>
      <c r="N243" s="36"/>
      <c r="O243" s="36"/>
      <c r="P243" s="36"/>
    </row>
    <row r="244" spans="1:16" x14ac:dyDescent="0.2">
      <c r="A244" s="36"/>
      <c r="B244" s="36"/>
      <c r="C244" s="217"/>
      <c r="D244" s="36"/>
      <c r="E244" s="220"/>
      <c r="F244" s="76"/>
      <c r="G244" s="36"/>
      <c r="H244" s="217"/>
      <c r="I244" s="36"/>
      <c r="J244" s="210"/>
      <c r="K244" s="76"/>
      <c r="L244" s="76"/>
      <c r="M244" s="76"/>
      <c r="N244" s="36"/>
      <c r="O244" s="36"/>
      <c r="P244" s="36"/>
    </row>
    <row r="245" spans="1:16" x14ac:dyDescent="0.2">
      <c r="A245" s="36"/>
      <c r="B245" s="36"/>
      <c r="C245" s="217"/>
      <c r="D245" s="225"/>
      <c r="E245" s="220"/>
      <c r="F245" s="76"/>
      <c r="G245" s="36"/>
      <c r="H245" s="217"/>
      <c r="I245" s="223"/>
      <c r="J245" s="210"/>
      <c r="K245" s="76"/>
      <c r="L245" s="36"/>
      <c r="M245" s="36"/>
      <c r="N245" s="36"/>
      <c r="O245" s="36"/>
      <c r="P245" s="36"/>
    </row>
    <row r="246" spans="1:16" x14ac:dyDescent="0.2">
      <c r="A246" s="36"/>
      <c r="B246" s="36"/>
      <c r="C246" s="222"/>
      <c r="D246" s="36"/>
      <c r="E246" s="36"/>
      <c r="F246" s="36"/>
      <c r="G246" s="36"/>
      <c r="H246" s="222"/>
      <c r="I246" s="36"/>
      <c r="J246" s="210"/>
      <c r="K246" s="76"/>
      <c r="L246" s="36"/>
      <c r="M246" s="36"/>
      <c r="N246" s="36"/>
      <c r="O246" s="36"/>
      <c r="P246" s="36"/>
    </row>
    <row r="247" spans="1:16" x14ac:dyDescent="0.2">
      <c r="A247" s="36"/>
      <c r="B247" s="36"/>
      <c r="C247" s="36"/>
      <c r="D247" s="36"/>
      <c r="E247" s="36"/>
      <c r="F247" s="76"/>
      <c r="G247" s="36"/>
      <c r="H247" s="36"/>
      <c r="I247" s="36"/>
      <c r="J247" s="36"/>
      <c r="K247" s="76"/>
      <c r="L247" s="76"/>
      <c r="M247" s="76"/>
      <c r="N247" s="95"/>
      <c r="O247" s="36"/>
      <c r="P247" s="36"/>
    </row>
    <row r="248" spans="1:16" x14ac:dyDescent="0.2">
      <c r="A248" s="36"/>
      <c r="B248" s="36"/>
      <c r="C248" s="36"/>
      <c r="D248" s="36"/>
      <c r="E248" s="36"/>
      <c r="F248" s="76"/>
      <c r="G248" s="36"/>
      <c r="H248" s="36"/>
      <c r="I248" s="36"/>
      <c r="J248" s="210"/>
      <c r="K248" s="76"/>
      <c r="L248" s="76"/>
      <c r="M248" s="76"/>
      <c r="N248" s="36"/>
      <c r="O248" s="36"/>
      <c r="P248" s="36"/>
    </row>
    <row r="249" spans="1:16" x14ac:dyDescent="0.2">
      <c r="A249" s="36"/>
      <c r="B249" s="36"/>
      <c r="C249" s="36"/>
      <c r="D249" s="36"/>
      <c r="E249" s="36"/>
      <c r="F249" s="76"/>
      <c r="G249" s="36"/>
      <c r="H249" s="36"/>
      <c r="I249" s="36"/>
      <c r="J249" s="210"/>
      <c r="K249" s="76"/>
      <c r="L249" s="76"/>
      <c r="M249" s="76"/>
      <c r="N249" s="36"/>
      <c r="O249" s="36"/>
      <c r="P249" s="36"/>
    </row>
    <row r="250" spans="1:16" x14ac:dyDescent="0.2">
      <c r="A250" s="212"/>
      <c r="B250" s="212"/>
      <c r="C250" s="36"/>
      <c r="D250" s="116"/>
      <c r="E250" s="116"/>
      <c r="F250" s="213"/>
      <c r="G250" s="36"/>
      <c r="H250" s="36"/>
      <c r="I250" s="116"/>
      <c r="J250" s="116"/>
      <c r="K250" s="214"/>
      <c r="L250" s="212"/>
      <c r="M250" s="212"/>
      <c r="N250" s="212"/>
      <c r="O250" s="36"/>
      <c r="P250" s="36"/>
    </row>
    <row r="251" spans="1:16" x14ac:dyDescent="0.2">
      <c r="A251" s="212"/>
      <c r="B251" s="36"/>
      <c r="C251" s="36"/>
      <c r="D251" s="215"/>
      <c r="E251" s="116"/>
      <c r="F251" s="213"/>
      <c r="G251" s="36"/>
      <c r="H251" s="36"/>
      <c r="I251" s="116"/>
      <c r="J251" s="116"/>
      <c r="K251" s="214"/>
      <c r="L251" s="212"/>
      <c r="M251" s="212"/>
      <c r="N251" s="116"/>
      <c r="O251" s="36"/>
      <c r="P251" s="36"/>
    </row>
    <row r="252" spans="1:16" ht="15" x14ac:dyDescent="0.2">
      <c r="A252" s="216"/>
      <c r="B252" s="36"/>
      <c r="C252" s="217"/>
      <c r="D252" s="218"/>
      <c r="E252" s="218"/>
      <c r="F252" s="219"/>
      <c r="G252" s="36"/>
      <c r="H252" s="217"/>
      <c r="I252" s="218"/>
      <c r="J252" s="218"/>
      <c r="K252" s="76"/>
      <c r="L252" s="76"/>
      <c r="M252" s="76"/>
      <c r="N252" s="36"/>
      <c r="O252" s="36"/>
      <c r="P252" s="36"/>
    </row>
    <row r="253" spans="1:16" x14ac:dyDescent="0.2">
      <c r="A253" s="36"/>
      <c r="B253" s="36"/>
      <c r="C253" s="217"/>
      <c r="D253" s="36"/>
      <c r="E253" s="220"/>
      <c r="F253" s="76"/>
      <c r="G253" s="36"/>
      <c r="H253" s="217"/>
      <c r="I253" s="36"/>
      <c r="J253" s="221"/>
      <c r="K253" s="76"/>
      <c r="L253" s="76"/>
      <c r="M253" s="76"/>
      <c r="N253" s="36"/>
      <c r="O253" s="36"/>
      <c r="P253" s="36"/>
    </row>
    <row r="254" spans="1:16" x14ac:dyDescent="0.2">
      <c r="A254" s="36"/>
      <c r="B254" s="36"/>
      <c r="C254" s="217"/>
      <c r="D254" s="36"/>
      <c r="E254" s="220"/>
      <c r="F254" s="76"/>
      <c r="G254" s="36"/>
      <c r="H254" s="217"/>
      <c r="I254" s="36"/>
      <c r="J254" s="210"/>
      <c r="K254" s="76"/>
      <c r="L254" s="76"/>
      <c r="M254" s="76"/>
      <c r="N254" s="36"/>
      <c r="O254" s="36"/>
      <c r="P254" s="36"/>
    </row>
    <row r="255" spans="1:16" x14ac:dyDescent="0.2">
      <c r="A255" s="36"/>
      <c r="B255" s="36"/>
      <c r="C255" s="217"/>
      <c r="D255" s="225"/>
      <c r="E255" s="220"/>
      <c r="F255" s="76"/>
      <c r="G255" s="36"/>
      <c r="H255" s="217"/>
      <c r="I255" s="223"/>
      <c r="J255" s="210"/>
      <c r="K255" s="76"/>
      <c r="L255" s="36"/>
      <c r="M255" s="36"/>
      <c r="N255" s="36"/>
      <c r="O255" s="36"/>
      <c r="P255" s="36"/>
    </row>
    <row r="256" spans="1:16" x14ac:dyDescent="0.2">
      <c r="A256" s="36"/>
      <c r="B256" s="36"/>
      <c r="C256" s="222"/>
      <c r="D256" s="36"/>
      <c r="E256" s="36"/>
      <c r="F256" s="36"/>
      <c r="G256" s="36"/>
      <c r="H256" s="222"/>
      <c r="I256" s="36"/>
      <c r="J256" s="210"/>
      <c r="K256" s="76"/>
      <c r="L256" s="36"/>
      <c r="M256" s="36"/>
      <c r="N256" s="36"/>
      <c r="O256" s="36"/>
      <c r="P256" s="36"/>
    </row>
    <row r="257" spans="1:16" x14ac:dyDescent="0.2">
      <c r="A257" s="36"/>
      <c r="B257" s="36"/>
      <c r="C257" s="36"/>
      <c r="D257" s="36"/>
      <c r="E257" s="36"/>
      <c r="F257" s="76"/>
      <c r="G257" s="36"/>
      <c r="H257" s="36"/>
      <c r="I257" s="36"/>
      <c r="J257" s="36"/>
      <c r="K257" s="76"/>
      <c r="L257" s="76"/>
      <c r="M257" s="76"/>
      <c r="N257" s="95"/>
      <c r="O257" s="36"/>
      <c r="P257" s="36"/>
    </row>
    <row r="258" spans="1:16" x14ac:dyDescent="0.2">
      <c r="A258" s="36"/>
      <c r="B258" s="36"/>
      <c r="C258" s="222"/>
      <c r="D258" s="36"/>
      <c r="E258" s="224"/>
      <c r="F258" s="76"/>
      <c r="G258" s="36"/>
      <c r="H258" s="222"/>
      <c r="I258" s="36"/>
      <c r="J258" s="210"/>
      <c r="K258" s="76"/>
      <c r="L258" s="76"/>
      <c r="M258" s="76"/>
      <c r="N258" s="36"/>
      <c r="O258" s="36"/>
      <c r="P258" s="36"/>
    </row>
    <row r="259" spans="1:16" x14ac:dyDescent="0.2">
      <c r="A259" s="36"/>
      <c r="B259" s="36"/>
      <c r="C259" s="222"/>
      <c r="D259" s="36"/>
      <c r="E259" s="224"/>
      <c r="F259" s="76"/>
      <c r="G259" s="36"/>
      <c r="H259" s="36"/>
      <c r="I259" s="36"/>
      <c r="J259" s="210"/>
      <c r="K259" s="76"/>
      <c r="L259" s="76"/>
      <c r="M259" s="76"/>
      <c r="N259" s="36"/>
      <c r="O259" s="36"/>
      <c r="P259" s="36"/>
    </row>
    <row r="260" spans="1:16" x14ac:dyDescent="0.2">
      <c r="A260" s="212"/>
      <c r="B260" s="212"/>
      <c r="C260" s="36"/>
      <c r="D260" s="116"/>
      <c r="E260" s="116"/>
      <c r="F260" s="213"/>
      <c r="G260" s="36"/>
      <c r="H260" s="36"/>
      <c r="I260" s="116"/>
      <c r="J260" s="116"/>
      <c r="K260" s="214"/>
      <c r="L260" s="212"/>
      <c r="M260" s="212"/>
      <c r="N260" s="212"/>
      <c r="O260" s="36"/>
      <c r="P260" s="36"/>
    </row>
    <row r="261" spans="1:16" x14ac:dyDescent="0.2">
      <c r="A261" s="212"/>
      <c r="B261" s="36"/>
      <c r="C261" s="36"/>
      <c r="D261" s="215"/>
      <c r="E261" s="116"/>
      <c r="F261" s="213"/>
      <c r="G261" s="36"/>
      <c r="H261" s="36"/>
      <c r="I261" s="116"/>
      <c r="J261" s="116"/>
      <c r="K261" s="214"/>
      <c r="L261" s="212"/>
      <c r="M261" s="212"/>
      <c r="N261" s="116"/>
      <c r="O261" s="36"/>
      <c r="P261" s="36"/>
    </row>
    <row r="262" spans="1:16" ht="15" x14ac:dyDescent="0.2">
      <c r="A262" s="216"/>
      <c r="B262" s="36"/>
      <c r="C262" s="217"/>
      <c r="D262" s="218"/>
      <c r="E262" s="218"/>
      <c r="F262" s="219"/>
      <c r="G262" s="36"/>
      <c r="H262" s="217"/>
      <c r="I262" s="218"/>
      <c r="J262" s="218"/>
      <c r="K262" s="76"/>
      <c r="L262" s="76"/>
      <c r="M262" s="76"/>
      <c r="N262" s="36"/>
      <c r="O262" s="36"/>
      <c r="P262" s="36"/>
    </row>
    <row r="263" spans="1:16" x14ac:dyDescent="0.2">
      <c r="A263" s="36"/>
      <c r="B263" s="36"/>
      <c r="C263" s="217"/>
      <c r="D263" s="36"/>
      <c r="E263" s="220"/>
      <c r="F263" s="76"/>
      <c r="G263" s="36"/>
      <c r="H263" s="217"/>
      <c r="I263" s="36"/>
      <c r="J263" s="221"/>
      <c r="K263" s="76"/>
      <c r="L263" s="76"/>
      <c r="M263" s="76"/>
      <c r="N263" s="36"/>
      <c r="O263" s="36"/>
      <c r="P263" s="36"/>
    </row>
    <row r="264" spans="1:16" x14ac:dyDescent="0.2">
      <c r="A264" s="36"/>
      <c r="B264" s="36"/>
      <c r="C264" s="217"/>
      <c r="D264" s="36"/>
      <c r="E264" s="220"/>
      <c r="F264" s="76"/>
      <c r="G264" s="36"/>
      <c r="H264" s="217"/>
      <c r="I264" s="36"/>
      <c r="J264" s="210"/>
      <c r="K264" s="76"/>
      <c r="L264" s="76"/>
      <c r="M264" s="76"/>
      <c r="N264" s="36"/>
      <c r="O264" s="36"/>
      <c r="P264" s="36"/>
    </row>
    <row r="265" spans="1:16" x14ac:dyDescent="0.2">
      <c r="A265" s="36"/>
      <c r="B265" s="36"/>
      <c r="C265" s="217"/>
      <c r="D265" s="225"/>
      <c r="E265" s="220"/>
      <c r="F265" s="76"/>
      <c r="G265" s="36"/>
      <c r="H265" s="217"/>
      <c r="I265" s="223"/>
      <c r="J265" s="210"/>
      <c r="K265" s="76"/>
      <c r="L265" s="36"/>
      <c r="M265" s="36"/>
      <c r="N265" s="36"/>
      <c r="O265" s="36"/>
      <c r="P265" s="36"/>
    </row>
    <row r="266" spans="1:16" x14ac:dyDescent="0.2">
      <c r="A266" s="36"/>
      <c r="B266" s="36"/>
      <c r="C266" s="222"/>
      <c r="D266" s="36"/>
      <c r="E266" s="36"/>
      <c r="F266" s="36"/>
      <c r="G266" s="36"/>
      <c r="H266" s="222"/>
      <c r="I266" s="36"/>
      <c r="J266" s="210"/>
      <c r="K266" s="76"/>
      <c r="L266" s="36"/>
      <c r="M266" s="36"/>
      <c r="N266" s="36"/>
      <c r="O266" s="36"/>
      <c r="P266" s="36"/>
    </row>
    <row r="267" spans="1:16" x14ac:dyDescent="0.2">
      <c r="A267" s="36"/>
      <c r="B267" s="36"/>
      <c r="C267" s="36"/>
      <c r="D267" s="36"/>
      <c r="E267" s="36"/>
      <c r="F267" s="76"/>
      <c r="G267" s="36"/>
      <c r="H267" s="36"/>
      <c r="I267" s="36"/>
      <c r="J267" s="36"/>
      <c r="K267" s="76"/>
      <c r="L267" s="76"/>
      <c r="M267" s="76"/>
      <c r="N267" s="95"/>
      <c r="O267" s="36"/>
      <c r="P267" s="36"/>
    </row>
    <row r="268" spans="1:16" x14ac:dyDescent="0.2">
      <c r="A268" s="36"/>
      <c r="B268" s="36"/>
      <c r="C268" s="222"/>
      <c r="D268" s="36"/>
      <c r="E268" s="224"/>
      <c r="F268" s="76"/>
      <c r="G268" s="36"/>
      <c r="H268" s="222"/>
      <c r="I268" s="36"/>
      <c r="J268" s="210"/>
      <c r="K268" s="76"/>
      <c r="L268" s="76"/>
      <c r="M268" s="76"/>
      <c r="N268" s="36"/>
      <c r="O268" s="36"/>
      <c r="P268" s="36"/>
    </row>
    <row r="269" spans="1:16" x14ac:dyDescent="0.2">
      <c r="A269" s="36"/>
      <c r="B269" s="36"/>
      <c r="C269" s="222"/>
      <c r="D269" s="36"/>
      <c r="E269" s="224"/>
      <c r="F269" s="76"/>
      <c r="G269" s="36"/>
      <c r="H269" s="36"/>
      <c r="I269" s="36"/>
      <c r="J269" s="210"/>
      <c r="K269" s="76"/>
      <c r="L269" s="76"/>
      <c r="M269" s="76"/>
      <c r="N269" s="36"/>
      <c r="O269" s="36"/>
      <c r="P269" s="36"/>
    </row>
    <row r="270" spans="1:16" ht="15.75" x14ac:dyDescent="0.25">
      <c r="A270" s="209"/>
      <c r="B270" s="209"/>
      <c r="C270" s="36"/>
      <c r="D270" s="36"/>
      <c r="E270" s="36"/>
      <c r="F270" s="76"/>
      <c r="G270" s="36"/>
      <c r="H270" s="36"/>
      <c r="I270" s="36"/>
      <c r="J270" s="210"/>
      <c r="K270" s="76"/>
      <c r="L270" s="76"/>
      <c r="M270" s="76"/>
      <c r="N270" s="95"/>
      <c r="O270" s="36"/>
      <c r="P270" s="36"/>
    </row>
    <row r="271" spans="1:16" x14ac:dyDescent="0.2">
      <c r="A271" s="36"/>
      <c r="B271" s="36"/>
      <c r="C271" s="36"/>
      <c r="D271" s="36"/>
      <c r="E271" s="36"/>
      <c r="F271" s="76"/>
      <c r="G271" s="36"/>
      <c r="H271" s="36"/>
      <c r="I271" s="36"/>
      <c r="J271" s="210"/>
      <c r="K271" s="76"/>
      <c r="L271" s="76"/>
      <c r="M271" s="76"/>
      <c r="N271" s="95"/>
      <c r="O271" s="36"/>
      <c r="P271" s="36"/>
    </row>
    <row r="272" spans="1:16" ht="15" x14ac:dyDescent="0.25">
      <c r="A272" s="36"/>
      <c r="B272" s="36"/>
      <c r="C272" s="211"/>
      <c r="D272" s="36"/>
      <c r="E272" s="36"/>
      <c r="F272" s="36"/>
      <c r="G272" s="36"/>
      <c r="H272" s="211"/>
      <c r="I272" s="36"/>
      <c r="J272" s="36"/>
      <c r="K272" s="208"/>
      <c r="L272" s="36"/>
      <c r="M272" s="36"/>
      <c r="N272" s="36"/>
      <c r="O272" s="36"/>
      <c r="P272" s="36"/>
    </row>
    <row r="273" spans="1:16" x14ac:dyDescent="0.2">
      <c r="A273" s="36"/>
      <c r="B273" s="36"/>
      <c r="C273" s="36"/>
      <c r="D273" s="36"/>
      <c r="E273" s="36"/>
      <c r="F273" s="76"/>
      <c r="G273" s="36"/>
      <c r="H273" s="36"/>
      <c r="I273" s="36"/>
      <c r="J273" s="210"/>
      <c r="K273" s="76"/>
      <c r="L273" s="76"/>
      <c r="M273" s="76"/>
      <c r="N273" s="36"/>
      <c r="O273" s="36"/>
      <c r="P273" s="36"/>
    </row>
    <row r="274" spans="1:16" x14ac:dyDescent="0.2">
      <c r="A274" s="36"/>
      <c r="B274" s="36"/>
      <c r="C274" s="36"/>
      <c r="D274" s="36"/>
      <c r="E274" s="36"/>
      <c r="F274" s="224"/>
      <c r="G274" s="36"/>
      <c r="H274" s="36"/>
      <c r="I274" s="36"/>
      <c r="J274" s="210"/>
      <c r="K274" s="76"/>
      <c r="L274" s="76"/>
      <c r="M274" s="76"/>
      <c r="N274" s="36"/>
      <c r="O274" s="36"/>
      <c r="P274" s="36"/>
    </row>
    <row r="275" spans="1:16" x14ac:dyDescent="0.2">
      <c r="A275" s="212"/>
      <c r="B275" s="212"/>
      <c r="C275" s="36"/>
      <c r="D275" s="212"/>
      <c r="E275" s="212"/>
      <c r="F275" s="226"/>
      <c r="G275" s="212"/>
      <c r="H275" s="36"/>
      <c r="I275" s="212"/>
      <c r="J275" s="212"/>
      <c r="K275" s="226"/>
      <c r="L275" s="76"/>
      <c r="M275" s="76"/>
      <c r="N275" s="36"/>
      <c r="O275" s="36"/>
      <c r="P275" s="36"/>
    </row>
    <row r="276" spans="1:16" x14ac:dyDescent="0.2">
      <c r="A276" s="36"/>
      <c r="B276" s="36"/>
      <c r="C276" s="212"/>
      <c r="D276" s="116"/>
      <c r="E276" s="116"/>
      <c r="F276" s="117"/>
      <c r="G276" s="36"/>
      <c r="H276" s="212"/>
      <c r="I276" s="116"/>
      <c r="J276" s="116"/>
      <c r="K276" s="117"/>
      <c r="L276" s="76"/>
      <c r="M276" s="226"/>
      <c r="N276" s="212"/>
      <c r="O276" s="36"/>
      <c r="P276" s="36"/>
    </row>
    <row r="277" spans="1:16" x14ac:dyDescent="0.2">
      <c r="A277" s="36"/>
      <c r="B277" s="36"/>
      <c r="C277" s="212"/>
      <c r="D277" s="212"/>
      <c r="E277" s="116"/>
      <c r="F277" s="117"/>
      <c r="G277" s="36"/>
      <c r="H277" s="212"/>
      <c r="I277" s="212"/>
      <c r="J277" s="116"/>
      <c r="K277" s="117"/>
      <c r="L277" s="76"/>
      <c r="M277" s="226"/>
      <c r="N277" s="116"/>
      <c r="O277" s="36"/>
      <c r="P277" s="36"/>
    </row>
    <row r="278" spans="1:16" x14ac:dyDescent="0.2">
      <c r="A278" s="36"/>
      <c r="B278" s="36"/>
      <c r="C278" s="222"/>
      <c r="D278" s="36"/>
      <c r="E278" s="220"/>
      <c r="F278" s="76"/>
      <c r="G278" s="36"/>
      <c r="H278" s="222"/>
      <c r="I278" s="36"/>
      <c r="J278" s="224"/>
      <c r="K278" s="76"/>
      <c r="L278" s="76"/>
      <c r="M278" s="76"/>
      <c r="N278" s="36"/>
      <c r="O278" s="36"/>
      <c r="P278" s="36"/>
    </row>
    <row r="279" spans="1:16" x14ac:dyDescent="0.2">
      <c r="A279" s="36"/>
      <c r="B279" s="36"/>
      <c r="C279" s="222"/>
      <c r="D279" s="36"/>
      <c r="E279" s="220"/>
      <c r="F279" s="76"/>
      <c r="G279" s="36"/>
      <c r="H279" s="222"/>
      <c r="I279" s="36"/>
      <c r="J279" s="210"/>
      <c r="K279" s="76"/>
      <c r="L279" s="76"/>
      <c r="M279" s="76"/>
      <c r="N279" s="95"/>
      <c r="O279" s="36"/>
      <c r="P279" s="36"/>
    </row>
    <row r="280" spans="1:16" x14ac:dyDescent="0.2">
      <c r="A280" s="36"/>
      <c r="B280" s="36"/>
      <c r="C280" s="222"/>
      <c r="D280" s="36"/>
      <c r="E280" s="116"/>
      <c r="F280" s="76"/>
      <c r="G280" s="36"/>
      <c r="H280" s="222"/>
      <c r="I280" s="36"/>
      <c r="J280" s="116"/>
      <c r="K280" s="76"/>
      <c r="L280" s="76"/>
      <c r="M280" s="76"/>
      <c r="N280" s="95"/>
      <c r="O280" s="36"/>
      <c r="P280" s="36"/>
    </row>
    <row r="281" spans="1:16" x14ac:dyDescent="0.2">
      <c r="A281" s="36"/>
      <c r="B281" s="36"/>
      <c r="C281" s="36"/>
      <c r="D281" s="116"/>
      <c r="E281" s="116"/>
      <c r="F281" s="76"/>
      <c r="G281" s="36"/>
      <c r="H281" s="36"/>
      <c r="I281" s="116"/>
      <c r="J281" s="116"/>
      <c r="K281" s="76"/>
      <c r="L281" s="76"/>
      <c r="M281" s="76"/>
      <c r="N281" s="95"/>
      <c r="O281" s="36"/>
      <c r="P281" s="36"/>
    </row>
    <row r="282" spans="1:16" x14ac:dyDescent="0.2">
      <c r="A282" s="36"/>
      <c r="B282" s="36"/>
      <c r="C282" s="36"/>
      <c r="D282" s="225"/>
      <c r="E282" s="220"/>
      <c r="F282" s="76"/>
      <c r="G282" s="36"/>
      <c r="H282" s="36"/>
      <c r="I282" s="223"/>
      <c r="J282" s="224"/>
      <c r="K282" s="76"/>
      <c r="L282" s="76"/>
      <c r="M282" s="76"/>
      <c r="N282" s="95"/>
      <c r="O282" s="36"/>
      <c r="P282" s="36"/>
    </row>
    <row r="283" spans="1:16" x14ac:dyDescent="0.2">
      <c r="A283" s="36"/>
      <c r="B283" s="36"/>
      <c r="C283" s="222"/>
      <c r="D283" s="225"/>
      <c r="E283" s="220"/>
      <c r="F283" s="76"/>
      <c r="G283" s="36"/>
      <c r="H283" s="222"/>
      <c r="I283" s="225"/>
      <c r="J283" s="224"/>
      <c r="K283" s="76"/>
      <c r="L283" s="76"/>
      <c r="M283" s="76"/>
      <c r="N283" s="95"/>
      <c r="O283" s="36"/>
      <c r="P283" s="36"/>
    </row>
    <row r="284" spans="1:16" x14ac:dyDescent="0.2">
      <c r="A284" s="36"/>
      <c r="B284" s="36"/>
      <c r="C284" s="222"/>
      <c r="D284" s="36"/>
      <c r="E284" s="210"/>
      <c r="F284" s="76"/>
      <c r="G284" s="36"/>
      <c r="H284" s="222"/>
      <c r="I284" s="36"/>
      <c r="J284" s="210"/>
      <c r="K284" s="76"/>
      <c r="L284" s="76"/>
      <c r="M284" s="76"/>
      <c r="N284" s="95"/>
      <c r="O284" s="36"/>
      <c r="P284" s="36"/>
    </row>
    <row r="285" spans="1:16" x14ac:dyDescent="0.2">
      <c r="A285" s="36"/>
      <c r="B285" s="36"/>
      <c r="C285" s="222"/>
      <c r="D285" s="36"/>
      <c r="E285" s="224"/>
      <c r="F285" s="76"/>
      <c r="G285" s="36"/>
      <c r="H285" s="36"/>
      <c r="I285" s="36"/>
      <c r="J285" s="210"/>
      <c r="K285" s="76"/>
      <c r="L285" s="76"/>
      <c r="M285" s="76"/>
      <c r="N285" s="95"/>
      <c r="O285" s="36"/>
      <c r="P285" s="36"/>
    </row>
    <row r="286" spans="1:16" x14ac:dyDescent="0.2">
      <c r="A286" s="36"/>
      <c r="B286" s="36"/>
      <c r="C286" s="212"/>
      <c r="D286" s="36"/>
      <c r="E286" s="36"/>
      <c r="F286" s="76"/>
      <c r="G286" s="36"/>
      <c r="H286" s="212"/>
      <c r="I286" s="36"/>
      <c r="J286" s="36"/>
      <c r="K286" s="76"/>
      <c r="L286" s="76"/>
      <c r="M286" s="76"/>
      <c r="N286" s="95"/>
      <c r="O286" s="36"/>
      <c r="P286" s="36"/>
    </row>
    <row r="287" spans="1:16" x14ac:dyDescent="0.2">
      <c r="A287" s="36"/>
      <c r="B287" s="36"/>
      <c r="C287" s="222"/>
      <c r="D287" s="36"/>
      <c r="E287" s="224"/>
      <c r="F287" s="76"/>
      <c r="G287" s="36"/>
      <c r="H287" s="36"/>
      <c r="I287" s="36"/>
      <c r="J287" s="210"/>
      <c r="K287" s="76"/>
      <c r="L287" s="76"/>
      <c r="M287" s="76"/>
      <c r="N287" s="95"/>
      <c r="O287" s="36"/>
      <c r="P287" s="36"/>
    </row>
    <row r="288" spans="1:16" x14ac:dyDescent="0.2">
      <c r="A288" s="36"/>
      <c r="B288" s="36"/>
      <c r="C288" s="36"/>
      <c r="D288" s="36"/>
      <c r="E288" s="36"/>
      <c r="F288" s="76"/>
      <c r="G288" s="36"/>
      <c r="H288" s="36"/>
      <c r="I288" s="36"/>
      <c r="J288" s="210"/>
      <c r="K288" s="76"/>
      <c r="L288" s="76"/>
      <c r="M288" s="76"/>
      <c r="N288" s="36"/>
      <c r="O288" s="36"/>
      <c r="P288" s="36"/>
    </row>
    <row r="289" spans="1:16" x14ac:dyDescent="0.2">
      <c r="A289" s="36"/>
      <c r="B289" s="212"/>
      <c r="C289" s="36"/>
      <c r="D289" s="212"/>
      <c r="E289" s="212"/>
      <c r="F289" s="226"/>
      <c r="G289" s="212"/>
      <c r="H289" s="36"/>
      <c r="I289" s="212"/>
      <c r="J289" s="212"/>
      <c r="K289" s="226"/>
      <c r="L289" s="76"/>
      <c r="M289" s="76"/>
      <c r="N289" s="36"/>
      <c r="O289" s="36"/>
      <c r="P289" s="36"/>
    </row>
    <row r="290" spans="1:16" x14ac:dyDescent="0.2">
      <c r="A290" s="36"/>
      <c r="B290" s="36"/>
      <c r="C290" s="212"/>
      <c r="D290" s="116"/>
      <c r="E290" s="116"/>
      <c r="F290" s="117"/>
      <c r="G290" s="36"/>
      <c r="H290" s="212"/>
      <c r="I290" s="116"/>
      <c r="J290" s="116"/>
      <c r="K290" s="117"/>
      <c r="L290" s="76"/>
      <c r="M290" s="226"/>
      <c r="N290" s="212"/>
      <c r="O290" s="36"/>
      <c r="P290" s="36"/>
    </row>
    <row r="291" spans="1:16" x14ac:dyDescent="0.2">
      <c r="A291" s="36"/>
      <c r="B291" s="36"/>
      <c r="C291" s="212"/>
      <c r="D291" s="212"/>
      <c r="E291" s="116"/>
      <c r="F291" s="117"/>
      <c r="G291" s="36"/>
      <c r="H291" s="212"/>
      <c r="I291" s="212"/>
      <c r="J291" s="116"/>
      <c r="K291" s="117"/>
      <c r="L291" s="76"/>
      <c r="M291" s="226"/>
      <c r="N291" s="116"/>
      <c r="O291" s="36"/>
      <c r="P291" s="36"/>
    </row>
    <row r="292" spans="1:16" x14ac:dyDescent="0.2">
      <c r="A292" s="36"/>
      <c r="B292" s="36"/>
      <c r="C292" s="222"/>
      <c r="D292" s="36"/>
      <c r="E292" s="220"/>
      <c r="F292" s="76"/>
      <c r="G292" s="36"/>
      <c r="H292" s="222"/>
      <c r="I292" s="36"/>
      <c r="J292" s="224"/>
      <c r="K292" s="76"/>
      <c r="L292" s="76"/>
      <c r="M292" s="76"/>
      <c r="N292" s="36"/>
      <c r="O292" s="36"/>
      <c r="P292" s="36"/>
    </row>
    <row r="293" spans="1:16" x14ac:dyDescent="0.2">
      <c r="A293" s="36"/>
      <c r="B293" s="36"/>
      <c r="C293" s="222"/>
      <c r="D293" s="36"/>
      <c r="E293" s="220"/>
      <c r="F293" s="76"/>
      <c r="G293" s="36"/>
      <c r="H293" s="222"/>
      <c r="I293" s="36"/>
      <c r="J293" s="210"/>
      <c r="K293" s="76"/>
      <c r="L293" s="76"/>
      <c r="M293" s="76"/>
      <c r="N293" s="95"/>
      <c r="O293" s="36"/>
      <c r="P293" s="36"/>
    </row>
    <row r="294" spans="1:16" x14ac:dyDescent="0.2">
      <c r="A294" s="36"/>
      <c r="B294" s="36"/>
      <c r="C294" s="222"/>
      <c r="D294" s="36"/>
      <c r="E294" s="116"/>
      <c r="F294" s="76"/>
      <c r="G294" s="36"/>
      <c r="H294" s="222"/>
      <c r="I294" s="36"/>
      <c r="J294" s="116"/>
      <c r="K294" s="76"/>
      <c r="L294" s="76"/>
      <c r="M294" s="76"/>
      <c r="N294" s="95"/>
      <c r="O294" s="36"/>
      <c r="P294" s="36"/>
    </row>
    <row r="295" spans="1:16" x14ac:dyDescent="0.2">
      <c r="A295" s="36"/>
      <c r="B295" s="36"/>
      <c r="C295" s="36"/>
      <c r="D295" s="116"/>
      <c r="E295" s="116"/>
      <c r="F295" s="76"/>
      <c r="G295" s="36"/>
      <c r="H295" s="36"/>
      <c r="I295" s="116"/>
      <c r="J295" s="116"/>
      <c r="K295" s="76"/>
      <c r="L295" s="76"/>
      <c r="M295" s="76"/>
      <c r="N295" s="95"/>
      <c r="O295" s="36"/>
      <c r="P295" s="36"/>
    </row>
    <row r="296" spans="1:16" x14ac:dyDescent="0.2">
      <c r="A296" s="36"/>
      <c r="B296" s="36"/>
      <c r="C296" s="36"/>
      <c r="D296" s="225"/>
      <c r="E296" s="220"/>
      <c r="F296" s="76"/>
      <c r="G296" s="36"/>
      <c r="H296" s="36"/>
      <c r="I296" s="223"/>
      <c r="J296" s="224"/>
      <c r="K296" s="76"/>
      <c r="L296" s="76"/>
      <c r="M296" s="76"/>
      <c r="N296" s="95"/>
      <c r="O296" s="36"/>
      <c r="P296" s="36"/>
    </row>
    <row r="297" spans="1:16" x14ac:dyDescent="0.2">
      <c r="A297" s="36"/>
      <c r="B297" s="36"/>
      <c r="C297" s="222"/>
      <c r="D297" s="225"/>
      <c r="E297" s="220"/>
      <c r="F297" s="76"/>
      <c r="G297" s="36"/>
      <c r="H297" s="222"/>
      <c r="I297" s="225"/>
      <c r="J297" s="224"/>
      <c r="K297" s="76"/>
      <c r="L297" s="76"/>
      <c r="M297" s="76"/>
      <c r="N297" s="95"/>
      <c r="O297" s="36"/>
      <c r="P297" s="36"/>
    </row>
    <row r="298" spans="1:16" x14ac:dyDescent="0.2">
      <c r="A298" s="36"/>
      <c r="B298" s="36"/>
      <c r="C298" s="222"/>
      <c r="D298" s="36"/>
      <c r="E298" s="210"/>
      <c r="F298" s="76"/>
      <c r="G298" s="36"/>
      <c r="H298" s="222"/>
      <c r="I298" s="36"/>
      <c r="J298" s="210"/>
      <c r="K298" s="76"/>
      <c r="L298" s="76"/>
      <c r="M298" s="76"/>
      <c r="N298" s="95"/>
      <c r="O298" s="36"/>
      <c r="P298" s="36"/>
    </row>
    <row r="299" spans="1:16" x14ac:dyDescent="0.2">
      <c r="A299" s="36"/>
      <c r="B299" s="36"/>
      <c r="C299" s="222"/>
      <c r="D299" s="36"/>
      <c r="E299" s="224"/>
      <c r="F299" s="76"/>
      <c r="G299" s="36"/>
      <c r="H299" s="36"/>
      <c r="I299" s="36"/>
      <c r="J299" s="210"/>
      <c r="K299" s="76"/>
      <c r="L299" s="76"/>
      <c r="M299" s="76"/>
      <c r="N299" s="95"/>
      <c r="O299" s="36"/>
      <c r="P299" s="36"/>
    </row>
    <row r="300" spans="1:16" x14ac:dyDescent="0.2">
      <c r="A300" s="36"/>
      <c r="B300" s="36"/>
      <c r="C300" s="212"/>
      <c r="D300" s="36"/>
      <c r="E300" s="36"/>
      <c r="F300" s="76"/>
      <c r="G300" s="36"/>
      <c r="H300" s="212"/>
      <c r="I300" s="36"/>
      <c r="J300" s="36"/>
      <c r="K300" s="76"/>
      <c r="L300" s="76"/>
      <c r="M300" s="76"/>
      <c r="N300" s="95"/>
      <c r="O300" s="36"/>
      <c r="P300" s="36"/>
    </row>
    <row r="301" spans="1:16" x14ac:dyDescent="0.2">
      <c r="A301" s="36"/>
      <c r="B301" s="36"/>
      <c r="C301" s="222"/>
      <c r="D301" s="36"/>
      <c r="E301" s="224"/>
      <c r="F301" s="76"/>
      <c r="G301" s="36"/>
      <c r="H301" s="36"/>
      <c r="I301" s="36"/>
      <c r="J301" s="210"/>
      <c r="K301" s="76"/>
      <c r="L301" s="76"/>
      <c r="M301" s="76"/>
      <c r="N301" s="95"/>
      <c r="O301" s="36"/>
      <c r="P301" s="36"/>
    </row>
    <row r="302" spans="1:16" x14ac:dyDescent="0.2">
      <c r="A302" s="36"/>
      <c r="B302" s="36"/>
      <c r="C302" s="222"/>
      <c r="D302" s="36"/>
      <c r="E302" s="224"/>
      <c r="F302" s="76"/>
      <c r="G302" s="36"/>
      <c r="H302" s="36"/>
      <c r="I302" s="36"/>
      <c r="J302" s="210"/>
      <c r="K302" s="76"/>
      <c r="L302" s="76"/>
      <c r="M302" s="76"/>
      <c r="N302" s="95"/>
      <c r="O302" s="36"/>
      <c r="P302" s="36"/>
    </row>
    <row r="303" spans="1:16" x14ac:dyDescent="0.2">
      <c r="A303" s="36"/>
      <c r="B303" s="36"/>
      <c r="C303" s="36"/>
      <c r="D303" s="36"/>
      <c r="E303" s="36"/>
      <c r="F303" s="76"/>
      <c r="G303" s="36"/>
      <c r="H303" s="36"/>
      <c r="I303" s="36"/>
      <c r="J303" s="210"/>
      <c r="K303" s="76"/>
      <c r="L303" s="76"/>
      <c r="M303" s="76"/>
      <c r="N303" s="95"/>
      <c r="O303" s="36"/>
      <c r="P303" s="36"/>
    </row>
    <row r="304" spans="1:16" ht="15.75" x14ac:dyDescent="0.25">
      <c r="A304" s="209"/>
      <c r="B304" s="209"/>
      <c r="C304" s="36"/>
      <c r="D304" s="36"/>
      <c r="E304" s="36"/>
      <c r="F304" s="76"/>
      <c r="G304" s="36"/>
      <c r="H304" s="36"/>
      <c r="I304" s="36"/>
      <c r="J304" s="210"/>
      <c r="K304" s="76"/>
      <c r="L304" s="76"/>
      <c r="M304" s="76"/>
      <c r="N304" s="36"/>
      <c r="O304" s="36"/>
      <c r="P304" s="36"/>
    </row>
    <row r="305" spans="1:16" x14ac:dyDescent="0.2">
      <c r="A305" s="36"/>
      <c r="B305" s="36"/>
      <c r="C305" s="36"/>
      <c r="D305" s="36"/>
      <c r="E305" s="36"/>
      <c r="F305" s="76"/>
      <c r="G305" s="36"/>
      <c r="H305" s="36"/>
      <c r="I305" s="36"/>
      <c r="J305" s="210"/>
      <c r="K305" s="76"/>
      <c r="L305" s="76"/>
      <c r="M305" s="76"/>
      <c r="N305" s="95"/>
      <c r="O305" s="36"/>
      <c r="P305" s="36"/>
    </row>
    <row r="306" spans="1:16" ht="15" x14ac:dyDescent="0.25">
      <c r="A306" s="36"/>
      <c r="B306" s="36"/>
      <c r="C306" s="211"/>
      <c r="D306" s="36"/>
      <c r="E306" s="36"/>
      <c r="F306" s="36"/>
      <c r="G306" s="36"/>
      <c r="H306" s="211"/>
      <c r="I306" s="36"/>
      <c r="J306" s="36"/>
      <c r="K306" s="208"/>
      <c r="L306" s="36"/>
      <c r="M306" s="36"/>
      <c r="N306" s="36"/>
      <c r="O306" s="36"/>
      <c r="P306" s="36"/>
    </row>
    <row r="307" spans="1:16" x14ac:dyDescent="0.2">
      <c r="A307" s="36"/>
      <c r="B307" s="36"/>
      <c r="C307" s="36"/>
      <c r="D307" s="36"/>
      <c r="E307" s="36"/>
      <c r="F307" s="76"/>
      <c r="G307" s="36"/>
      <c r="H307" s="36"/>
      <c r="I307" s="36"/>
      <c r="J307" s="210"/>
      <c r="K307" s="76"/>
      <c r="L307" s="76"/>
      <c r="M307" s="76"/>
      <c r="N307" s="36"/>
      <c r="O307" s="36"/>
      <c r="P307" s="36"/>
    </row>
    <row r="308" spans="1:16" x14ac:dyDescent="0.2">
      <c r="A308" s="36"/>
      <c r="B308" s="36"/>
      <c r="C308" s="36"/>
      <c r="D308" s="36"/>
      <c r="E308" s="36"/>
      <c r="F308" s="224"/>
      <c r="G308" s="36"/>
      <c r="H308" s="36"/>
      <c r="I308" s="36"/>
      <c r="J308" s="210"/>
      <c r="K308" s="76"/>
      <c r="L308" s="76"/>
      <c r="M308" s="76"/>
      <c r="N308" s="36"/>
      <c r="O308" s="36"/>
      <c r="P308" s="36"/>
    </row>
    <row r="309" spans="1:16" x14ac:dyDescent="0.2">
      <c r="A309" s="212"/>
      <c r="B309" s="212"/>
      <c r="C309" s="36"/>
      <c r="D309" s="212"/>
      <c r="E309" s="212"/>
      <c r="F309" s="226"/>
      <c r="G309" s="212"/>
      <c r="H309" s="36"/>
      <c r="I309" s="212"/>
      <c r="J309" s="212"/>
      <c r="K309" s="226"/>
      <c r="L309" s="76"/>
      <c r="M309" s="76"/>
      <c r="N309" s="36"/>
      <c r="O309" s="36"/>
      <c r="P309" s="36"/>
    </row>
    <row r="310" spans="1:16" x14ac:dyDescent="0.2">
      <c r="A310" s="36"/>
      <c r="B310" s="36"/>
      <c r="C310" s="212"/>
      <c r="D310" s="116"/>
      <c r="E310" s="116"/>
      <c r="F310" s="117"/>
      <c r="G310" s="36"/>
      <c r="H310" s="212"/>
      <c r="I310" s="116"/>
      <c r="J310" s="116"/>
      <c r="K310" s="117"/>
      <c r="L310" s="76"/>
      <c r="M310" s="226"/>
      <c r="N310" s="212"/>
      <c r="O310" s="36"/>
      <c r="P310" s="36"/>
    </row>
    <row r="311" spans="1:16" x14ac:dyDescent="0.2">
      <c r="A311" s="36"/>
      <c r="B311" s="36"/>
      <c r="C311" s="212"/>
      <c r="D311" s="212"/>
      <c r="E311" s="116"/>
      <c r="F311" s="117"/>
      <c r="G311" s="36"/>
      <c r="H311" s="212"/>
      <c r="I311" s="212"/>
      <c r="J311" s="116"/>
      <c r="K311" s="117"/>
      <c r="L311" s="76"/>
      <c r="M311" s="226"/>
      <c r="N311" s="116"/>
      <c r="O311" s="36"/>
      <c r="P311" s="36"/>
    </row>
    <row r="312" spans="1:16" x14ac:dyDescent="0.2">
      <c r="A312" s="36"/>
      <c r="B312" s="36"/>
      <c r="C312" s="222"/>
      <c r="D312" s="36"/>
      <c r="E312" s="220"/>
      <c r="F312" s="76"/>
      <c r="G312" s="36"/>
      <c r="H312" s="222"/>
      <c r="I312" s="36"/>
      <c r="J312" s="224"/>
      <c r="K312" s="76"/>
      <c r="L312" s="76"/>
      <c r="M312" s="76"/>
      <c r="N312" s="36"/>
      <c r="O312" s="36"/>
      <c r="P312" s="36"/>
    </row>
    <row r="313" spans="1:16" x14ac:dyDescent="0.2">
      <c r="A313" s="36"/>
      <c r="B313" s="36"/>
      <c r="C313" s="222"/>
      <c r="D313" s="36"/>
      <c r="E313" s="220"/>
      <c r="F313" s="76"/>
      <c r="G313" s="36"/>
      <c r="H313" s="222"/>
      <c r="I313" s="36"/>
      <c r="J313" s="210"/>
      <c r="K313" s="76"/>
      <c r="L313" s="76"/>
      <c r="M313" s="76"/>
      <c r="N313" s="95"/>
      <c r="O313" s="36"/>
      <c r="P313" s="36"/>
    </row>
    <row r="314" spans="1:16" x14ac:dyDescent="0.2">
      <c r="A314" s="36"/>
      <c r="B314" s="36"/>
      <c r="C314" s="222"/>
      <c r="D314" s="36"/>
      <c r="E314" s="116"/>
      <c r="F314" s="76"/>
      <c r="G314" s="36"/>
      <c r="H314" s="222"/>
      <c r="I314" s="36"/>
      <c r="J314" s="116"/>
      <c r="K314" s="76"/>
      <c r="L314" s="76"/>
      <c r="M314" s="76"/>
      <c r="N314" s="95"/>
      <c r="O314" s="36"/>
      <c r="P314" s="36"/>
    </row>
    <row r="315" spans="1:16" x14ac:dyDescent="0.2">
      <c r="A315" s="36"/>
      <c r="B315" s="36"/>
      <c r="C315" s="36"/>
      <c r="D315" s="116"/>
      <c r="E315" s="116"/>
      <c r="F315" s="76"/>
      <c r="G315" s="36"/>
      <c r="H315" s="36"/>
      <c r="I315" s="116"/>
      <c r="J315" s="116"/>
      <c r="K315" s="76"/>
      <c r="L315" s="76"/>
      <c r="M315" s="76"/>
      <c r="N315" s="95"/>
      <c r="O315" s="36"/>
      <c r="P315" s="36"/>
    </row>
    <row r="316" spans="1:16" x14ac:dyDescent="0.2">
      <c r="A316" s="36"/>
      <c r="B316" s="36"/>
      <c r="C316" s="36"/>
      <c r="D316" s="225"/>
      <c r="E316" s="220"/>
      <c r="F316" s="76"/>
      <c r="G316" s="36"/>
      <c r="H316" s="36"/>
      <c r="I316" s="223"/>
      <c r="J316" s="224"/>
      <c r="K316" s="76"/>
      <c r="L316" s="76"/>
      <c r="M316" s="76"/>
      <c r="N316" s="95"/>
      <c r="O316" s="36"/>
      <c r="P316" s="36"/>
    </row>
    <row r="317" spans="1:16" x14ac:dyDescent="0.2">
      <c r="A317" s="36"/>
      <c r="B317" s="36"/>
      <c r="C317" s="222"/>
      <c r="D317" s="225"/>
      <c r="E317" s="220"/>
      <c r="F317" s="76"/>
      <c r="G317" s="36"/>
      <c r="H317" s="222"/>
      <c r="I317" s="225"/>
      <c r="J317" s="224"/>
      <c r="K317" s="76"/>
      <c r="L317" s="76"/>
      <c r="M317" s="76"/>
      <c r="N317" s="95"/>
      <c r="O317" s="36"/>
      <c r="P317" s="36"/>
    </row>
    <row r="318" spans="1:16" x14ac:dyDescent="0.2">
      <c r="A318" s="36"/>
      <c r="B318" s="36"/>
      <c r="C318" s="222"/>
      <c r="D318" s="36"/>
      <c r="E318" s="210"/>
      <c r="F318" s="76"/>
      <c r="G318" s="36"/>
      <c r="H318" s="222"/>
      <c r="I318" s="36"/>
      <c r="J318" s="210"/>
      <c r="K318" s="76"/>
      <c r="L318" s="76"/>
      <c r="M318" s="76"/>
      <c r="N318" s="95"/>
      <c r="O318" s="36"/>
      <c r="P318" s="36"/>
    </row>
    <row r="319" spans="1:16" x14ac:dyDescent="0.2">
      <c r="A319" s="36"/>
      <c r="B319" s="36"/>
      <c r="C319" s="222"/>
      <c r="D319" s="36"/>
      <c r="E319" s="224"/>
      <c r="F319" s="76"/>
      <c r="G319" s="36"/>
      <c r="H319" s="36"/>
      <c r="I319" s="36"/>
      <c r="J319" s="210"/>
      <c r="K319" s="76"/>
      <c r="L319" s="76"/>
      <c r="M319" s="76"/>
      <c r="N319" s="95"/>
      <c r="O319" s="36"/>
      <c r="P319" s="36"/>
    </row>
    <row r="320" spans="1:16" x14ac:dyDescent="0.2">
      <c r="A320" s="36"/>
      <c r="B320" s="36"/>
      <c r="C320" s="212"/>
      <c r="D320" s="36"/>
      <c r="E320" s="36"/>
      <c r="F320" s="76"/>
      <c r="G320" s="36"/>
      <c r="H320" s="212"/>
      <c r="I320" s="36"/>
      <c r="J320" s="36"/>
      <c r="K320" s="76"/>
      <c r="L320" s="76"/>
      <c r="M320" s="76"/>
      <c r="N320" s="95"/>
      <c r="O320" s="36"/>
      <c r="P320" s="36"/>
    </row>
    <row r="321" spans="1:16" x14ac:dyDescent="0.2">
      <c r="A321" s="36"/>
      <c r="B321" s="36"/>
      <c r="C321" s="222"/>
      <c r="D321" s="36"/>
      <c r="E321" s="224"/>
      <c r="F321" s="76"/>
      <c r="G321" s="36"/>
      <c r="H321" s="36"/>
      <c r="I321" s="36"/>
      <c r="J321" s="210"/>
      <c r="K321" s="76"/>
      <c r="L321" s="76"/>
      <c r="M321" s="76"/>
      <c r="N321" s="95"/>
      <c r="O321" s="36"/>
      <c r="P321" s="36"/>
    </row>
    <row r="322" spans="1:16" x14ac:dyDescent="0.2">
      <c r="A322" s="36"/>
      <c r="B322" s="36"/>
      <c r="C322" s="36"/>
      <c r="D322" s="36"/>
      <c r="E322" s="36"/>
      <c r="F322" s="76"/>
      <c r="G322" s="36"/>
      <c r="H322" s="36"/>
      <c r="I322" s="36"/>
      <c r="J322" s="210"/>
      <c r="K322" s="76"/>
      <c r="L322" s="76"/>
      <c r="M322" s="76"/>
      <c r="N322" s="36"/>
      <c r="O322" s="36"/>
      <c r="P322" s="36"/>
    </row>
    <row r="323" spans="1:16" x14ac:dyDescent="0.2">
      <c r="A323" s="36"/>
      <c r="B323" s="212"/>
      <c r="C323" s="36"/>
      <c r="D323" s="212"/>
      <c r="E323" s="212"/>
      <c r="F323" s="226"/>
      <c r="G323" s="212"/>
      <c r="H323" s="36"/>
      <c r="I323" s="212"/>
      <c r="J323" s="212"/>
      <c r="K323" s="226"/>
      <c r="L323" s="76"/>
      <c r="M323" s="76"/>
      <c r="N323" s="36"/>
      <c r="O323" s="36"/>
      <c r="P323" s="36"/>
    </row>
    <row r="324" spans="1:16" x14ac:dyDescent="0.2">
      <c r="A324" s="36"/>
      <c r="B324" s="36"/>
      <c r="C324" s="212"/>
      <c r="D324" s="116"/>
      <c r="E324" s="116"/>
      <c r="F324" s="117"/>
      <c r="G324" s="36"/>
      <c r="H324" s="212"/>
      <c r="I324" s="116"/>
      <c r="J324" s="116"/>
      <c r="K324" s="117"/>
      <c r="L324" s="76"/>
      <c r="M324" s="226"/>
      <c r="N324" s="212"/>
      <c r="O324" s="36"/>
      <c r="P324" s="36"/>
    </row>
    <row r="325" spans="1:16" x14ac:dyDescent="0.2">
      <c r="A325" s="36"/>
      <c r="B325" s="36"/>
      <c r="C325" s="212"/>
      <c r="D325" s="212"/>
      <c r="E325" s="116"/>
      <c r="F325" s="117"/>
      <c r="G325" s="36"/>
      <c r="H325" s="212"/>
      <c r="I325" s="212"/>
      <c r="J325" s="116"/>
      <c r="K325" s="117"/>
      <c r="L325" s="76"/>
      <c r="M325" s="226"/>
      <c r="N325" s="116"/>
      <c r="O325" s="36"/>
      <c r="P325" s="36"/>
    </row>
    <row r="326" spans="1:16" x14ac:dyDescent="0.2">
      <c r="A326" s="36"/>
      <c r="B326" s="36"/>
      <c r="C326" s="222"/>
      <c r="D326" s="36"/>
      <c r="E326" s="220"/>
      <c r="F326" s="76"/>
      <c r="G326" s="36"/>
      <c r="H326" s="222"/>
      <c r="I326" s="36"/>
      <c r="J326" s="224"/>
      <c r="K326" s="76"/>
      <c r="L326" s="76"/>
      <c r="M326" s="76"/>
      <c r="N326" s="36"/>
      <c r="O326" s="36"/>
      <c r="P326" s="36"/>
    </row>
    <row r="327" spans="1:16" x14ac:dyDescent="0.2">
      <c r="A327" s="36"/>
      <c r="B327" s="36"/>
      <c r="C327" s="222"/>
      <c r="D327" s="36"/>
      <c r="E327" s="220"/>
      <c r="F327" s="76"/>
      <c r="G327" s="36"/>
      <c r="H327" s="222"/>
      <c r="I327" s="36"/>
      <c r="J327" s="210"/>
      <c r="K327" s="76"/>
      <c r="L327" s="76"/>
      <c r="M327" s="76"/>
      <c r="N327" s="95"/>
      <c r="O327" s="36"/>
      <c r="P327" s="36"/>
    </row>
    <row r="328" spans="1:16" x14ac:dyDescent="0.2">
      <c r="A328" s="36"/>
      <c r="B328" s="36"/>
      <c r="C328" s="222"/>
      <c r="D328" s="36"/>
      <c r="E328" s="116"/>
      <c r="F328" s="76"/>
      <c r="G328" s="36"/>
      <c r="H328" s="222"/>
      <c r="I328" s="36"/>
      <c r="J328" s="116"/>
      <c r="K328" s="76"/>
      <c r="L328" s="76"/>
      <c r="M328" s="76"/>
      <c r="N328" s="95"/>
      <c r="O328" s="36"/>
      <c r="P328" s="36"/>
    </row>
    <row r="329" spans="1:16" x14ac:dyDescent="0.2">
      <c r="A329" s="36"/>
      <c r="B329" s="36"/>
      <c r="C329" s="36"/>
      <c r="D329" s="116"/>
      <c r="E329" s="116"/>
      <c r="F329" s="76"/>
      <c r="G329" s="36"/>
      <c r="H329" s="36"/>
      <c r="I329" s="116"/>
      <c r="J329" s="116"/>
      <c r="K329" s="76"/>
      <c r="L329" s="76"/>
      <c r="M329" s="76"/>
      <c r="N329" s="95"/>
      <c r="O329" s="36"/>
      <c r="P329" s="36"/>
    </row>
    <row r="330" spans="1:16" x14ac:dyDescent="0.2">
      <c r="A330" s="36"/>
      <c r="B330" s="36"/>
      <c r="C330" s="36"/>
      <c r="D330" s="225"/>
      <c r="E330" s="220"/>
      <c r="F330" s="76"/>
      <c r="G330" s="36"/>
      <c r="H330" s="36"/>
      <c r="I330" s="223"/>
      <c r="J330" s="224"/>
      <c r="K330" s="76"/>
      <c r="L330" s="76"/>
      <c r="M330" s="76"/>
      <c r="N330" s="95"/>
      <c r="O330" s="36"/>
      <c r="P330" s="36"/>
    </row>
    <row r="331" spans="1:16" x14ac:dyDescent="0.2">
      <c r="A331" s="36"/>
      <c r="B331" s="36"/>
      <c r="C331" s="222"/>
      <c r="D331" s="225"/>
      <c r="E331" s="220"/>
      <c r="F331" s="76"/>
      <c r="G331" s="36"/>
      <c r="H331" s="222"/>
      <c r="I331" s="225"/>
      <c r="J331" s="224"/>
      <c r="K331" s="76"/>
      <c r="L331" s="76"/>
      <c r="M331" s="76"/>
      <c r="N331" s="95"/>
      <c r="O331" s="36"/>
      <c r="P331" s="36"/>
    </row>
    <row r="332" spans="1:16" x14ac:dyDescent="0.2">
      <c r="A332" s="36"/>
      <c r="B332" s="36"/>
      <c r="C332" s="222"/>
      <c r="D332" s="36"/>
      <c r="E332" s="210"/>
      <c r="F332" s="76"/>
      <c r="G332" s="36"/>
      <c r="H332" s="222"/>
      <c r="I332" s="36"/>
      <c r="J332" s="210"/>
      <c r="K332" s="76"/>
      <c r="L332" s="76"/>
      <c r="M332" s="76"/>
      <c r="N332" s="95"/>
      <c r="O332" s="36"/>
      <c r="P332" s="36"/>
    </row>
    <row r="333" spans="1:16" x14ac:dyDescent="0.2">
      <c r="A333" s="36"/>
      <c r="B333" s="36"/>
      <c r="C333" s="222"/>
      <c r="D333" s="36"/>
      <c r="E333" s="224"/>
      <c r="F333" s="76"/>
      <c r="G333" s="36"/>
      <c r="H333" s="36"/>
      <c r="I333" s="36"/>
      <c r="J333" s="210"/>
      <c r="K333" s="76"/>
      <c r="L333" s="76"/>
      <c r="M333" s="76"/>
      <c r="N333" s="95"/>
      <c r="O333" s="36"/>
      <c r="P333" s="36"/>
    </row>
    <row r="334" spans="1:16" x14ac:dyDescent="0.2">
      <c r="A334" s="36"/>
      <c r="B334" s="36"/>
      <c r="C334" s="212"/>
      <c r="D334" s="36"/>
      <c r="E334" s="36"/>
      <c r="F334" s="76"/>
      <c r="G334" s="36"/>
      <c r="H334" s="212"/>
      <c r="I334" s="36"/>
      <c r="J334" s="36"/>
      <c r="K334" s="76"/>
      <c r="L334" s="76"/>
      <c r="M334" s="76"/>
      <c r="N334" s="95"/>
      <c r="O334" s="36"/>
      <c r="P334" s="36"/>
    </row>
    <row r="335" spans="1:16" x14ac:dyDescent="0.2">
      <c r="A335" s="36"/>
      <c r="B335" s="36"/>
      <c r="C335" s="222"/>
      <c r="D335" s="36"/>
      <c r="E335" s="224"/>
      <c r="F335" s="76"/>
      <c r="G335" s="36"/>
      <c r="H335" s="36"/>
      <c r="I335" s="36"/>
      <c r="J335" s="210"/>
      <c r="K335" s="76"/>
      <c r="L335" s="76"/>
      <c r="M335" s="76"/>
      <c r="N335" s="95"/>
      <c r="O335" s="36"/>
      <c r="P335" s="36"/>
    </row>
    <row r="336" spans="1:16" x14ac:dyDescent="0.2">
      <c r="A336" s="36"/>
      <c r="B336" s="36"/>
      <c r="C336" s="222"/>
      <c r="D336" s="36"/>
      <c r="E336" s="224"/>
      <c r="F336" s="76"/>
      <c r="G336" s="36"/>
      <c r="H336" s="36"/>
      <c r="I336" s="36"/>
      <c r="J336" s="210"/>
      <c r="K336" s="76"/>
      <c r="L336" s="76"/>
      <c r="M336" s="76"/>
      <c r="N336" s="95"/>
      <c r="O336" s="36"/>
      <c r="P336" s="36"/>
    </row>
    <row r="337" spans="1:16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</row>
    <row r="338" spans="1:16" ht="15.75" x14ac:dyDescent="0.25">
      <c r="A338" s="209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</row>
    <row r="339" spans="1:16" x14ac:dyDescent="0.2">
      <c r="A339" s="36"/>
      <c r="B339" s="36"/>
      <c r="C339" s="36"/>
      <c r="D339" s="36"/>
      <c r="E339" s="36"/>
      <c r="F339" s="76"/>
      <c r="G339" s="36"/>
      <c r="H339" s="36"/>
      <c r="I339" s="36"/>
      <c r="J339" s="210"/>
      <c r="K339" s="76"/>
      <c r="L339" s="76"/>
      <c r="M339" s="76"/>
      <c r="N339" s="95"/>
      <c r="O339" s="36"/>
      <c r="P339" s="36"/>
    </row>
    <row r="340" spans="1:16" ht="15" x14ac:dyDescent="0.25">
      <c r="A340" s="36"/>
      <c r="B340" s="36"/>
      <c r="C340" s="211"/>
      <c r="D340" s="36"/>
      <c r="E340" s="36"/>
      <c r="F340" s="36"/>
      <c r="G340" s="36"/>
      <c r="H340" s="211"/>
      <c r="I340" s="36"/>
      <c r="J340" s="36"/>
      <c r="K340" s="208"/>
      <c r="L340" s="36"/>
      <c r="M340" s="36"/>
      <c r="N340" s="36"/>
      <c r="O340" s="36"/>
      <c r="P340" s="36"/>
    </row>
    <row r="341" spans="1:16" x14ac:dyDescent="0.2">
      <c r="A341" s="36"/>
      <c r="B341" s="36"/>
      <c r="C341" s="36"/>
      <c r="D341" s="36"/>
      <c r="E341" s="36"/>
      <c r="F341" s="76"/>
      <c r="G341" s="36"/>
      <c r="H341" s="36"/>
      <c r="I341" s="36"/>
      <c r="J341" s="210"/>
      <c r="K341" s="76"/>
      <c r="L341" s="76"/>
      <c r="M341" s="76"/>
      <c r="N341" s="36"/>
      <c r="O341" s="36"/>
      <c r="P341" s="36"/>
    </row>
    <row r="342" spans="1:16" x14ac:dyDescent="0.2">
      <c r="A342" s="36"/>
      <c r="B342" s="36"/>
      <c r="C342" s="36"/>
      <c r="D342" s="36"/>
      <c r="E342" s="36"/>
      <c r="F342" s="224"/>
      <c r="G342" s="36"/>
      <c r="H342" s="36"/>
      <c r="I342" s="36"/>
      <c r="J342" s="210"/>
      <c r="K342" s="76"/>
      <c r="L342" s="76"/>
      <c r="M342" s="76"/>
      <c r="N342" s="36"/>
      <c r="O342" s="36"/>
      <c r="P342" s="36"/>
    </row>
    <row r="343" spans="1:16" x14ac:dyDescent="0.2">
      <c r="A343" s="212"/>
      <c r="B343" s="212"/>
      <c r="C343" s="36"/>
      <c r="D343" s="212"/>
      <c r="E343" s="212"/>
      <c r="F343" s="226"/>
      <c r="G343" s="212"/>
      <c r="H343" s="36"/>
      <c r="I343" s="212"/>
      <c r="J343" s="212"/>
      <c r="K343" s="226"/>
      <c r="L343" s="76"/>
      <c r="M343" s="76"/>
      <c r="N343" s="36"/>
      <c r="O343" s="36"/>
      <c r="P343" s="36"/>
    </row>
    <row r="344" spans="1:16" x14ac:dyDescent="0.2">
      <c r="A344" s="36"/>
      <c r="B344" s="36"/>
      <c r="C344" s="212"/>
      <c r="D344" s="116"/>
      <c r="E344" s="116"/>
      <c r="F344" s="117"/>
      <c r="G344" s="36"/>
      <c r="H344" s="212"/>
      <c r="I344" s="116"/>
      <c r="J344" s="116"/>
      <c r="K344" s="117"/>
      <c r="L344" s="76"/>
      <c r="M344" s="226"/>
      <c r="N344" s="212"/>
      <c r="O344" s="36"/>
      <c r="P344" s="36"/>
    </row>
    <row r="345" spans="1:16" x14ac:dyDescent="0.2">
      <c r="A345" s="36"/>
      <c r="B345" s="36"/>
      <c r="C345" s="212"/>
      <c r="D345" s="212"/>
      <c r="E345" s="116"/>
      <c r="F345" s="117"/>
      <c r="G345" s="36"/>
      <c r="H345" s="212"/>
      <c r="I345" s="212"/>
      <c r="J345" s="116"/>
      <c r="K345" s="117"/>
      <c r="L345" s="76"/>
      <c r="M345" s="226"/>
      <c r="N345" s="116"/>
      <c r="O345" s="36"/>
      <c r="P345" s="36"/>
    </row>
    <row r="346" spans="1:16" x14ac:dyDescent="0.2">
      <c r="A346" s="36"/>
      <c r="B346" s="36"/>
      <c r="C346" s="222"/>
      <c r="D346" s="36"/>
      <c r="E346" s="220"/>
      <c r="F346" s="76"/>
      <c r="G346" s="36"/>
      <c r="H346" s="222"/>
      <c r="I346" s="36"/>
      <c r="J346" s="224"/>
      <c r="K346" s="76"/>
      <c r="L346" s="76"/>
      <c r="M346" s="76"/>
      <c r="N346" s="36"/>
      <c r="O346" s="36"/>
      <c r="P346" s="36"/>
    </row>
    <row r="347" spans="1:16" x14ac:dyDescent="0.2">
      <c r="A347" s="36"/>
      <c r="B347" s="36"/>
      <c r="C347" s="222"/>
      <c r="D347" s="36"/>
      <c r="E347" s="220"/>
      <c r="F347" s="76"/>
      <c r="G347" s="36"/>
      <c r="H347" s="222"/>
      <c r="I347" s="36"/>
      <c r="J347" s="210"/>
      <c r="K347" s="76"/>
      <c r="L347" s="76"/>
      <c r="M347" s="76"/>
      <c r="N347" s="95"/>
      <c r="O347" s="36"/>
      <c r="P347" s="36"/>
    </row>
    <row r="348" spans="1:16" x14ac:dyDescent="0.2">
      <c r="A348" s="36"/>
      <c r="B348" s="36"/>
      <c r="C348" s="222"/>
      <c r="D348" s="36"/>
      <c r="E348" s="116"/>
      <c r="F348" s="76"/>
      <c r="G348" s="36"/>
      <c r="H348" s="222"/>
      <c r="I348" s="36"/>
      <c r="J348" s="116"/>
      <c r="K348" s="76"/>
      <c r="L348" s="76"/>
      <c r="M348" s="76"/>
      <c r="N348" s="95"/>
      <c r="O348" s="36"/>
      <c r="P348" s="36"/>
    </row>
    <row r="349" spans="1:16" x14ac:dyDescent="0.2">
      <c r="A349" s="36"/>
      <c r="B349" s="36"/>
      <c r="C349" s="36"/>
      <c r="D349" s="116"/>
      <c r="E349" s="116"/>
      <c r="F349" s="76"/>
      <c r="G349" s="36"/>
      <c r="H349" s="36"/>
      <c r="I349" s="116"/>
      <c r="J349" s="116"/>
      <c r="K349" s="76"/>
      <c r="L349" s="76"/>
      <c r="M349" s="76"/>
      <c r="N349" s="95"/>
      <c r="O349" s="36"/>
      <c r="P349" s="36"/>
    </row>
    <row r="350" spans="1:16" x14ac:dyDescent="0.2">
      <c r="A350" s="36"/>
      <c r="B350" s="36"/>
      <c r="C350" s="36"/>
      <c r="D350" s="225"/>
      <c r="E350" s="220"/>
      <c r="F350" s="76"/>
      <c r="G350" s="36"/>
      <c r="H350" s="36"/>
      <c r="I350" s="223"/>
      <c r="J350" s="224"/>
      <c r="K350" s="76"/>
      <c r="L350" s="76"/>
      <c r="M350" s="76"/>
      <c r="N350" s="95"/>
      <c r="O350" s="36"/>
      <c r="P350" s="36"/>
    </row>
    <row r="351" spans="1:16" x14ac:dyDescent="0.2">
      <c r="A351" s="36"/>
      <c r="B351" s="36"/>
      <c r="C351" s="222"/>
      <c r="D351" s="225"/>
      <c r="E351" s="220"/>
      <c r="F351" s="76"/>
      <c r="G351" s="36"/>
      <c r="H351" s="222"/>
      <c r="I351" s="225"/>
      <c r="J351" s="224"/>
      <c r="K351" s="76"/>
      <c r="L351" s="76"/>
      <c r="M351" s="76"/>
      <c r="N351" s="95"/>
      <c r="O351" s="36"/>
      <c r="P351" s="36"/>
    </row>
    <row r="352" spans="1:16" x14ac:dyDescent="0.2">
      <c r="A352" s="36"/>
      <c r="B352" s="36"/>
      <c r="C352" s="222"/>
      <c r="D352" s="36"/>
      <c r="E352" s="210"/>
      <c r="F352" s="76"/>
      <c r="G352" s="36"/>
      <c r="H352" s="222"/>
      <c r="I352" s="36"/>
      <c r="J352" s="210"/>
      <c r="K352" s="76"/>
      <c r="L352" s="76"/>
      <c r="M352" s="76"/>
      <c r="N352" s="95"/>
      <c r="O352" s="36"/>
      <c r="P352" s="36"/>
    </row>
    <row r="353" spans="1:16" x14ac:dyDescent="0.2">
      <c r="A353" s="36"/>
      <c r="B353" s="36"/>
      <c r="C353" s="222"/>
      <c r="D353" s="36"/>
      <c r="E353" s="224"/>
      <c r="F353" s="76"/>
      <c r="G353" s="36"/>
      <c r="H353" s="36"/>
      <c r="I353" s="36"/>
      <c r="J353" s="210"/>
      <c r="K353" s="76"/>
      <c r="L353" s="76"/>
      <c r="M353" s="76"/>
      <c r="N353" s="95"/>
      <c r="O353" s="36"/>
      <c r="P353" s="36"/>
    </row>
    <row r="354" spans="1:16" x14ac:dyDescent="0.2">
      <c r="A354" s="36"/>
      <c r="B354" s="36"/>
      <c r="C354" s="212"/>
      <c r="D354" s="36"/>
      <c r="E354" s="36"/>
      <c r="F354" s="76"/>
      <c r="G354" s="36"/>
      <c r="H354" s="212"/>
      <c r="I354" s="36"/>
      <c r="J354" s="36"/>
      <c r="K354" s="76"/>
      <c r="L354" s="76"/>
      <c r="M354" s="76"/>
      <c r="N354" s="95"/>
      <c r="O354" s="36"/>
      <c r="P354" s="36"/>
    </row>
    <row r="355" spans="1:16" x14ac:dyDescent="0.2">
      <c r="A355" s="36"/>
      <c r="B355" s="36"/>
      <c r="C355" s="222"/>
      <c r="D355" s="36"/>
      <c r="E355" s="224"/>
      <c r="F355" s="76"/>
      <c r="G355" s="36"/>
      <c r="H355" s="36"/>
      <c r="I355" s="36"/>
      <c r="J355" s="210"/>
      <c r="K355" s="76"/>
      <c r="L355" s="76"/>
      <c r="M355" s="76"/>
      <c r="N355" s="95"/>
      <c r="O355" s="36"/>
      <c r="P355" s="36"/>
    </row>
    <row r="356" spans="1:16" x14ac:dyDescent="0.2">
      <c r="A356" s="36"/>
      <c r="B356" s="36"/>
      <c r="C356" s="36"/>
      <c r="D356" s="36"/>
      <c r="E356" s="36"/>
      <c r="F356" s="76"/>
      <c r="G356" s="36"/>
      <c r="H356" s="36"/>
      <c r="I356" s="36"/>
      <c r="J356" s="210"/>
      <c r="K356" s="76"/>
      <c r="L356" s="76"/>
      <c r="M356" s="76"/>
      <c r="N356" s="36"/>
      <c r="O356" s="36"/>
      <c r="P356" s="36"/>
    </row>
    <row r="357" spans="1:16" x14ac:dyDescent="0.2">
      <c r="A357" s="36"/>
      <c r="B357" s="212"/>
      <c r="C357" s="36"/>
      <c r="D357" s="212"/>
      <c r="E357" s="212"/>
      <c r="F357" s="226"/>
      <c r="G357" s="212"/>
      <c r="H357" s="36"/>
      <c r="I357" s="212"/>
      <c r="J357" s="212"/>
      <c r="K357" s="226"/>
      <c r="L357" s="76"/>
      <c r="M357" s="76"/>
      <c r="N357" s="36"/>
      <c r="O357" s="36"/>
      <c r="P357" s="36"/>
    </row>
    <row r="358" spans="1:16" x14ac:dyDescent="0.2">
      <c r="A358" s="36"/>
      <c r="B358" s="36"/>
      <c r="C358" s="212"/>
      <c r="D358" s="116"/>
      <c r="E358" s="116"/>
      <c r="F358" s="117"/>
      <c r="G358" s="36"/>
      <c r="H358" s="212"/>
      <c r="I358" s="116"/>
      <c r="J358" s="116"/>
      <c r="K358" s="117"/>
      <c r="L358" s="76"/>
      <c r="M358" s="226"/>
      <c r="N358" s="212"/>
      <c r="O358" s="36"/>
      <c r="P358" s="36"/>
    </row>
    <row r="359" spans="1:16" x14ac:dyDescent="0.2">
      <c r="A359" s="36"/>
      <c r="B359" s="36"/>
      <c r="C359" s="212"/>
      <c r="D359" s="212"/>
      <c r="E359" s="116"/>
      <c r="F359" s="117"/>
      <c r="G359" s="36"/>
      <c r="H359" s="212"/>
      <c r="I359" s="212"/>
      <c r="J359" s="116"/>
      <c r="K359" s="117"/>
      <c r="L359" s="76"/>
      <c r="M359" s="226"/>
      <c r="N359" s="116"/>
      <c r="O359" s="36"/>
      <c r="P359" s="36"/>
    </row>
    <row r="360" spans="1:16" x14ac:dyDescent="0.2">
      <c r="A360" s="36"/>
      <c r="B360" s="36"/>
      <c r="C360" s="222"/>
      <c r="D360" s="36"/>
      <c r="E360" s="220"/>
      <c r="F360" s="76"/>
      <c r="G360" s="36"/>
      <c r="H360" s="222"/>
      <c r="I360" s="36"/>
      <c r="J360" s="224"/>
      <c r="K360" s="76"/>
      <c r="L360" s="76"/>
      <c r="M360" s="76"/>
      <c r="N360" s="36"/>
      <c r="O360" s="36"/>
      <c r="P360" s="36"/>
    </row>
    <row r="361" spans="1:16" x14ac:dyDescent="0.2">
      <c r="A361" s="36"/>
      <c r="B361" s="36"/>
      <c r="C361" s="222"/>
      <c r="D361" s="36"/>
      <c r="E361" s="220"/>
      <c r="F361" s="76"/>
      <c r="G361" s="36"/>
      <c r="H361" s="222"/>
      <c r="I361" s="36"/>
      <c r="J361" s="210"/>
      <c r="K361" s="76"/>
      <c r="L361" s="76"/>
      <c r="M361" s="76"/>
      <c r="N361" s="95"/>
      <c r="O361" s="36"/>
      <c r="P361" s="36"/>
    </row>
    <row r="362" spans="1:16" x14ac:dyDescent="0.2">
      <c r="A362" s="36"/>
      <c r="B362" s="36"/>
      <c r="C362" s="222"/>
      <c r="D362" s="36"/>
      <c r="E362" s="116"/>
      <c r="F362" s="76"/>
      <c r="G362" s="36"/>
      <c r="H362" s="222"/>
      <c r="I362" s="36"/>
      <c r="J362" s="116"/>
      <c r="K362" s="76"/>
      <c r="L362" s="76"/>
      <c r="M362" s="76"/>
      <c r="N362" s="95"/>
      <c r="O362" s="36"/>
      <c r="P362" s="36"/>
    </row>
    <row r="363" spans="1:16" x14ac:dyDescent="0.2">
      <c r="A363" s="36"/>
      <c r="B363" s="36"/>
      <c r="C363" s="36"/>
      <c r="D363" s="116"/>
      <c r="E363" s="116"/>
      <c r="F363" s="76"/>
      <c r="G363" s="36"/>
      <c r="H363" s="36"/>
      <c r="I363" s="116"/>
      <c r="J363" s="116"/>
      <c r="K363" s="76"/>
      <c r="L363" s="76"/>
      <c r="M363" s="76"/>
      <c r="N363" s="95"/>
      <c r="O363" s="36"/>
      <c r="P363" s="36"/>
    </row>
    <row r="364" spans="1:16" x14ac:dyDescent="0.2">
      <c r="A364" s="36"/>
      <c r="B364" s="36"/>
      <c r="C364" s="36"/>
      <c r="D364" s="225"/>
      <c r="E364" s="220"/>
      <c r="F364" s="76"/>
      <c r="G364" s="36"/>
      <c r="H364" s="36"/>
      <c r="I364" s="223"/>
      <c r="J364" s="224"/>
      <c r="K364" s="76"/>
      <c r="L364" s="76"/>
      <c r="M364" s="76"/>
      <c r="N364" s="95"/>
      <c r="O364" s="36"/>
      <c r="P364" s="36"/>
    </row>
    <row r="365" spans="1:16" x14ac:dyDescent="0.2">
      <c r="A365" s="36"/>
      <c r="B365" s="36"/>
      <c r="C365" s="222"/>
      <c r="D365" s="225"/>
      <c r="E365" s="220"/>
      <c r="F365" s="76"/>
      <c r="G365" s="36"/>
      <c r="H365" s="222"/>
      <c r="I365" s="225"/>
      <c r="J365" s="224"/>
      <c r="K365" s="76"/>
      <c r="L365" s="76"/>
      <c r="M365" s="76"/>
      <c r="N365" s="95"/>
      <c r="O365" s="36"/>
      <c r="P365" s="36"/>
    </row>
    <row r="366" spans="1:16" x14ac:dyDescent="0.2">
      <c r="A366" s="36"/>
      <c r="B366" s="36"/>
      <c r="C366" s="222"/>
      <c r="D366" s="36"/>
      <c r="E366" s="210"/>
      <c r="F366" s="76"/>
      <c r="G366" s="36"/>
      <c r="H366" s="222"/>
      <c r="I366" s="36"/>
      <c r="J366" s="210"/>
      <c r="K366" s="76"/>
      <c r="L366" s="76"/>
      <c r="M366" s="76"/>
      <c r="N366" s="95"/>
      <c r="O366" s="36"/>
      <c r="P366" s="36"/>
    </row>
    <row r="367" spans="1:16" x14ac:dyDescent="0.2">
      <c r="A367" s="36"/>
      <c r="B367" s="36"/>
      <c r="C367" s="222"/>
      <c r="D367" s="36"/>
      <c r="E367" s="224"/>
      <c r="F367" s="76"/>
      <c r="G367" s="36"/>
      <c r="H367" s="36"/>
      <c r="I367" s="36"/>
      <c r="J367" s="210"/>
      <c r="K367" s="76"/>
      <c r="L367" s="76"/>
      <c r="M367" s="76"/>
      <c r="N367" s="95"/>
      <c r="O367" s="36"/>
      <c r="P367" s="36"/>
    </row>
    <row r="368" spans="1:16" x14ac:dyDescent="0.2">
      <c r="A368" s="36"/>
      <c r="B368" s="36"/>
      <c r="C368" s="212"/>
      <c r="D368" s="36"/>
      <c r="E368" s="36"/>
      <c r="F368" s="76"/>
      <c r="G368" s="36"/>
      <c r="H368" s="212"/>
      <c r="I368" s="36"/>
      <c r="J368" s="36"/>
      <c r="K368" s="76"/>
      <c r="L368" s="76"/>
      <c r="M368" s="76"/>
      <c r="N368" s="95"/>
      <c r="O368" s="36"/>
      <c r="P368" s="36"/>
    </row>
    <row r="369" spans="1:16" x14ac:dyDescent="0.2">
      <c r="A369" s="36"/>
      <c r="B369" s="36"/>
      <c r="C369" s="222"/>
      <c r="D369" s="36"/>
      <c r="E369" s="224"/>
      <c r="F369" s="76"/>
      <c r="G369" s="36"/>
      <c r="H369" s="36"/>
      <c r="I369" s="36"/>
      <c r="J369" s="210"/>
      <c r="K369" s="76"/>
      <c r="L369" s="76"/>
      <c r="M369" s="76"/>
      <c r="N369" s="95"/>
      <c r="O369" s="36"/>
      <c r="P369" s="36"/>
    </row>
    <row r="370" spans="1:16" x14ac:dyDescent="0.2">
      <c r="A370" s="36"/>
      <c r="B370" s="36"/>
      <c r="C370" s="222"/>
      <c r="D370" s="36"/>
      <c r="E370" s="224"/>
      <c r="F370" s="76"/>
      <c r="G370" s="36"/>
      <c r="H370" s="36"/>
      <c r="I370" s="36"/>
      <c r="J370" s="210"/>
      <c r="K370" s="76"/>
      <c r="L370" s="76"/>
      <c r="M370" s="76"/>
      <c r="N370" s="95"/>
      <c r="O370" s="36"/>
      <c r="P370" s="36"/>
    </row>
  </sheetData>
  <mergeCells count="6">
    <mergeCell ref="E21:F21"/>
    <mergeCell ref="E17:F17"/>
    <mergeCell ref="E13:F13"/>
    <mergeCell ref="E14:F14"/>
    <mergeCell ref="E15:F15"/>
    <mergeCell ref="E16:F16"/>
  </mergeCells>
  <phoneticPr fontId="0" type="noConversion"/>
  <pageMargins left="0.4" right="0.17" top="0.4" bottom="0.47" header="0.24" footer="0.18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55" zoomScale="75" workbookViewId="0">
      <selection activeCell="B137" sqref="B137"/>
    </sheetView>
  </sheetViews>
  <sheetFormatPr defaultRowHeight="12.75" x14ac:dyDescent="0.2"/>
  <cols>
    <col min="1" max="1" width="37.85546875" customWidth="1"/>
    <col min="2" max="2" width="14.7109375" customWidth="1"/>
    <col min="3" max="3" width="14.28515625" customWidth="1"/>
    <col min="4" max="4" width="14.5703125" customWidth="1"/>
    <col min="5" max="5" width="19.5703125" customWidth="1"/>
    <col min="6" max="6" width="16" customWidth="1"/>
    <col min="7" max="7" width="15.5703125" customWidth="1"/>
  </cols>
  <sheetData>
    <row r="1" spans="1:7" ht="18" x14ac:dyDescent="0.25">
      <c r="A1" s="15" t="s">
        <v>145</v>
      </c>
      <c r="D1" s="137" t="s">
        <v>333</v>
      </c>
    </row>
    <row r="3" spans="1:7" ht="18" x14ac:dyDescent="0.25">
      <c r="A3" s="111" t="s">
        <v>0</v>
      </c>
      <c r="B3" s="112" t="str">
        <f>'1. Dec. 31, 2002 Reg. Assets'!B3</f>
        <v>E.L.K. Energy Inc.</v>
      </c>
      <c r="C3" s="108"/>
      <c r="E3" s="111" t="s">
        <v>1</v>
      </c>
      <c r="F3" s="109" t="str">
        <f>'1. Dec. 31, 2002 Reg. Assets'!F3</f>
        <v>ED-2003-0015</v>
      </c>
    </row>
    <row r="4" spans="1:7" ht="18" x14ac:dyDescent="0.25">
      <c r="A4" s="111" t="s">
        <v>3</v>
      </c>
      <c r="B4" s="112" t="str">
        <f>'1. Dec. 31, 2002 Reg. Assets'!B4</f>
        <v>Sandra Slater</v>
      </c>
      <c r="C4" s="15"/>
      <c r="E4" s="111" t="s">
        <v>4</v>
      </c>
      <c r="F4" s="109" t="str">
        <f>'1. Dec. 31, 2002 Reg. Assets'!F4</f>
        <v>519-776-5291</v>
      </c>
    </row>
    <row r="5" spans="1:7" ht="18" x14ac:dyDescent="0.25">
      <c r="A5" s="27" t="s">
        <v>38</v>
      </c>
      <c r="B5" s="112" t="str">
        <f>'1. Dec. 31, 2002 Reg. Assets'!B5</f>
        <v>sslater@elkenergyinc.com</v>
      </c>
      <c r="C5" s="15"/>
    </row>
    <row r="6" spans="1:7" ht="18" x14ac:dyDescent="0.25">
      <c r="A6" s="111" t="s">
        <v>2</v>
      </c>
      <c r="B6" s="112">
        <f>'1. Dec. 31, 2002 Reg. Assets'!B6</f>
        <v>1</v>
      </c>
      <c r="C6" s="15"/>
    </row>
    <row r="7" spans="1:7" ht="15.75" x14ac:dyDescent="0.25">
      <c r="A7" s="27" t="s">
        <v>39</v>
      </c>
      <c r="B7" s="244">
        <f>'1. Dec. 31, 2002 Reg. Assets'!B7</f>
        <v>38031</v>
      </c>
    </row>
    <row r="8" spans="1:7" ht="18" x14ac:dyDescent="0.25">
      <c r="C8" s="15"/>
    </row>
    <row r="9" spans="1:7" ht="16.5" customHeight="1" x14ac:dyDescent="0.3">
      <c r="A9" s="125" t="s">
        <v>147</v>
      </c>
      <c r="C9" s="4"/>
      <c r="D9" s="18"/>
    </row>
    <row r="10" spans="1:7" ht="14.25" customHeight="1" x14ac:dyDescent="0.3">
      <c r="A10" s="125" t="s">
        <v>148</v>
      </c>
      <c r="B10" s="2"/>
      <c r="C10" s="4"/>
      <c r="D10" s="18"/>
    </row>
    <row r="11" spans="1:7" ht="13.5" customHeight="1" x14ac:dyDescent="0.3">
      <c r="A11" s="125" t="s">
        <v>146</v>
      </c>
      <c r="B11" s="2"/>
      <c r="C11" s="4"/>
      <c r="D11" s="18"/>
    </row>
    <row r="12" spans="1:7" ht="15" customHeight="1" x14ac:dyDescent="0.3">
      <c r="A12" s="125" t="s">
        <v>318</v>
      </c>
      <c r="B12" s="2"/>
      <c r="C12" s="4"/>
      <c r="D12" s="18"/>
    </row>
    <row r="13" spans="1:7" x14ac:dyDescent="0.2">
      <c r="B13" s="11"/>
      <c r="C13" s="11"/>
      <c r="D13" s="11"/>
      <c r="E13" s="11"/>
      <c r="F13" s="11"/>
    </row>
    <row r="14" spans="1:7" ht="18" x14ac:dyDescent="0.25">
      <c r="A14" s="99" t="s">
        <v>6</v>
      </c>
      <c r="B14" s="16"/>
      <c r="C14" s="6"/>
      <c r="E14" s="14"/>
      <c r="G14" s="14"/>
    </row>
    <row r="15" spans="1:7" x14ac:dyDescent="0.2">
      <c r="B15" s="14"/>
      <c r="C15" s="14"/>
      <c r="D15" s="17"/>
      <c r="E15" s="14"/>
      <c r="F15" s="14"/>
      <c r="G15" s="14"/>
    </row>
    <row r="16" spans="1:7" x14ac:dyDescent="0.2">
      <c r="A16" t="s">
        <v>8</v>
      </c>
      <c r="B16" s="21">
        <v>6.1999999999999998E-3</v>
      </c>
      <c r="C16" s="14"/>
      <c r="D16" s="17"/>
      <c r="E16" s="14"/>
      <c r="F16" s="14"/>
      <c r="G16" s="14"/>
    </row>
    <row r="17" spans="1:7" x14ac:dyDescent="0.2">
      <c r="B17" s="14"/>
      <c r="C17" s="14"/>
      <c r="D17" s="17"/>
      <c r="E17" s="14"/>
      <c r="F17" s="14"/>
      <c r="G17" s="14"/>
    </row>
    <row r="18" spans="1:7" x14ac:dyDescent="0.2">
      <c r="A18" t="s">
        <v>80</v>
      </c>
      <c r="B18" s="22">
        <v>11.73</v>
      </c>
      <c r="C18" s="14"/>
      <c r="D18" s="17"/>
      <c r="E18" s="14"/>
      <c r="F18" s="14"/>
      <c r="G18" s="14"/>
    </row>
    <row r="19" spans="1:7" x14ac:dyDescent="0.2">
      <c r="B19" s="14"/>
      <c r="C19" s="14"/>
      <c r="D19" s="17"/>
      <c r="E19" s="14"/>
      <c r="F19" s="14"/>
      <c r="G19" s="14"/>
    </row>
    <row r="20" spans="1:7" x14ac:dyDescent="0.2">
      <c r="B20" s="14"/>
      <c r="C20" s="14"/>
      <c r="D20" s="14"/>
      <c r="E20" s="14"/>
      <c r="F20" s="14"/>
      <c r="G20" s="14"/>
    </row>
    <row r="21" spans="1:7" ht="18" x14ac:dyDescent="0.25">
      <c r="A21" s="99" t="s">
        <v>9</v>
      </c>
      <c r="B21" s="16"/>
      <c r="C21" s="6"/>
      <c r="D21" s="14"/>
      <c r="E21" s="14"/>
      <c r="F21" s="14"/>
      <c r="G21" s="14"/>
    </row>
    <row r="22" spans="1:7" x14ac:dyDescent="0.2">
      <c r="B22" s="14"/>
      <c r="C22" s="14"/>
      <c r="D22" s="14"/>
      <c r="E22" s="14"/>
      <c r="F22" s="14"/>
      <c r="G22" s="14"/>
    </row>
    <row r="23" spans="1:7" x14ac:dyDescent="0.2">
      <c r="A23" t="s">
        <v>8</v>
      </c>
      <c r="B23" s="21">
        <v>0</v>
      </c>
      <c r="C23" s="14"/>
      <c r="D23" s="14"/>
      <c r="E23" s="14"/>
      <c r="F23" s="14"/>
      <c r="G23" s="14"/>
    </row>
    <row r="24" spans="1:7" x14ac:dyDescent="0.2">
      <c r="B24" s="14"/>
      <c r="C24" s="14"/>
      <c r="D24" s="14"/>
      <c r="E24" s="14"/>
      <c r="F24" s="14"/>
      <c r="G24" s="14"/>
    </row>
    <row r="25" spans="1:7" x14ac:dyDescent="0.2">
      <c r="A25" t="s">
        <v>80</v>
      </c>
      <c r="B25" s="22">
        <v>0</v>
      </c>
      <c r="C25" s="14"/>
      <c r="D25" s="14"/>
      <c r="E25" s="14"/>
      <c r="F25" s="14"/>
      <c r="G25" s="14"/>
    </row>
    <row r="26" spans="1:7" x14ac:dyDescent="0.2">
      <c r="B26" s="17"/>
      <c r="C26" s="14"/>
      <c r="D26" s="14"/>
      <c r="E26" s="14"/>
      <c r="F26" s="14"/>
      <c r="G26" s="14"/>
    </row>
    <row r="27" spans="1:7" x14ac:dyDescent="0.2">
      <c r="B27" s="14"/>
      <c r="C27" s="14"/>
      <c r="D27" s="17"/>
      <c r="E27" s="14"/>
      <c r="F27" s="14"/>
      <c r="G27" s="14"/>
    </row>
    <row r="28" spans="1:7" ht="18" x14ac:dyDescent="0.25">
      <c r="A28" s="99" t="s">
        <v>334</v>
      </c>
      <c r="B28" s="16"/>
      <c r="C28" s="6"/>
      <c r="D28" s="17"/>
      <c r="E28" s="14"/>
      <c r="F28" s="14"/>
      <c r="G28" s="14"/>
    </row>
    <row r="29" spans="1:7" x14ac:dyDescent="0.2">
      <c r="B29" s="14"/>
      <c r="C29" s="14"/>
      <c r="D29" s="17"/>
      <c r="E29" s="14"/>
      <c r="F29" s="14"/>
      <c r="G29" s="14"/>
    </row>
    <row r="30" spans="1:7" x14ac:dyDescent="0.2">
      <c r="A30" t="s">
        <v>8</v>
      </c>
      <c r="B30" s="21">
        <v>1.2999999999999999E-3</v>
      </c>
      <c r="C30" s="14"/>
      <c r="D30" s="17"/>
      <c r="E30" s="14"/>
      <c r="F30" s="14"/>
      <c r="G30" s="14"/>
    </row>
    <row r="31" spans="1:7" x14ac:dyDescent="0.2">
      <c r="B31" s="14"/>
      <c r="C31" s="14"/>
      <c r="D31" s="17"/>
      <c r="E31" s="14"/>
      <c r="F31" s="14"/>
      <c r="G31" s="14"/>
    </row>
    <row r="32" spans="1:7" x14ac:dyDescent="0.2">
      <c r="A32" t="s">
        <v>80</v>
      </c>
      <c r="B32" s="22">
        <v>11.46</v>
      </c>
      <c r="C32" s="14"/>
      <c r="D32" s="17"/>
      <c r="E32" s="14"/>
      <c r="F32" s="14"/>
      <c r="G32" s="14"/>
    </row>
    <row r="33" spans="1:7" x14ac:dyDescent="0.2">
      <c r="B33" s="14"/>
      <c r="C33" s="14"/>
      <c r="D33" s="17"/>
      <c r="E33" s="14"/>
      <c r="F33" s="14"/>
      <c r="G33" s="14"/>
    </row>
    <row r="34" spans="1:7" x14ac:dyDescent="0.2">
      <c r="B34" s="14"/>
      <c r="C34" s="14"/>
      <c r="D34" s="17"/>
      <c r="E34" s="14"/>
      <c r="F34" s="14"/>
      <c r="G34" s="14"/>
    </row>
    <row r="35" spans="1:7" ht="18" x14ac:dyDescent="0.25">
      <c r="A35" s="99" t="s">
        <v>11</v>
      </c>
      <c r="B35" s="16"/>
      <c r="C35" s="6"/>
      <c r="D35" s="17"/>
      <c r="E35" s="14"/>
      <c r="F35" s="14"/>
      <c r="G35" s="14"/>
    </row>
    <row r="36" spans="1:7" x14ac:dyDescent="0.2">
      <c r="B36" s="14"/>
      <c r="C36" s="14"/>
      <c r="D36" s="17"/>
      <c r="E36" s="14"/>
      <c r="F36" s="14"/>
      <c r="G36" s="14"/>
    </row>
    <row r="37" spans="1:7" x14ac:dyDescent="0.2">
      <c r="A37" t="s">
        <v>12</v>
      </c>
      <c r="B37" s="21">
        <v>2.4125000000000001</v>
      </c>
      <c r="C37" s="14"/>
      <c r="D37" s="17"/>
      <c r="E37" s="14"/>
      <c r="F37" s="14"/>
      <c r="G37" s="14"/>
    </row>
    <row r="38" spans="1:7" x14ac:dyDescent="0.2">
      <c r="B38" s="14"/>
      <c r="C38" s="14"/>
      <c r="D38" s="17"/>
      <c r="E38" s="14"/>
      <c r="F38" s="14"/>
      <c r="G38" s="14"/>
    </row>
    <row r="39" spans="1:7" x14ac:dyDescent="0.2">
      <c r="A39" t="s">
        <v>79</v>
      </c>
      <c r="B39" s="22">
        <v>461.79</v>
      </c>
      <c r="C39" s="14"/>
      <c r="D39" s="17"/>
      <c r="E39" s="14"/>
      <c r="F39" s="14"/>
      <c r="G39" s="14"/>
    </row>
    <row r="40" spans="1:7" x14ac:dyDescent="0.2">
      <c r="B40" s="14"/>
      <c r="C40" s="14"/>
      <c r="D40" s="17"/>
      <c r="E40" s="14"/>
      <c r="F40" s="14"/>
      <c r="G40" s="14"/>
    </row>
    <row r="41" spans="1:7" x14ac:dyDescent="0.2">
      <c r="B41" s="14"/>
      <c r="C41" s="14"/>
      <c r="D41" s="17"/>
      <c r="E41" s="14"/>
      <c r="F41" s="14"/>
      <c r="G41" s="14"/>
    </row>
    <row r="42" spans="1:7" ht="18" x14ac:dyDescent="0.25">
      <c r="A42" s="99" t="s">
        <v>14</v>
      </c>
      <c r="B42" s="16"/>
      <c r="C42" s="6"/>
      <c r="D42" s="17"/>
      <c r="E42" s="14"/>
      <c r="F42" s="14"/>
      <c r="G42" s="14"/>
    </row>
    <row r="43" spans="1:7" ht="18" x14ac:dyDescent="0.25">
      <c r="A43" s="15"/>
      <c r="B43" s="14"/>
      <c r="C43" s="14"/>
      <c r="D43" s="17"/>
      <c r="E43" s="14"/>
      <c r="F43" s="14"/>
      <c r="G43" s="14"/>
    </row>
    <row r="44" spans="1:7" x14ac:dyDescent="0.2">
      <c r="A44" t="s">
        <v>12</v>
      </c>
      <c r="B44" s="21">
        <v>0.118313</v>
      </c>
      <c r="C44" s="14"/>
      <c r="D44" s="17"/>
      <c r="E44" s="14"/>
      <c r="F44" s="14"/>
      <c r="G44" s="14"/>
    </row>
    <row r="45" spans="1:7" x14ac:dyDescent="0.2">
      <c r="B45" s="14"/>
      <c r="C45" s="14"/>
      <c r="D45" s="17"/>
      <c r="E45" s="14"/>
      <c r="F45" s="14"/>
      <c r="G45" s="14"/>
    </row>
    <row r="46" spans="1:7" x14ac:dyDescent="0.2">
      <c r="A46" t="s">
        <v>79</v>
      </c>
      <c r="B46" s="22">
        <v>882.08</v>
      </c>
      <c r="C46" s="14"/>
      <c r="D46" s="17"/>
      <c r="E46" s="14"/>
      <c r="F46" s="14"/>
      <c r="G46" s="14"/>
    </row>
    <row r="47" spans="1:7" x14ac:dyDescent="0.2">
      <c r="B47" s="14"/>
      <c r="C47" s="14"/>
      <c r="D47" s="17"/>
      <c r="E47" s="14"/>
      <c r="F47" s="14"/>
      <c r="G47" s="14"/>
    </row>
    <row r="48" spans="1:7" ht="11.25" customHeight="1" x14ac:dyDescent="0.25">
      <c r="A48" s="15"/>
      <c r="B48" s="14"/>
      <c r="C48" s="14"/>
      <c r="D48" s="17"/>
      <c r="E48" s="14"/>
      <c r="F48" s="14"/>
      <c r="G48" s="14"/>
    </row>
    <row r="49" spans="1:7" ht="18" x14ac:dyDescent="0.25">
      <c r="A49" s="99" t="s">
        <v>15</v>
      </c>
      <c r="B49" s="14"/>
      <c r="C49" s="14"/>
      <c r="D49" s="17"/>
      <c r="E49" s="14"/>
      <c r="F49" s="14"/>
      <c r="G49" s="14"/>
    </row>
    <row r="50" spans="1:7" x14ac:dyDescent="0.2">
      <c r="B50" s="14"/>
      <c r="C50" s="14"/>
      <c r="D50" s="17"/>
      <c r="E50" s="14"/>
      <c r="F50" s="14"/>
      <c r="G50" s="14"/>
    </row>
    <row r="51" spans="1:7" x14ac:dyDescent="0.2">
      <c r="A51" t="s">
        <v>12</v>
      </c>
      <c r="B51" s="21">
        <v>0</v>
      </c>
      <c r="C51" s="14"/>
      <c r="D51" s="17"/>
      <c r="E51" s="14"/>
      <c r="F51" s="14"/>
      <c r="G51" s="14"/>
    </row>
    <row r="52" spans="1:7" x14ac:dyDescent="0.2">
      <c r="B52" s="14"/>
      <c r="C52" s="14"/>
      <c r="D52" s="17"/>
      <c r="E52" s="14"/>
      <c r="F52" s="14"/>
      <c r="G52" s="14"/>
    </row>
    <row r="53" spans="1:7" x14ac:dyDescent="0.2">
      <c r="A53" t="s">
        <v>81</v>
      </c>
      <c r="B53" s="22">
        <v>0</v>
      </c>
      <c r="C53" s="14"/>
      <c r="D53" s="17"/>
      <c r="E53" s="14"/>
      <c r="F53" s="14"/>
      <c r="G53" s="14"/>
    </row>
    <row r="54" spans="1:7" x14ac:dyDescent="0.2">
      <c r="B54" s="14"/>
      <c r="C54" s="14"/>
      <c r="D54" s="17"/>
      <c r="E54" s="14"/>
      <c r="F54" s="14"/>
      <c r="G54" s="14"/>
    </row>
    <row r="55" spans="1:7" x14ac:dyDescent="0.2">
      <c r="B55" s="14"/>
      <c r="C55" s="14"/>
      <c r="D55" s="17"/>
      <c r="E55" s="14"/>
      <c r="F55" s="14"/>
      <c r="G55" s="14"/>
    </row>
    <row r="56" spans="1:7" ht="18" x14ac:dyDescent="0.25">
      <c r="A56" s="99" t="s">
        <v>7</v>
      </c>
      <c r="B56" s="14"/>
      <c r="C56" s="14"/>
      <c r="D56" s="17"/>
      <c r="E56" s="14"/>
      <c r="F56" s="14"/>
      <c r="G56" s="14"/>
    </row>
    <row r="57" spans="1:7" x14ac:dyDescent="0.2">
      <c r="B57" s="14"/>
      <c r="C57" s="14"/>
      <c r="D57" s="17"/>
      <c r="E57" s="14"/>
      <c r="F57" s="14"/>
      <c r="G57" s="14"/>
    </row>
    <row r="58" spans="1:7" x14ac:dyDescent="0.2">
      <c r="A58" t="s">
        <v>12</v>
      </c>
      <c r="B58" s="21">
        <v>0</v>
      </c>
      <c r="C58" s="14"/>
      <c r="D58" s="17"/>
      <c r="E58" s="14"/>
      <c r="F58" s="14"/>
      <c r="G58" s="14"/>
    </row>
    <row r="59" spans="1:7" x14ac:dyDescent="0.2">
      <c r="B59" s="14"/>
      <c r="C59" s="14"/>
      <c r="D59" s="17"/>
      <c r="E59" s="14"/>
      <c r="F59" s="14"/>
      <c r="G59" s="14"/>
    </row>
    <row r="60" spans="1:7" x14ac:dyDescent="0.2">
      <c r="A60" t="s">
        <v>79</v>
      </c>
      <c r="B60" s="22">
        <v>0</v>
      </c>
      <c r="C60" s="14"/>
      <c r="D60" s="17"/>
      <c r="E60" s="14"/>
      <c r="F60" s="14"/>
      <c r="G60" s="14"/>
    </row>
    <row r="61" spans="1:7" x14ac:dyDescent="0.2">
      <c r="B61" s="14"/>
      <c r="C61" s="14"/>
      <c r="D61" s="17"/>
      <c r="E61" s="14"/>
      <c r="F61" s="14"/>
      <c r="G61" s="14"/>
    </row>
    <row r="62" spans="1:7" x14ac:dyDescent="0.2">
      <c r="C62" s="14"/>
      <c r="E62" s="14"/>
      <c r="F62" s="14"/>
      <c r="G62" s="14"/>
    </row>
    <row r="63" spans="1:7" ht="18" x14ac:dyDescent="0.25">
      <c r="A63" s="99" t="s">
        <v>16</v>
      </c>
      <c r="B63" s="14"/>
      <c r="C63" s="14"/>
      <c r="D63" s="17"/>
      <c r="E63" s="14"/>
      <c r="F63" s="14"/>
      <c r="G63" s="14"/>
    </row>
    <row r="64" spans="1:7" x14ac:dyDescent="0.2">
      <c r="B64" s="14"/>
      <c r="C64" s="14"/>
      <c r="D64" s="17"/>
      <c r="E64" s="14"/>
      <c r="F64" s="14"/>
      <c r="G64" s="14"/>
    </row>
    <row r="65" spans="1:7" x14ac:dyDescent="0.2">
      <c r="A65" t="s">
        <v>12</v>
      </c>
      <c r="B65" s="21">
        <v>0.66900000000000004</v>
      </c>
      <c r="C65" s="14"/>
      <c r="D65" s="17"/>
      <c r="E65" s="14"/>
      <c r="F65" s="14"/>
      <c r="G65" s="14"/>
    </row>
    <row r="66" spans="1:7" x14ac:dyDescent="0.2">
      <c r="B66" s="14"/>
      <c r="C66" s="14"/>
      <c r="D66" s="17"/>
      <c r="E66" s="14"/>
      <c r="F66" s="14"/>
      <c r="G66" s="14"/>
    </row>
    <row r="67" spans="1:7" x14ac:dyDescent="0.2">
      <c r="A67" t="s">
        <v>82</v>
      </c>
      <c r="B67" s="22">
        <v>0.38</v>
      </c>
      <c r="C67" s="14"/>
      <c r="D67" s="17"/>
      <c r="E67" s="14"/>
      <c r="F67" s="14"/>
      <c r="G67" s="14"/>
    </row>
    <row r="68" spans="1:7" x14ac:dyDescent="0.2">
      <c r="B68" s="14"/>
      <c r="C68" s="14"/>
      <c r="D68" s="17"/>
      <c r="E68" s="14"/>
      <c r="F68" s="14"/>
      <c r="G68" s="14"/>
    </row>
    <row r="69" spans="1:7" x14ac:dyDescent="0.2">
      <c r="A69" s="4" t="s">
        <v>17</v>
      </c>
      <c r="B69" s="14"/>
      <c r="C69" s="14"/>
      <c r="D69" s="17"/>
      <c r="E69" s="14"/>
      <c r="F69" s="14"/>
      <c r="G69" s="14"/>
    </row>
    <row r="70" spans="1:7" x14ac:dyDescent="0.2">
      <c r="B70" s="14"/>
      <c r="C70" s="14"/>
      <c r="D70" s="17"/>
      <c r="E70" s="14"/>
      <c r="F70" s="14"/>
      <c r="G70" s="14"/>
    </row>
    <row r="71" spans="1:7" ht="18" x14ac:dyDescent="0.25">
      <c r="A71" s="99" t="s">
        <v>18</v>
      </c>
      <c r="B71" s="14"/>
      <c r="C71" s="14"/>
      <c r="D71" s="17"/>
      <c r="E71" s="14"/>
      <c r="F71" s="14"/>
      <c r="G71" s="14"/>
    </row>
    <row r="72" spans="1:7" x14ac:dyDescent="0.2">
      <c r="B72" s="14"/>
      <c r="C72" s="14"/>
      <c r="D72" s="17"/>
      <c r="E72" s="14"/>
      <c r="F72" s="14"/>
      <c r="G72" s="14"/>
    </row>
    <row r="73" spans="1:7" x14ac:dyDescent="0.2">
      <c r="A73" t="s">
        <v>12</v>
      </c>
      <c r="B73" s="21">
        <v>0</v>
      </c>
      <c r="C73" s="14"/>
      <c r="D73" s="17"/>
      <c r="E73" s="14"/>
      <c r="F73" s="14"/>
      <c r="G73" s="14"/>
    </row>
    <row r="74" spans="1:7" x14ac:dyDescent="0.2">
      <c r="B74" s="14"/>
      <c r="C74" s="14"/>
      <c r="D74" s="17"/>
      <c r="E74" s="14"/>
      <c r="F74" s="14"/>
      <c r="G74" s="14"/>
    </row>
    <row r="75" spans="1:7" x14ac:dyDescent="0.2">
      <c r="A75" t="s">
        <v>82</v>
      </c>
      <c r="B75" s="22">
        <v>0</v>
      </c>
      <c r="C75" s="14"/>
      <c r="D75" s="17"/>
      <c r="E75" s="14"/>
      <c r="F75" s="14"/>
      <c r="G75" s="14"/>
    </row>
    <row r="76" spans="1:7" x14ac:dyDescent="0.2">
      <c r="B76" s="14"/>
      <c r="C76" s="14"/>
      <c r="D76" s="17"/>
      <c r="E76" s="14"/>
      <c r="F76" s="14"/>
      <c r="G76" s="14"/>
    </row>
    <row r="77" spans="1:7" x14ac:dyDescent="0.2">
      <c r="B77" s="14"/>
      <c r="C77" s="14"/>
      <c r="D77" s="17"/>
      <c r="E77" s="14"/>
      <c r="F77" s="14"/>
      <c r="G77" s="14"/>
    </row>
    <row r="78" spans="1:7" ht="18" x14ac:dyDescent="0.25">
      <c r="A78" s="99" t="s">
        <v>19</v>
      </c>
      <c r="B78" s="14"/>
      <c r="C78" s="14"/>
      <c r="D78" s="17"/>
      <c r="E78" s="14"/>
      <c r="F78" s="14"/>
      <c r="G78" s="14"/>
    </row>
    <row r="79" spans="1:7" x14ac:dyDescent="0.2">
      <c r="B79" s="14"/>
      <c r="C79" s="14"/>
      <c r="D79" s="17"/>
      <c r="E79" s="14"/>
      <c r="F79" s="14"/>
      <c r="G79" s="14"/>
    </row>
    <row r="80" spans="1:7" x14ac:dyDescent="0.2">
      <c r="A80" t="s">
        <v>12</v>
      </c>
      <c r="B80" s="21">
        <v>6.6799999999999998E-2</v>
      </c>
      <c r="C80" s="14"/>
      <c r="D80" s="17"/>
      <c r="E80" s="14"/>
      <c r="F80" s="14"/>
      <c r="G80" s="14"/>
    </row>
    <row r="81" spans="1:7" x14ac:dyDescent="0.2">
      <c r="B81" s="14"/>
      <c r="C81" s="14"/>
      <c r="D81" s="17"/>
      <c r="E81" s="14"/>
      <c r="F81" s="14"/>
      <c r="G81" s="14"/>
    </row>
    <row r="82" spans="1:7" x14ac:dyDescent="0.2">
      <c r="A82" t="s">
        <v>82</v>
      </c>
      <c r="B82" s="22">
        <v>0.02</v>
      </c>
      <c r="C82" s="14"/>
      <c r="D82" s="17"/>
      <c r="E82" s="14"/>
      <c r="F82" s="14"/>
      <c r="G82" s="14"/>
    </row>
    <row r="83" spans="1:7" x14ac:dyDescent="0.2">
      <c r="B83" s="14"/>
      <c r="C83" s="14"/>
      <c r="D83" s="17"/>
      <c r="E83" s="14"/>
      <c r="F83" s="14"/>
      <c r="G83" s="14"/>
    </row>
    <row r="84" spans="1:7" x14ac:dyDescent="0.2">
      <c r="A84" s="4" t="s">
        <v>17</v>
      </c>
      <c r="B84" s="14"/>
      <c r="C84" s="14"/>
      <c r="D84" s="17"/>
      <c r="E84" s="14"/>
      <c r="F84" s="14"/>
      <c r="G84" s="14"/>
    </row>
    <row r="85" spans="1:7" x14ac:dyDescent="0.2">
      <c r="B85" s="14"/>
      <c r="C85" s="14"/>
      <c r="D85" s="17"/>
      <c r="E85" s="14"/>
      <c r="F85" s="14"/>
      <c r="G85" s="14"/>
    </row>
    <row r="86" spans="1:7" ht="18" x14ac:dyDescent="0.25">
      <c r="A86" s="99" t="s">
        <v>20</v>
      </c>
      <c r="B86" s="14"/>
      <c r="C86" s="14"/>
      <c r="D86" s="17"/>
      <c r="E86" s="14"/>
      <c r="F86" s="14"/>
      <c r="G86" s="14"/>
    </row>
    <row r="87" spans="1:7" x14ac:dyDescent="0.2">
      <c r="B87" s="14"/>
      <c r="C87" s="14"/>
      <c r="D87" s="17"/>
      <c r="E87" s="14"/>
      <c r="F87" s="14"/>
      <c r="G87" s="14"/>
    </row>
    <row r="88" spans="1:7" x14ac:dyDescent="0.2">
      <c r="A88" t="s">
        <v>12</v>
      </c>
      <c r="B88" s="21">
        <v>0</v>
      </c>
      <c r="C88" s="14"/>
      <c r="D88" s="17"/>
      <c r="E88" s="14"/>
      <c r="F88" s="14"/>
      <c r="G88" s="14"/>
    </row>
    <row r="89" spans="1:7" x14ac:dyDescent="0.2">
      <c r="B89" s="14"/>
      <c r="C89" s="14"/>
      <c r="D89" s="17"/>
      <c r="E89" s="14"/>
      <c r="F89" s="14"/>
      <c r="G89" s="14"/>
    </row>
    <row r="90" spans="1:7" x14ac:dyDescent="0.2">
      <c r="A90" t="s">
        <v>82</v>
      </c>
      <c r="B90" s="22">
        <v>0</v>
      </c>
      <c r="C90" s="14"/>
      <c r="D90" s="17"/>
      <c r="E90" s="14"/>
      <c r="F90" s="14"/>
      <c r="G90" s="14"/>
    </row>
    <row r="91" spans="1:7" x14ac:dyDescent="0.2">
      <c r="B91" s="14"/>
      <c r="C91" s="14"/>
      <c r="D91" s="17"/>
      <c r="E91" s="14"/>
      <c r="F91" s="14"/>
      <c r="G91" s="14"/>
    </row>
    <row r="93" spans="1:7" ht="18" x14ac:dyDescent="0.25">
      <c r="A93" s="99" t="s">
        <v>197</v>
      </c>
    </row>
    <row r="95" spans="1:7" ht="14.25" x14ac:dyDescent="0.2">
      <c r="A95" s="125" t="s">
        <v>199</v>
      </c>
    </row>
    <row r="96" spans="1:7" ht="14.25" x14ac:dyDescent="0.2">
      <c r="A96" s="125" t="s">
        <v>200</v>
      </c>
    </row>
    <row r="97" spans="1:3" ht="14.25" x14ac:dyDescent="0.2">
      <c r="A97" s="125" t="s">
        <v>149</v>
      </c>
    </row>
    <row r="100" spans="1:3" x14ac:dyDescent="0.2">
      <c r="A100" t="s">
        <v>21</v>
      </c>
      <c r="B100" s="5"/>
      <c r="C100" s="10">
        <v>9</v>
      </c>
    </row>
    <row r="101" spans="1:3" x14ac:dyDescent="0.2">
      <c r="A101" t="s">
        <v>22</v>
      </c>
      <c r="B101" s="5"/>
      <c r="C101" s="10">
        <v>0</v>
      </c>
    </row>
    <row r="102" spans="1:3" x14ac:dyDescent="0.2">
      <c r="A102" t="s">
        <v>23</v>
      </c>
      <c r="B102" s="5"/>
      <c r="C102" s="10"/>
    </row>
    <row r="103" spans="1:3" x14ac:dyDescent="0.2">
      <c r="A103" t="s">
        <v>24</v>
      </c>
      <c r="B103" s="5"/>
      <c r="C103" s="10">
        <v>0</v>
      </c>
    </row>
    <row r="104" spans="1:3" x14ac:dyDescent="0.2">
      <c r="A104" t="s">
        <v>25</v>
      </c>
      <c r="B104" s="5"/>
      <c r="C104" s="10">
        <v>0</v>
      </c>
    </row>
    <row r="105" spans="1:3" x14ac:dyDescent="0.2">
      <c r="A105" t="s">
        <v>26</v>
      </c>
      <c r="B105" s="5"/>
      <c r="C105" s="10">
        <v>0</v>
      </c>
    </row>
    <row r="106" spans="1:3" x14ac:dyDescent="0.2">
      <c r="B106" s="5"/>
      <c r="C106" s="10"/>
    </row>
    <row r="107" spans="1:3" x14ac:dyDescent="0.2">
      <c r="A107" t="s">
        <v>27</v>
      </c>
      <c r="B107" s="5"/>
      <c r="C107" s="10">
        <v>10.7</v>
      </c>
    </row>
    <row r="108" spans="1:3" x14ac:dyDescent="0.2">
      <c r="A108" t="s">
        <v>28</v>
      </c>
      <c r="B108" s="269" t="s">
        <v>325</v>
      </c>
      <c r="C108" s="63">
        <v>1.4999999999999999E-2</v>
      </c>
    </row>
    <row r="109" spans="1:3" x14ac:dyDescent="0.2">
      <c r="A109" t="s">
        <v>29</v>
      </c>
      <c r="B109" s="5"/>
      <c r="C109" s="10">
        <v>9</v>
      </c>
    </row>
    <row r="110" spans="1:3" x14ac:dyDescent="0.2">
      <c r="A110" t="s">
        <v>30</v>
      </c>
      <c r="B110" s="5"/>
      <c r="C110" s="10">
        <v>9</v>
      </c>
    </row>
    <row r="111" spans="1:3" x14ac:dyDescent="0.2">
      <c r="B111" s="5"/>
      <c r="C111" s="10"/>
    </row>
    <row r="112" spans="1:3" x14ac:dyDescent="0.2">
      <c r="A112" t="s">
        <v>31</v>
      </c>
      <c r="B112" s="5"/>
      <c r="C112" s="10"/>
    </row>
    <row r="113" spans="1:3" x14ac:dyDescent="0.2">
      <c r="A113" t="s">
        <v>32</v>
      </c>
      <c r="B113" s="5"/>
      <c r="C113" s="10">
        <v>20</v>
      </c>
    </row>
    <row r="114" spans="1:3" x14ac:dyDescent="0.2">
      <c r="A114" t="s">
        <v>33</v>
      </c>
      <c r="B114" s="5"/>
      <c r="C114" s="10">
        <v>50</v>
      </c>
    </row>
    <row r="115" spans="1:3" x14ac:dyDescent="0.2">
      <c r="B115" s="5"/>
      <c r="C115" s="10"/>
    </row>
    <row r="116" spans="1:3" x14ac:dyDescent="0.2">
      <c r="A116" t="s">
        <v>34</v>
      </c>
      <c r="B116" s="5"/>
      <c r="C116" s="10">
        <v>0</v>
      </c>
    </row>
    <row r="117" spans="1:3" x14ac:dyDescent="0.2">
      <c r="B117" s="5"/>
      <c r="C117" s="10"/>
    </row>
    <row r="118" spans="1:3" x14ac:dyDescent="0.2">
      <c r="A118" t="s">
        <v>35</v>
      </c>
      <c r="B118" s="5"/>
      <c r="C118" s="10">
        <v>0</v>
      </c>
    </row>
    <row r="119" spans="1:3" x14ac:dyDescent="0.2">
      <c r="A119" t="s">
        <v>36</v>
      </c>
      <c r="B119" s="5"/>
      <c r="C119" s="10">
        <v>0</v>
      </c>
    </row>
    <row r="120" spans="1:3" x14ac:dyDescent="0.2">
      <c r="A120" t="s">
        <v>37</v>
      </c>
      <c r="B120" s="5"/>
      <c r="C120" s="10">
        <v>0</v>
      </c>
    </row>
    <row r="121" spans="1:3" x14ac:dyDescent="0.2">
      <c r="B121" s="5"/>
      <c r="C121" s="5"/>
    </row>
    <row r="122" spans="1:3" x14ac:dyDescent="0.2">
      <c r="A122" t="s">
        <v>106</v>
      </c>
      <c r="B122" t="s">
        <v>108</v>
      </c>
      <c r="C122" s="10">
        <v>0</v>
      </c>
    </row>
    <row r="123" spans="1:3" x14ac:dyDescent="0.2">
      <c r="A123" t="s">
        <v>107</v>
      </c>
      <c r="B123" t="s">
        <v>109</v>
      </c>
      <c r="C123" s="10">
        <v>0</v>
      </c>
    </row>
    <row r="125" spans="1:3" x14ac:dyDescent="0.2">
      <c r="A125" t="s">
        <v>326</v>
      </c>
      <c r="C125" s="10">
        <v>10</v>
      </c>
    </row>
    <row r="127" spans="1:3" x14ac:dyDescent="0.2">
      <c r="A127" t="s">
        <v>327</v>
      </c>
      <c r="C127" s="10">
        <v>0.6</v>
      </c>
    </row>
  </sheetData>
  <phoneticPr fontId="0" type="noConversion"/>
  <pageMargins left="0.44" right="0.17" top="0.57999999999999996" bottom="0.57999999999999996" header="0.32" footer="0.33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zoomScale="75" workbookViewId="0">
      <selection activeCell="B29" sqref="B29"/>
    </sheetView>
  </sheetViews>
  <sheetFormatPr defaultRowHeight="12.75" x14ac:dyDescent="0.2"/>
  <cols>
    <col min="1" max="1" width="51.42578125" customWidth="1"/>
    <col min="2" max="2" width="13.140625" customWidth="1"/>
    <col min="3" max="3" width="12.28515625" customWidth="1"/>
    <col min="4" max="4" width="14" customWidth="1"/>
    <col min="5" max="5" width="16.85546875" customWidth="1"/>
    <col min="6" max="6" width="11.7109375" customWidth="1"/>
    <col min="7" max="7" width="14.7109375" customWidth="1"/>
    <col min="8" max="8" width="15.28515625" customWidth="1"/>
  </cols>
  <sheetData>
    <row r="1" spans="1:7" ht="37.5" customHeight="1" x14ac:dyDescent="0.25">
      <c r="A1" s="272" t="s">
        <v>159</v>
      </c>
      <c r="B1" s="273"/>
      <c r="C1" s="273"/>
      <c r="D1" s="273"/>
      <c r="E1" s="273"/>
      <c r="F1" s="273"/>
      <c r="G1" s="273"/>
    </row>
    <row r="2" spans="1:7" ht="18" x14ac:dyDescent="0.25">
      <c r="A2" s="1"/>
    </row>
    <row r="3" spans="1:7" ht="18" x14ac:dyDescent="0.25">
      <c r="A3" s="111" t="s">
        <v>0</v>
      </c>
      <c r="B3" s="112" t="str">
        <f>'1. Dec. 31, 2002 Reg. Assets'!B3</f>
        <v>E.L.K. Energy Inc.</v>
      </c>
      <c r="C3" s="108"/>
      <c r="E3" s="111" t="s">
        <v>1</v>
      </c>
      <c r="F3" s="1"/>
      <c r="G3" s="114" t="str">
        <f>'1. Dec. 31, 2002 Reg. Assets'!F3</f>
        <v>ED-2003-0015</v>
      </c>
    </row>
    <row r="4" spans="1:7" ht="18" x14ac:dyDescent="0.25">
      <c r="A4" s="111" t="s">
        <v>3</v>
      </c>
      <c r="B4" s="112" t="str">
        <f>'1. Dec. 31, 2002 Reg. Assets'!B4</f>
        <v>Sandra Slater</v>
      </c>
      <c r="C4" s="15"/>
      <c r="E4" s="111" t="s">
        <v>4</v>
      </c>
      <c r="F4" s="1"/>
      <c r="G4" s="114" t="str">
        <f>'1. Dec. 31, 2002 Reg. Assets'!F4</f>
        <v>519-776-5291</v>
      </c>
    </row>
    <row r="5" spans="1:7" ht="18" x14ac:dyDescent="0.25">
      <c r="A5" s="27" t="s">
        <v>38</v>
      </c>
      <c r="B5" s="112" t="str">
        <f>'1. Dec. 31, 2002 Reg. Assets'!B5</f>
        <v>sslater@elkenergyinc.com</v>
      </c>
      <c r="C5" s="15"/>
    </row>
    <row r="6" spans="1:7" ht="18" x14ac:dyDescent="0.25">
      <c r="A6" s="111" t="s">
        <v>2</v>
      </c>
      <c r="B6" s="112">
        <f>'1. Dec. 31, 2002 Reg. Assets'!B6</f>
        <v>1</v>
      </c>
      <c r="C6" s="15"/>
    </row>
    <row r="7" spans="1:7" ht="18" x14ac:dyDescent="0.25">
      <c r="A7" s="27" t="s">
        <v>39</v>
      </c>
      <c r="B7" s="244">
        <f>'1. Dec. 31, 2002 Reg. Assets'!B7</f>
        <v>38031</v>
      </c>
      <c r="C7" s="15"/>
    </row>
    <row r="8" spans="1:7" ht="18" x14ac:dyDescent="0.25">
      <c r="C8" s="15"/>
    </row>
    <row r="9" spans="1:7" ht="14.25" x14ac:dyDescent="0.2">
      <c r="A9" s="125" t="s">
        <v>154</v>
      </c>
      <c r="B9" s="4"/>
    </row>
    <row r="10" spans="1:7" ht="14.25" x14ac:dyDescent="0.2">
      <c r="A10" s="125" t="s">
        <v>155</v>
      </c>
    </row>
    <row r="11" spans="1:7" ht="12.75" customHeight="1" x14ac:dyDescent="0.25">
      <c r="A11" s="3"/>
    </row>
    <row r="12" spans="1:7" x14ac:dyDescent="0.2">
      <c r="B12" s="9"/>
      <c r="C12" s="23"/>
    </row>
    <row r="13" spans="1:7" ht="14.25" x14ac:dyDescent="0.2">
      <c r="A13" s="125" t="s">
        <v>278</v>
      </c>
      <c r="B13" s="9"/>
      <c r="C13" s="5"/>
      <c r="F13" s="23"/>
      <c r="G13" s="10">
        <f>'1. Dec. 31, 2002 Reg. Assets'!D57</f>
        <v>425473.84963636374</v>
      </c>
    </row>
    <row r="14" spans="1:7" ht="14.25" x14ac:dyDescent="0.2">
      <c r="A14" s="125" t="s">
        <v>153</v>
      </c>
      <c r="B14" s="9"/>
      <c r="C14" s="5"/>
      <c r="F14" s="23"/>
      <c r="G14" s="23"/>
    </row>
    <row r="15" spans="1:7" ht="14.25" x14ac:dyDescent="0.2">
      <c r="A15" s="125" t="s">
        <v>181</v>
      </c>
      <c r="B15" s="9"/>
      <c r="C15" s="5"/>
      <c r="F15" s="23"/>
      <c r="G15" s="8"/>
    </row>
    <row r="16" spans="1:7" x14ac:dyDescent="0.2">
      <c r="C16" s="7"/>
    </row>
    <row r="17" spans="1:8" ht="14.25" x14ac:dyDescent="0.2">
      <c r="A17" s="125" t="s">
        <v>151</v>
      </c>
    </row>
    <row r="18" spans="1:8" ht="14.25" x14ac:dyDescent="0.2">
      <c r="A18" s="125" t="s">
        <v>160</v>
      </c>
    </row>
    <row r="20" spans="1:8" ht="38.25" x14ac:dyDescent="0.25">
      <c r="A20" s="55" t="s">
        <v>150</v>
      </c>
      <c r="B20" s="56" t="s">
        <v>40</v>
      </c>
      <c r="C20" s="57" t="s">
        <v>41</v>
      </c>
      <c r="D20" s="57" t="s">
        <v>105</v>
      </c>
      <c r="E20" s="57" t="s">
        <v>42</v>
      </c>
      <c r="F20" s="57" t="s">
        <v>156</v>
      </c>
      <c r="G20" s="58" t="s">
        <v>157</v>
      </c>
      <c r="H20" s="25"/>
    </row>
    <row r="21" spans="1:8" x14ac:dyDescent="0.2">
      <c r="A21" s="35"/>
      <c r="B21" s="36"/>
      <c r="C21" s="37"/>
      <c r="D21" s="37"/>
      <c r="E21" s="36"/>
      <c r="F21" s="36"/>
      <c r="G21" s="38"/>
    </row>
    <row r="22" spans="1:8" x14ac:dyDescent="0.2">
      <c r="A22" s="59" t="s">
        <v>44</v>
      </c>
      <c r="B22" s="39" t="s">
        <v>48</v>
      </c>
      <c r="C22" s="49">
        <f>16453581+75390128</f>
        <v>91843709</v>
      </c>
      <c r="D22" s="119">
        <v>9132</v>
      </c>
      <c r="E22" s="50">
        <f>128338.19+588046.4+1770582.73</f>
        <v>2486967.3200000003</v>
      </c>
      <c r="F22" s="189">
        <f t="shared" ref="F22:F29" si="0">C22/C$31</f>
        <v>0.49315503268983191</v>
      </c>
      <c r="G22" s="40">
        <f>G32*F22</f>
        <v>209824.57022608959</v>
      </c>
      <c r="H22" s="26"/>
    </row>
    <row r="23" spans="1:8" x14ac:dyDescent="0.2">
      <c r="A23" s="59" t="s">
        <v>83</v>
      </c>
      <c r="B23" s="39" t="s">
        <v>48</v>
      </c>
      <c r="C23" s="49">
        <f>5318042+22189222</f>
        <v>27507264</v>
      </c>
      <c r="D23" s="119">
        <v>1020</v>
      </c>
      <c r="E23" s="50">
        <f>12231.4+51036.04</f>
        <v>63267.44</v>
      </c>
      <c r="F23" s="189">
        <f t="shared" si="0"/>
        <v>0.14770032509388134</v>
      </c>
      <c r="G23" s="40">
        <f>G32*F23</f>
        <v>62842.625910236115</v>
      </c>
      <c r="H23" s="26"/>
    </row>
    <row r="24" spans="1:8" x14ac:dyDescent="0.2">
      <c r="A24" s="59" t="s">
        <v>84</v>
      </c>
      <c r="B24" s="51">
        <f>38303.72+108671.68</f>
        <v>146975.4</v>
      </c>
      <c r="C24" s="49">
        <f>8363724+17406926+3373854+15986136</f>
        <v>45130640</v>
      </c>
      <c r="D24" s="119">
        <f>70+41</f>
        <v>111</v>
      </c>
      <c r="E24" s="50">
        <f>104967.52+297803.86+711619.77</f>
        <v>1114391.1499999999</v>
      </c>
      <c r="F24" s="189">
        <f t="shared" si="0"/>
        <v>0.24232908804361369</v>
      </c>
      <c r="G24" s="40">
        <f>G32*F24</f>
        <v>103104.68996878565</v>
      </c>
      <c r="H24" s="26"/>
    </row>
    <row r="25" spans="1:8" x14ac:dyDescent="0.2">
      <c r="A25" s="59" t="s">
        <v>75</v>
      </c>
      <c r="B25" s="119">
        <f>12379.63+48107.86</f>
        <v>60487.49</v>
      </c>
      <c r="C25" s="49">
        <f>3210304+15088859</f>
        <v>18299163</v>
      </c>
      <c r="D25" s="119">
        <v>1</v>
      </c>
      <c r="E25" s="123">
        <f>1766.58+6864.99+15582.98</f>
        <v>24214.55</v>
      </c>
      <c r="F25" s="189">
        <f t="shared" si="0"/>
        <v>9.8257402991657944E-2</v>
      </c>
      <c r="G25" s="40">
        <f>G32*F25</f>
        <v>41805.955506132268</v>
      </c>
      <c r="H25" s="28"/>
    </row>
    <row r="26" spans="1:8" x14ac:dyDescent="0.2">
      <c r="A26" s="59" t="s">
        <v>328</v>
      </c>
      <c r="B26" s="119">
        <v>0</v>
      </c>
      <c r="C26" s="49">
        <v>0</v>
      </c>
      <c r="D26" s="119">
        <v>0</v>
      </c>
      <c r="E26" s="123">
        <v>0</v>
      </c>
      <c r="F26" s="189">
        <f t="shared" si="0"/>
        <v>0</v>
      </c>
      <c r="G26" s="40">
        <f>G32*F26</f>
        <v>0</v>
      </c>
      <c r="H26" s="28"/>
    </row>
    <row r="27" spans="1:8" x14ac:dyDescent="0.2">
      <c r="A27" s="59" t="s">
        <v>329</v>
      </c>
      <c r="B27" s="119">
        <v>0</v>
      </c>
      <c r="C27" s="49">
        <v>0</v>
      </c>
      <c r="D27" s="119">
        <v>0</v>
      </c>
      <c r="E27" s="123">
        <v>0</v>
      </c>
      <c r="F27" s="189">
        <f t="shared" si="0"/>
        <v>0</v>
      </c>
      <c r="G27" s="40">
        <f>G32*F27</f>
        <v>0</v>
      </c>
      <c r="H27" s="28"/>
    </row>
    <row r="28" spans="1:8" x14ac:dyDescent="0.2">
      <c r="A28" s="59" t="s">
        <v>45</v>
      </c>
      <c r="B28" s="51">
        <v>412</v>
      </c>
      <c r="C28" s="49">
        <f>29477+136333</f>
        <v>165810</v>
      </c>
      <c r="D28" s="119">
        <v>202</v>
      </c>
      <c r="E28" s="53">
        <f>209.11+969.77</f>
        <v>1178.8800000000001</v>
      </c>
      <c r="F28" s="189">
        <f t="shared" si="0"/>
        <v>8.9031722325479069E-4</v>
      </c>
      <c r="G28" s="40">
        <f>G32*F28</f>
        <v>378.8066963757737</v>
      </c>
      <c r="H28" s="26"/>
    </row>
    <row r="29" spans="1:8" x14ac:dyDescent="0.2">
      <c r="A29" s="59" t="s">
        <v>46</v>
      </c>
      <c r="B29" s="52">
        <v>9777.35</v>
      </c>
      <c r="C29" s="187">
        <f>1425087.22+1865317</f>
        <v>3290404.2199999997</v>
      </c>
      <c r="D29" s="188">
        <v>2682</v>
      </c>
      <c r="E29" s="54">
        <f>8960.03+4130.04</f>
        <v>13090.07</v>
      </c>
      <c r="F29" s="190">
        <f t="shared" si="0"/>
        <v>1.7667833957760358E-2</v>
      </c>
      <c r="G29" s="41">
        <f>G32*F29</f>
        <v>7517.2013287443715</v>
      </c>
      <c r="H29" s="30"/>
    </row>
    <row r="30" spans="1:8" x14ac:dyDescent="0.2">
      <c r="A30" s="59"/>
      <c r="B30" s="42"/>
      <c r="C30" s="43"/>
      <c r="D30" s="44"/>
      <c r="E30" s="42"/>
      <c r="F30" s="42"/>
      <c r="G30" s="40"/>
      <c r="H30" s="5"/>
    </row>
    <row r="31" spans="1:8" x14ac:dyDescent="0.2">
      <c r="A31" s="59" t="s">
        <v>43</v>
      </c>
      <c r="B31" s="36"/>
      <c r="C31" s="191">
        <f>SUM(C22:C29)</f>
        <v>186236990.22</v>
      </c>
      <c r="D31" s="191">
        <f>SUM(D22:D29)</f>
        <v>13148</v>
      </c>
      <c r="E31" s="120">
        <f>SUM(E22:E29)</f>
        <v>3703109.4099999997</v>
      </c>
      <c r="F31" s="121">
        <f>SUM(F22:F29)</f>
        <v>1.0000000000000002</v>
      </c>
      <c r="G31" s="45">
        <f>SUM(G22:G29)</f>
        <v>425473.84963636374</v>
      </c>
      <c r="H31" s="5"/>
    </row>
    <row r="32" spans="1:8" x14ac:dyDescent="0.2">
      <c r="A32" s="35"/>
      <c r="B32" s="36"/>
      <c r="C32" s="36" t="s">
        <v>158</v>
      </c>
      <c r="F32" s="36"/>
      <c r="G32" s="88">
        <f>G13</f>
        <v>425473.84963636374</v>
      </c>
      <c r="H32" s="29"/>
    </row>
    <row r="33" spans="1:7" x14ac:dyDescent="0.2">
      <c r="A33" s="46"/>
      <c r="B33" s="47"/>
      <c r="C33" s="47"/>
      <c r="D33" s="47"/>
      <c r="E33" s="47"/>
      <c r="F33" s="47"/>
      <c r="G33" s="48"/>
    </row>
    <row r="35" spans="1:7" ht="15.75" x14ac:dyDescent="0.25">
      <c r="A35" s="61" t="s">
        <v>51</v>
      </c>
    </row>
    <row r="36" spans="1:7" ht="10.5" customHeight="1" x14ac:dyDescent="0.25">
      <c r="A36" s="27"/>
    </row>
    <row r="37" spans="1:7" ht="15" x14ac:dyDescent="0.2">
      <c r="A37" s="31" t="s">
        <v>166</v>
      </c>
    </row>
    <row r="38" spans="1:7" ht="9" customHeight="1" x14ac:dyDescent="0.2">
      <c r="A38" s="31"/>
    </row>
    <row r="39" spans="1:7" ht="64.5" customHeight="1" x14ac:dyDescent="0.2">
      <c r="A39" s="31"/>
      <c r="B39" s="24" t="s">
        <v>162</v>
      </c>
      <c r="C39" s="24" t="s">
        <v>163</v>
      </c>
      <c r="D39" s="24" t="s">
        <v>179</v>
      </c>
    </row>
    <row r="40" spans="1:7" ht="15" x14ac:dyDescent="0.2">
      <c r="A40" s="31"/>
      <c r="B40" s="32" t="s">
        <v>49</v>
      </c>
      <c r="C40" s="32" t="s">
        <v>49</v>
      </c>
    </row>
    <row r="41" spans="1:7" ht="15" x14ac:dyDescent="0.2">
      <c r="A41" s="31"/>
      <c r="B41" s="33">
        <v>1</v>
      </c>
      <c r="C41" s="33">
        <f>1-B41</f>
        <v>0</v>
      </c>
      <c r="D41" s="34">
        <f>B41+C41</f>
        <v>1</v>
      </c>
    </row>
    <row r="42" spans="1:7" ht="13.5" customHeight="1" x14ac:dyDescent="0.2">
      <c r="B42" s="24"/>
      <c r="C42" s="24"/>
      <c r="D42" s="24"/>
    </row>
    <row r="43" spans="1:7" x14ac:dyDescent="0.2">
      <c r="A43" t="s">
        <v>169</v>
      </c>
      <c r="B43" s="5">
        <f>D43*B41</f>
        <v>209824.57022608959</v>
      </c>
      <c r="C43" s="5">
        <f>D43*C41</f>
        <v>0</v>
      </c>
      <c r="D43" s="5">
        <f>G22</f>
        <v>209824.57022608959</v>
      </c>
    </row>
    <row r="44" spans="1:7" x14ac:dyDescent="0.2">
      <c r="A44" t="s">
        <v>161</v>
      </c>
      <c r="B44" s="5"/>
      <c r="C44" s="5"/>
      <c r="D44" s="5"/>
    </row>
    <row r="45" spans="1:7" x14ac:dyDescent="0.2">
      <c r="B45" s="5"/>
      <c r="C45" s="5"/>
      <c r="D45" s="5"/>
    </row>
    <row r="46" spans="1:7" x14ac:dyDescent="0.2">
      <c r="A46" t="s">
        <v>172</v>
      </c>
      <c r="B46" s="12">
        <f>C22</f>
        <v>91843709</v>
      </c>
    </row>
    <row r="48" spans="1:7" x14ac:dyDescent="0.2">
      <c r="A48" t="s">
        <v>50</v>
      </c>
      <c r="B48" s="60">
        <f>B43/B46</f>
        <v>2.2845829345381685E-3</v>
      </c>
    </row>
    <row r="49" spans="1:4" x14ac:dyDescent="0.2">
      <c r="A49" t="s">
        <v>53</v>
      </c>
    </row>
    <row r="50" spans="1:4" x14ac:dyDescent="0.2">
      <c r="A50" t="s">
        <v>54</v>
      </c>
    </row>
    <row r="53" spans="1:4" ht="15.75" x14ac:dyDescent="0.25">
      <c r="A53" s="61" t="s">
        <v>52</v>
      </c>
    </row>
    <row r="54" spans="1:4" ht="7.5" customHeight="1" x14ac:dyDescent="0.25">
      <c r="A54" s="61"/>
    </row>
    <row r="55" spans="1:4" ht="15" x14ac:dyDescent="0.2">
      <c r="A55" s="31" t="s">
        <v>166</v>
      </c>
    </row>
    <row r="56" spans="1:4" ht="10.5" customHeight="1" x14ac:dyDescent="0.2">
      <c r="A56" s="31"/>
    </row>
    <row r="57" spans="1:4" ht="65.25" customHeight="1" x14ac:dyDescent="0.2">
      <c r="A57" s="31"/>
      <c r="B57" s="24" t="s">
        <v>162</v>
      </c>
      <c r="C57" s="24" t="s">
        <v>163</v>
      </c>
      <c r="D57" s="24" t="s">
        <v>179</v>
      </c>
    </row>
    <row r="58" spans="1:4" ht="13.5" customHeight="1" x14ac:dyDescent="0.2">
      <c r="A58" s="31"/>
      <c r="B58" s="32" t="s">
        <v>49</v>
      </c>
      <c r="C58" s="32" t="s">
        <v>49</v>
      </c>
    </row>
    <row r="59" spans="1:4" ht="15" x14ac:dyDescent="0.2">
      <c r="A59" s="31"/>
      <c r="B59" s="33">
        <v>1</v>
      </c>
      <c r="C59" s="33">
        <f>1-B59</f>
        <v>0</v>
      </c>
      <c r="D59" s="34">
        <f>B59+C59</f>
        <v>1</v>
      </c>
    </row>
    <row r="60" spans="1:4" x14ac:dyDescent="0.2">
      <c r="B60" s="24"/>
      <c r="C60" s="24"/>
      <c r="D60" s="24"/>
    </row>
    <row r="61" spans="1:4" x14ac:dyDescent="0.2">
      <c r="A61" t="s">
        <v>169</v>
      </c>
      <c r="B61" s="5">
        <f>D61*B59</f>
        <v>62842.625910236115</v>
      </c>
      <c r="C61" s="5">
        <f>D61*C59</f>
        <v>0</v>
      </c>
      <c r="D61" s="5">
        <f>G23</f>
        <v>62842.625910236115</v>
      </c>
    </row>
    <row r="62" spans="1:4" x14ac:dyDescent="0.2">
      <c r="A62" t="s">
        <v>164</v>
      </c>
      <c r="B62" s="5"/>
      <c r="C62" s="5"/>
      <c r="D62" s="5"/>
    </row>
    <row r="63" spans="1:4" x14ac:dyDescent="0.2">
      <c r="B63" s="5"/>
      <c r="C63" s="5"/>
      <c r="D63" s="5"/>
    </row>
    <row r="64" spans="1:4" x14ac:dyDescent="0.2">
      <c r="A64" t="s">
        <v>172</v>
      </c>
      <c r="B64" s="12">
        <f>C23</f>
        <v>27507264</v>
      </c>
    </row>
    <row r="66" spans="1:4" x14ac:dyDescent="0.2">
      <c r="A66" t="s">
        <v>50</v>
      </c>
      <c r="B66" s="60">
        <f>B61/B64</f>
        <v>2.2845829345381685E-3</v>
      </c>
    </row>
    <row r="67" spans="1:4" x14ac:dyDescent="0.2">
      <c r="A67" t="s">
        <v>53</v>
      </c>
    </row>
    <row r="68" spans="1:4" x14ac:dyDescent="0.2">
      <c r="A68" t="s">
        <v>54</v>
      </c>
    </row>
    <row r="70" spans="1:4" x14ac:dyDescent="0.2">
      <c r="C70" s="5"/>
    </row>
    <row r="71" spans="1:4" ht="15.75" x14ac:dyDescent="0.25">
      <c r="A71" s="61" t="s">
        <v>55</v>
      </c>
    </row>
    <row r="72" spans="1:4" ht="9" customHeight="1" x14ac:dyDescent="0.25">
      <c r="A72" s="61"/>
    </row>
    <row r="73" spans="1:4" ht="15" x14ac:dyDescent="0.2">
      <c r="A73" s="31" t="s">
        <v>167</v>
      </c>
    </row>
    <row r="74" spans="1:4" ht="9" customHeight="1" x14ac:dyDescent="0.2">
      <c r="A74" s="31"/>
    </row>
    <row r="75" spans="1:4" ht="65.25" customHeight="1" x14ac:dyDescent="0.2">
      <c r="A75" s="31"/>
      <c r="B75" s="24" t="s">
        <v>162</v>
      </c>
      <c r="C75" s="24" t="s">
        <v>163</v>
      </c>
      <c r="D75" s="24" t="s">
        <v>179</v>
      </c>
    </row>
    <row r="76" spans="1:4" ht="15" x14ac:dyDescent="0.2">
      <c r="A76" s="31"/>
      <c r="B76" s="32" t="s">
        <v>49</v>
      </c>
      <c r="C76" s="32" t="s">
        <v>49</v>
      </c>
    </row>
    <row r="77" spans="1:4" ht="15" x14ac:dyDescent="0.2">
      <c r="A77" s="31"/>
      <c r="B77" s="33">
        <v>1</v>
      </c>
      <c r="C77" s="33">
        <f>1-B77</f>
        <v>0</v>
      </c>
      <c r="D77" s="34">
        <f>B77+C77</f>
        <v>1</v>
      </c>
    </row>
    <row r="78" spans="1:4" x14ac:dyDescent="0.2">
      <c r="B78" s="24"/>
      <c r="C78" s="24"/>
      <c r="D78" s="24"/>
    </row>
    <row r="79" spans="1:4" x14ac:dyDescent="0.2">
      <c r="A79" t="s">
        <v>169</v>
      </c>
      <c r="B79" s="5">
        <f>D79*B77</f>
        <v>103104.68996878565</v>
      </c>
      <c r="C79" s="5">
        <f>D79*C77</f>
        <v>0</v>
      </c>
      <c r="D79" s="5">
        <f>G24</f>
        <v>103104.68996878565</v>
      </c>
    </row>
    <row r="80" spans="1:4" x14ac:dyDescent="0.2">
      <c r="A80" t="s">
        <v>165</v>
      </c>
      <c r="B80" s="5"/>
      <c r="C80" s="5"/>
      <c r="D80" s="5"/>
    </row>
    <row r="81" spans="1:4" x14ac:dyDescent="0.2">
      <c r="B81" s="5"/>
      <c r="C81" s="5"/>
      <c r="D81" s="5"/>
    </row>
    <row r="82" spans="1:4" x14ac:dyDescent="0.2">
      <c r="A82" t="s">
        <v>171</v>
      </c>
      <c r="B82" s="12">
        <f>B24</f>
        <v>146975.4</v>
      </c>
    </row>
    <row r="84" spans="1:4" x14ac:dyDescent="0.2">
      <c r="A84" t="s">
        <v>57</v>
      </c>
      <c r="B84" s="60">
        <f>B79/B82</f>
        <v>0.70150984429221253</v>
      </c>
    </row>
    <row r="85" spans="1:4" x14ac:dyDescent="0.2">
      <c r="A85" t="s">
        <v>65</v>
      </c>
    </row>
    <row r="86" spans="1:4" x14ac:dyDescent="0.2">
      <c r="A86" t="s">
        <v>54</v>
      </c>
    </row>
    <row r="88" spans="1:4" x14ac:dyDescent="0.2">
      <c r="B88" s="5"/>
      <c r="C88" s="5"/>
      <c r="D88" s="5"/>
    </row>
    <row r="89" spans="1:4" ht="15.75" x14ac:dyDescent="0.25">
      <c r="A89" s="61" t="s">
        <v>58</v>
      </c>
    </row>
    <row r="90" spans="1:4" ht="9" customHeight="1" x14ac:dyDescent="0.25">
      <c r="A90" s="61"/>
    </row>
    <row r="91" spans="1:4" ht="15" x14ac:dyDescent="0.2">
      <c r="A91" s="31" t="s">
        <v>167</v>
      </c>
    </row>
    <row r="92" spans="1:4" ht="6" customHeight="1" x14ac:dyDescent="0.2">
      <c r="A92" s="31"/>
    </row>
    <row r="93" spans="1:4" ht="65.25" customHeight="1" x14ac:dyDescent="0.2">
      <c r="A93" s="31"/>
      <c r="B93" s="24" t="s">
        <v>162</v>
      </c>
      <c r="C93" s="24" t="s">
        <v>163</v>
      </c>
      <c r="D93" s="24" t="s">
        <v>179</v>
      </c>
    </row>
    <row r="94" spans="1:4" ht="15" x14ac:dyDescent="0.2">
      <c r="A94" s="31"/>
      <c r="B94" s="32" t="s">
        <v>49</v>
      </c>
      <c r="C94" s="32" t="s">
        <v>49</v>
      </c>
    </row>
    <row r="95" spans="1:4" ht="15" x14ac:dyDescent="0.2">
      <c r="A95" s="31"/>
      <c r="B95" s="33">
        <v>1</v>
      </c>
      <c r="C95" s="33">
        <f>1-B95</f>
        <v>0</v>
      </c>
      <c r="D95" s="34">
        <f>B95+C95</f>
        <v>1</v>
      </c>
    </row>
    <row r="96" spans="1:4" x14ac:dyDescent="0.2">
      <c r="B96" s="24"/>
      <c r="C96" s="24"/>
      <c r="D96" s="24"/>
    </row>
    <row r="97" spans="1:4" x14ac:dyDescent="0.2">
      <c r="A97" t="s">
        <v>169</v>
      </c>
      <c r="B97" s="5">
        <f>D97*B95</f>
        <v>41805.955506132268</v>
      </c>
      <c r="C97" s="5">
        <f>D97*C95</f>
        <v>0</v>
      </c>
      <c r="D97" s="5">
        <f>G25</f>
        <v>41805.955506132268</v>
      </c>
    </row>
    <row r="98" spans="1:4" x14ac:dyDescent="0.2">
      <c r="A98" t="s">
        <v>168</v>
      </c>
      <c r="B98" s="5"/>
      <c r="C98" s="5"/>
      <c r="D98" s="5"/>
    </row>
    <row r="99" spans="1:4" x14ac:dyDescent="0.2">
      <c r="B99" s="5"/>
      <c r="C99" s="5"/>
      <c r="D99" s="5"/>
    </row>
    <row r="100" spans="1:4" x14ac:dyDescent="0.2">
      <c r="A100" t="s">
        <v>171</v>
      </c>
      <c r="B100" s="12">
        <f>B25</f>
        <v>60487.49</v>
      </c>
    </row>
    <row r="102" spans="1:4" x14ac:dyDescent="0.2">
      <c r="A102" t="s">
        <v>57</v>
      </c>
      <c r="B102" s="60">
        <f>B97/B100</f>
        <v>0.69115044294501671</v>
      </c>
    </row>
    <row r="103" spans="1:4" x14ac:dyDescent="0.2">
      <c r="A103" t="s">
        <v>65</v>
      </c>
    </row>
    <row r="104" spans="1:4" x14ac:dyDescent="0.2">
      <c r="A104" t="s">
        <v>54</v>
      </c>
    </row>
    <row r="107" spans="1:4" ht="15.75" x14ac:dyDescent="0.25">
      <c r="A107" s="61" t="s">
        <v>60</v>
      </c>
    </row>
    <row r="108" spans="1:4" ht="10.5" customHeight="1" x14ac:dyDescent="0.25">
      <c r="A108" s="61"/>
    </row>
    <row r="109" spans="1:4" ht="15" x14ac:dyDescent="0.2">
      <c r="A109" s="31" t="s">
        <v>167</v>
      </c>
    </row>
    <row r="110" spans="1:4" ht="6" customHeight="1" x14ac:dyDescent="0.2">
      <c r="A110" s="31"/>
    </row>
    <row r="111" spans="1:4" ht="63.75" customHeight="1" x14ac:dyDescent="0.2">
      <c r="A111" s="31"/>
      <c r="B111" s="24" t="s">
        <v>162</v>
      </c>
      <c r="C111" s="24" t="s">
        <v>163</v>
      </c>
      <c r="D111" s="24" t="s">
        <v>179</v>
      </c>
    </row>
    <row r="112" spans="1:4" ht="15" x14ac:dyDescent="0.2">
      <c r="A112" s="31"/>
      <c r="B112" s="32" t="s">
        <v>49</v>
      </c>
      <c r="C112" s="32" t="s">
        <v>49</v>
      </c>
    </row>
    <row r="113" spans="1:4" ht="15" x14ac:dyDescent="0.2">
      <c r="A113" s="31"/>
      <c r="B113" s="33">
        <v>1</v>
      </c>
      <c r="C113" s="33">
        <f>1-B113</f>
        <v>0</v>
      </c>
      <c r="D113" s="34">
        <f>B113+C113</f>
        <v>1</v>
      </c>
    </row>
    <row r="114" spans="1:4" x14ac:dyDescent="0.2">
      <c r="B114" s="24"/>
      <c r="C114" s="24"/>
      <c r="D114" s="24"/>
    </row>
    <row r="115" spans="1:4" x14ac:dyDescent="0.2">
      <c r="A115" t="s">
        <v>169</v>
      </c>
      <c r="B115" s="5">
        <f>D115*B113</f>
        <v>0</v>
      </c>
      <c r="C115" s="5">
        <f>D115*C113</f>
        <v>0</v>
      </c>
      <c r="D115" s="5">
        <f>G26</f>
        <v>0</v>
      </c>
    </row>
    <row r="116" spans="1:4" x14ac:dyDescent="0.2">
      <c r="A116" t="s">
        <v>56</v>
      </c>
      <c r="B116" s="5"/>
      <c r="C116" s="5"/>
      <c r="D116" s="5"/>
    </row>
    <row r="117" spans="1:4" x14ac:dyDescent="0.2">
      <c r="B117" s="5"/>
      <c r="C117" s="5"/>
      <c r="D117" s="5"/>
    </row>
    <row r="118" spans="1:4" x14ac:dyDescent="0.2">
      <c r="A118" t="s">
        <v>171</v>
      </c>
      <c r="B118" s="12">
        <f>B26</f>
        <v>0</v>
      </c>
    </row>
    <row r="120" spans="1:4" x14ac:dyDescent="0.2">
      <c r="A120" t="s">
        <v>57</v>
      </c>
      <c r="B120" s="60" t="e">
        <f>B115/B118</f>
        <v>#DIV/0!</v>
      </c>
    </row>
    <row r="121" spans="1:4" x14ac:dyDescent="0.2">
      <c r="A121" t="s">
        <v>65</v>
      </c>
    </row>
    <row r="122" spans="1:4" x14ac:dyDescent="0.2">
      <c r="A122" t="s">
        <v>54</v>
      </c>
    </row>
    <row r="125" spans="1:4" ht="15.75" x14ac:dyDescent="0.25">
      <c r="A125" s="61" t="s">
        <v>62</v>
      </c>
    </row>
    <row r="126" spans="1:4" ht="10.5" customHeight="1" x14ac:dyDescent="0.25">
      <c r="A126" s="61"/>
    </row>
    <row r="127" spans="1:4" ht="15" x14ac:dyDescent="0.2">
      <c r="A127" s="31" t="s">
        <v>167</v>
      </c>
    </row>
    <row r="128" spans="1:4" ht="9" customHeight="1" x14ac:dyDescent="0.2">
      <c r="A128" s="31"/>
    </row>
    <row r="129" spans="1:4" ht="66" customHeight="1" x14ac:dyDescent="0.2">
      <c r="A129" s="31"/>
      <c r="B129" s="24" t="s">
        <v>162</v>
      </c>
      <c r="C129" s="24" t="s">
        <v>163</v>
      </c>
      <c r="D129" s="24" t="s">
        <v>179</v>
      </c>
    </row>
    <row r="130" spans="1:4" ht="15" x14ac:dyDescent="0.2">
      <c r="A130" s="31"/>
      <c r="B130" s="32" t="s">
        <v>49</v>
      </c>
      <c r="C130" s="32" t="s">
        <v>49</v>
      </c>
    </row>
    <row r="131" spans="1:4" ht="15" x14ac:dyDescent="0.2">
      <c r="A131" s="31"/>
      <c r="B131" s="33">
        <v>1</v>
      </c>
      <c r="C131" s="33">
        <f>1-B131</f>
        <v>0</v>
      </c>
      <c r="D131" s="34">
        <f>B131+C131</f>
        <v>1</v>
      </c>
    </row>
    <row r="132" spans="1:4" x14ac:dyDescent="0.2">
      <c r="B132" s="24"/>
      <c r="C132" s="24"/>
      <c r="D132" s="24"/>
    </row>
    <row r="133" spans="1:4" x14ac:dyDescent="0.2">
      <c r="A133" t="s">
        <v>169</v>
      </c>
      <c r="B133" s="5">
        <f>D133*B131</f>
        <v>0</v>
      </c>
      <c r="C133" s="5">
        <f>D133*C131</f>
        <v>0</v>
      </c>
      <c r="D133" s="5">
        <f>G27</f>
        <v>0</v>
      </c>
    </row>
    <row r="134" spans="1:4" x14ac:dyDescent="0.2">
      <c r="A134" t="s">
        <v>59</v>
      </c>
      <c r="B134" s="5"/>
      <c r="C134" s="5"/>
      <c r="D134" s="5"/>
    </row>
    <row r="135" spans="1:4" x14ac:dyDescent="0.2">
      <c r="B135" s="5"/>
      <c r="C135" s="5"/>
      <c r="D135" s="5"/>
    </row>
    <row r="136" spans="1:4" x14ac:dyDescent="0.2">
      <c r="A136" t="s">
        <v>171</v>
      </c>
      <c r="B136" s="12">
        <f>B27</f>
        <v>0</v>
      </c>
    </row>
    <row r="138" spans="1:4" x14ac:dyDescent="0.2">
      <c r="A138" t="s">
        <v>57</v>
      </c>
      <c r="B138" s="60" t="e">
        <f>B133/B136</f>
        <v>#DIV/0!</v>
      </c>
    </row>
    <row r="139" spans="1:4" x14ac:dyDescent="0.2">
      <c r="A139" t="s">
        <v>65</v>
      </c>
    </row>
    <row r="140" spans="1:4" x14ac:dyDescent="0.2">
      <c r="A140" t="s">
        <v>54</v>
      </c>
    </row>
    <row r="143" spans="1:4" ht="15.75" x14ac:dyDescent="0.25">
      <c r="A143" s="61" t="s">
        <v>66</v>
      </c>
    </row>
    <row r="144" spans="1:4" ht="6.75" customHeight="1" x14ac:dyDescent="0.25">
      <c r="A144" s="61"/>
    </row>
    <row r="145" spans="1:4" ht="15" x14ac:dyDescent="0.2">
      <c r="A145" s="31" t="s">
        <v>167</v>
      </c>
    </row>
    <row r="146" spans="1:4" ht="6.75" customHeight="1" x14ac:dyDescent="0.2">
      <c r="A146" s="31"/>
    </row>
    <row r="147" spans="1:4" ht="64.5" customHeight="1" x14ac:dyDescent="0.2">
      <c r="A147" s="31"/>
      <c r="B147" s="24" t="s">
        <v>162</v>
      </c>
      <c r="C147" s="24" t="s">
        <v>163</v>
      </c>
      <c r="D147" s="24" t="s">
        <v>179</v>
      </c>
    </row>
    <row r="148" spans="1:4" ht="15" x14ac:dyDescent="0.2">
      <c r="A148" s="31"/>
      <c r="B148" s="32" t="s">
        <v>49</v>
      </c>
      <c r="C148" s="32" t="s">
        <v>49</v>
      </c>
    </row>
    <row r="149" spans="1:4" ht="15" x14ac:dyDescent="0.2">
      <c r="A149" s="31"/>
      <c r="B149" s="33">
        <v>1</v>
      </c>
      <c r="C149" s="33">
        <f>1-B149</f>
        <v>0</v>
      </c>
      <c r="D149" s="34">
        <f>B149+C149</f>
        <v>1</v>
      </c>
    </row>
    <row r="150" spans="1:4" x14ac:dyDescent="0.2">
      <c r="B150" s="24"/>
      <c r="C150" s="24"/>
      <c r="D150" s="24"/>
    </row>
    <row r="151" spans="1:4" x14ac:dyDescent="0.2">
      <c r="A151" t="s">
        <v>169</v>
      </c>
      <c r="B151" s="5">
        <f>D151*B149</f>
        <v>378.8066963757737</v>
      </c>
      <c r="C151" s="5">
        <f>D151*C149</f>
        <v>0</v>
      </c>
      <c r="D151" s="5">
        <f>G28</f>
        <v>378.8066963757737</v>
      </c>
    </row>
    <row r="152" spans="1:4" x14ac:dyDescent="0.2">
      <c r="A152" t="s">
        <v>61</v>
      </c>
      <c r="B152" s="5"/>
      <c r="C152" s="5"/>
      <c r="D152" s="5"/>
    </row>
    <row r="153" spans="1:4" x14ac:dyDescent="0.2">
      <c r="B153" s="5"/>
      <c r="C153" s="5"/>
      <c r="D153" s="5"/>
    </row>
    <row r="154" spans="1:4" x14ac:dyDescent="0.2">
      <c r="A154" t="s">
        <v>171</v>
      </c>
      <c r="B154" s="12">
        <f>B28</f>
        <v>412</v>
      </c>
    </row>
    <row r="156" spans="1:4" x14ac:dyDescent="0.2">
      <c r="A156" t="s">
        <v>57</v>
      </c>
      <c r="B156" s="60">
        <f>B151/B154</f>
        <v>0.91943372906741183</v>
      </c>
    </row>
    <row r="157" spans="1:4" x14ac:dyDescent="0.2">
      <c r="A157" t="s">
        <v>65</v>
      </c>
    </row>
    <row r="158" spans="1:4" x14ac:dyDescent="0.2">
      <c r="A158" t="s">
        <v>54</v>
      </c>
    </row>
    <row r="161" spans="1:7" ht="15.75" x14ac:dyDescent="0.25">
      <c r="A161" s="61" t="s">
        <v>64</v>
      </c>
    </row>
    <row r="162" spans="1:7" ht="9.75" customHeight="1" x14ac:dyDescent="0.25">
      <c r="A162" s="61"/>
    </row>
    <row r="163" spans="1:7" ht="15" x14ac:dyDescent="0.2">
      <c r="A163" s="31" t="s">
        <v>167</v>
      </c>
    </row>
    <row r="164" spans="1:7" ht="9" customHeight="1" x14ac:dyDescent="0.2">
      <c r="A164" s="31"/>
    </row>
    <row r="165" spans="1:7" ht="66" customHeight="1" x14ac:dyDescent="0.2">
      <c r="A165" s="31"/>
      <c r="B165" s="24" t="s">
        <v>162</v>
      </c>
      <c r="C165" s="24" t="s">
        <v>163</v>
      </c>
      <c r="D165" s="24" t="s">
        <v>179</v>
      </c>
      <c r="G165" s="24"/>
    </row>
    <row r="166" spans="1:7" ht="15" x14ac:dyDescent="0.2">
      <c r="A166" s="31"/>
      <c r="B166" s="32" t="s">
        <v>49</v>
      </c>
      <c r="C166" s="32" t="s">
        <v>49</v>
      </c>
    </row>
    <row r="167" spans="1:7" ht="15" x14ac:dyDescent="0.2">
      <c r="A167" s="31"/>
      <c r="B167" s="33">
        <v>1</v>
      </c>
      <c r="C167" s="33">
        <f>1-B167</f>
        <v>0</v>
      </c>
      <c r="D167" s="34">
        <f>B167+C167</f>
        <v>1</v>
      </c>
    </row>
    <row r="168" spans="1:7" x14ac:dyDescent="0.2">
      <c r="B168" s="24"/>
      <c r="C168" s="24"/>
      <c r="D168" s="24"/>
    </row>
    <row r="169" spans="1:7" x14ac:dyDescent="0.2">
      <c r="A169" t="s">
        <v>169</v>
      </c>
      <c r="B169" s="5">
        <f>D169*B167</f>
        <v>7517.2013287443715</v>
      </c>
      <c r="C169" s="5">
        <f>D169*C167</f>
        <v>0</v>
      </c>
      <c r="D169" s="5">
        <f>G29</f>
        <v>7517.2013287443715</v>
      </c>
    </row>
    <row r="170" spans="1:7" x14ac:dyDescent="0.2">
      <c r="A170" t="s">
        <v>63</v>
      </c>
      <c r="B170" s="5"/>
      <c r="C170" s="5"/>
      <c r="D170" s="5"/>
    </row>
    <row r="171" spans="1:7" x14ac:dyDescent="0.2">
      <c r="B171" s="5"/>
      <c r="C171" s="5"/>
      <c r="D171" s="5"/>
    </row>
    <row r="172" spans="1:7" x14ac:dyDescent="0.2">
      <c r="A172" t="s">
        <v>171</v>
      </c>
      <c r="B172" s="12">
        <f>B29</f>
        <v>9777.35</v>
      </c>
    </row>
    <row r="174" spans="1:7" x14ac:dyDescent="0.2">
      <c r="A174" t="s">
        <v>57</v>
      </c>
      <c r="B174" s="60">
        <f>B169/B172</f>
        <v>0.76883831802526981</v>
      </c>
    </row>
    <row r="175" spans="1:7" x14ac:dyDescent="0.2">
      <c r="A175" t="s">
        <v>65</v>
      </c>
    </row>
    <row r="176" spans="1:7" x14ac:dyDescent="0.2">
      <c r="A176" t="s">
        <v>54</v>
      </c>
    </row>
    <row r="178" spans="3:3" x14ac:dyDescent="0.2">
      <c r="C178" s="13"/>
    </row>
  </sheetData>
  <mergeCells count="1">
    <mergeCell ref="A1:G1"/>
  </mergeCells>
  <phoneticPr fontId="0" type="noConversion"/>
  <pageMargins left="0.31" right="0.17" top="0.45" bottom="0.5" header="0.28000000000000003" footer="0.23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75" workbookViewId="0">
      <selection activeCell="B7" sqref="B7"/>
    </sheetView>
  </sheetViews>
  <sheetFormatPr defaultRowHeight="12.75" x14ac:dyDescent="0.2"/>
  <cols>
    <col min="1" max="1" width="37.85546875" customWidth="1"/>
    <col min="2" max="3" width="14.28515625" customWidth="1"/>
    <col min="4" max="5" width="19.85546875" customWidth="1"/>
    <col min="6" max="6" width="14.85546875" customWidth="1"/>
    <col min="7" max="7" width="13.140625" customWidth="1"/>
  </cols>
  <sheetData>
    <row r="1" spans="1:8" ht="18" x14ac:dyDescent="0.25">
      <c r="A1" s="15" t="s">
        <v>184</v>
      </c>
    </row>
    <row r="3" spans="1:8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07" t="str">
        <f>'2. 2002 Base Rate Schedule'!F3</f>
        <v>ED-2003-0015</v>
      </c>
    </row>
    <row r="4" spans="1:8" ht="18" x14ac:dyDescent="0.25">
      <c r="A4" s="111" t="s">
        <v>3</v>
      </c>
      <c r="B4" s="107" t="str">
        <f>'2. 2002 Base Rate Schedule'!B4</f>
        <v>Sandra Slater</v>
      </c>
      <c r="C4" s="15"/>
      <c r="E4" s="111" t="s">
        <v>4</v>
      </c>
      <c r="F4" s="107" t="str">
        <f>'2. 2002 Base Rate Schedule'!F4</f>
        <v>519-776-5291</v>
      </c>
    </row>
    <row r="5" spans="1:8" ht="18" x14ac:dyDescent="0.25">
      <c r="A5" s="27" t="s">
        <v>38</v>
      </c>
      <c r="B5" s="107" t="str">
        <f>'2. 2002 Base Rate Schedule'!B5</f>
        <v>sslater@elkenergyinc.com</v>
      </c>
      <c r="C5" s="15"/>
    </row>
    <row r="6" spans="1:8" ht="18" x14ac:dyDescent="0.25">
      <c r="A6" s="111" t="s">
        <v>2</v>
      </c>
      <c r="B6" s="107">
        <f>'2. 2002 Base Rate Schedule'!B6</f>
        <v>1</v>
      </c>
      <c r="C6" s="15"/>
    </row>
    <row r="7" spans="1:8" ht="18" x14ac:dyDescent="0.25">
      <c r="A7" s="27" t="s">
        <v>39</v>
      </c>
      <c r="B7" s="110">
        <f>'2. 2002 Base Rate Schedule'!B7</f>
        <v>38031</v>
      </c>
      <c r="C7" s="15"/>
    </row>
    <row r="8" spans="1:8" ht="18" x14ac:dyDescent="0.25">
      <c r="A8" s="27"/>
      <c r="B8" s="138"/>
      <c r="C8" s="15"/>
    </row>
    <row r="9" spans="1:8" ht="18" x14ac:dyDescent="0.25">
      <c r="A9" s="27"/>
      <c r="B9" s="138"/>
      <c r="C9" s="15"/>
    </row>
    <row r="10" spans="1:8" ht="18" x14ac:dyDescent="0.25">
      <c r="C10" s="15"/>
    </row>
    <row r="11" spans="1:8" ht="14.25" x14ac:dyDescent="0.2">
      <c r="A11" s="125" t="s">
        <v>170</v>
      </c>
      <c r="B11" s="4"/>
    </row>
    <row r="12" spans="1:8" ht="14.25" x14ac:dyDescent="0.2">
      <c r="A12" s="125"/>
    </row>
    <row r="14" spans="1:8" ht="18" x14ac:dyDescent="0.25">
      <c r="A14" s="99" t="s">
        <v>6</v>
      </c>
      <c r="B14" s="16"/>
      <c r="C14" s="6"/>
      <c r="E14" s="14"/>
      <c r="G14" s="14"/>
    </row>
    <row r="15" spans="1:8" x14ac:dyDescent="0.2">
      <c r="B15" s="14"/>
      <c r="C15" s="14"/>
      <c r="D15" s="17"/>
      <c r="E15" s="14"/>
      <c r="F15" s="14"/>
      <c r="G15" s="14"/>
    </row>
    <row r="16" spans="1:8" x14ac:dyDescent="0.2">
      <c r="A16" t="s">
        <v>8</v>
      </c>
      <c r="B16" s="14">
        <f>'2. 2002 Base Rate Schedule'!B16+'3. 2002 Data &amp; add 4 RSVAs'!B48</f>
        <v>8.4845829345381683E-3</v>
      </c>
      <c r="C16" s="14"/>
      <c r="D16" s="17"/>
      <c r="E16" s="14"/>
      <c r="F16" s="19"/>
      <c r="G16" s="19"/>
      <c r="H16" s="19"/>
    </row>
    <row r="17" spans="1:8" x14ac:dyDescent="0.2">
      <c r="B17" s="14"/>
      <c r="C17" s="14"/>
      <c r="D17" s="17"/>
      <c r="E17" s="14"/>
      <c r="F17" s="14"/>
      <c r="G17" s="14"/>
    </row>
    <row r="18" spans="1:8" x14ac:dyDescent="0.2">
      <c r="A18" t="s">
        <v>79</v>
      </c>
      <c r="B18" s="17">
        <f>'2. 2002 Base Rate Schedule'!B18</f>
        <v>11.73</v>
      </c>
      <c r="C18" s="14"/>
      <c r="D18" s="17"/>
      <c r="E18" s="14"/>
      <c r="F18" s="19"/>
      <c r="G18" s="13"/>
      <c r="H18" s="19"/>
    </row>
    <row r="19" spans="1:8" x14ac:dyDescent="0.2">
      <c r="B19" s="14"/>
      <c r="C19" s="14"/>
      <c r="D19" s="17"/>
      <c r="E19" s="14"/>
      <c r="F19" s="14"/>
      <c r="G19" s="14"/>
    </row>
    <row r="20" spans="1:8" x14ac:dyDescent="0.2">
      <c r="B20" s="14"/>
      <c r="C20" s="14"/>
      <c r="D20" s="14"/>
      <c r="E20" s="14"/>
      <c r="F20" s="14"/>
      <c r="G20" s="14"/>
    </row>
    <row r="21" spans="1:8" ht="18" x14ac:dyDescent="0.25">
      <c r="A21" s="99" t="s">
        <v>9</v>
      </c>
      <c r="B21" s="16"/>
      <c r="C21" s="6"/>
      <c r="D21" s="14"/>
      <c r="E21" s="14"/>
      <c r="F21" s="14"/>
      <c r="G21" s="14"/>
    </row>
    <row r="22" spans="1:8" x14ac:dyDescent="0.2">
      <c r="B22" s="14"/>
      <c r="C22" s="14"/>
      <c r="D22" s="14"/>
      <c r="E22" s="14"/>
      <c r="F22" s="14"/>
      <c r="G22" s="14"/>
    </row>
    <row r="23" spans="1:8" x14ac:dyDescent="0.2">
      <c r="A23" t="s">
        <v>8</v>
      </c>
      <c r="B23" s="14">
        <f>'2. 2002 Base Rate Schedule'!B23+'3. 2002 Data &amp; add 4 RSVAs'!B48</f>
        <v>2.2845829345381685E-3</v>
      </c>
      <c r="C23" s="14"/>
      <c r="D23" s="14"/>
      <c r="E23" s="14"/>
      <c r="F23" s="14"/>
      <c r="G23" s="14"/>
    </row>
    <row r="24" spans="1:8" x14ac:dyDescent="0.2">
      <c r="B24" s="14"/>
      <c r="C24" s="14"/>
      <c r="D24" s="14"/>
      <c r="E24" s="14"/>
      <c r="F24" s="14"/>
      <c r="G24" s="14"/>
    </row>
    <row r="25" spans="1:8" x14ac:dyDescent="0.2">
      <c r="A25" t="s">
        <v>79</v>
      </c>
      <c r="B25" s="17">
        <f>'2. 2002 Base Rate Schedule'!B25</f>
        <v>0</v>
      </c>
      <c r="C25" s="14"/>
      <c r="D25" s="14"/>
      <c r="E25" s="14"/>
      <c r="F25" s="14"/>
      <c r="G25" s="14"/>
    </row>
    <row r="26" spans="1:8" x14ac:dyDescent="0.2">
      <c r="B26" s="17"/>
      <c r="C26" s="14"/>
      <c r="D26" s="14"/>
      <c r="E26" s="14"/>
      <c r="F26" s="14"/>
      <c r="G26" s="14"/>
    </row>
    <row r="27" spans="1:8" x14ac:dyDescent="0.2">
      <c r="B27" s="14"/>
      <c r="C27" s="14"/>
      <c r="D27" s="17"/>
      <c r="E27" s="14"/>
      <c r="F27" s="14"/>
      <c r="G27" s="14"/>
    </row>
    <row r="28" spans="1:8" ht="18" x14ac:dyDescent="0.25">
      <c r="A28" s="99" t="s">
        <v>10</v>
      </c>
      <c r="B28" s="16"/>
      <c r="C28" s="6"/>
      <c r="D28" s="17"/>
      <c r="E28" s="14"/>
      <c r="F28" s="14"/>
      <c r="G28" s="14"/>
    </row>
    <row r="29" spans="1:8" x14ac:dyDescent="0.2">
      <c r="B29" s="14"/>
      <c r="C29" s="14"/>
      <c r="D29" s="17"/>
      <c r="E29" s="14"/>
      <c r="F29" s="14"/>
      <c r="G29" s="14"/>
    </row>
    <row r="30" spans="1:8" x14ac:dyDescent="0.2">
      <c r="A30" t="s">
        <v>8</v>
      </c>
      <c r="B30" s="14">
        <f>'2. 2002 Base Rate Schedule'!B30+'3. 2002 Data &amp; add 4 RSVAs'!B66</f>
        <v>3.5845829345381684E-3</v>
      </c>
      <c r="C30" s="14"/>
      <c r="D30" s="17"/>
      <c r="E30" s="14"/>
      <c r="F30" s="14"/>
      <c r="G30" s="20"/>
      <c r="H30" s="19"/>
    </row>
    <row r="31" spans="1:8" x14ac:dyDescent="0.2">
      <c r="B31" s="14"/>
      <c r="C31" s="14"/>
      <c r="D31" s="17"/>
      <c r="E31" s="14"/>
      <c r="F31" s="14"/>
      <c r="G31" s="20"/>
    </row>
    <row r="32" spans="1:8" x14ac:dyDescent="0.2">
      <c r="A32" t="s">
        <v>79</v>
      </c>
      <c r="B32" s="17">
        <f>'2. 2002 Base Rate Schedule'!B32</f>
        <v>11.46</v>
      </c>
      <c r="C32" s="14"/>
      <c r="D32" s="17"/>
      <c r="E32" s="14"/>
      <c r="F32" s="14"/>
      <c r="G32" s="20"/>
      <c r="H32" s="19"/>
    </row>
    <row r="33" spans="1:7" x14ac:dyDescent="0.2">
      <c r="B33" s="14"/>
      <c r="C33" s="14"/>
      <c r="D33" s="17"/>
      <c r="E33" s="14"/>
      <c r="F33" s="14"/>
      <c r="G33" s="14"/>
    </row>
    <row r="34" spans="1:7" x14ac:dyDescent="0.2">
      <c r="B34" s="14"/>
      <c r="C34" s="14"/>
      <c r="D34" s="17"/>
      <c r="E34" s="14"/>
      <c r="F34" s="14"/>
      <c r="G34" s="14"/>
    </row>
    <row r="35" spans="1:7" ht="18" x14ac:dyDescent="0.25">
      <c r="A35" s="99" t="s">
        <v>11</v>
      </c>
      <c r="B35" s="16"/>
      <c r="C35" s="6"/>
      <c r="D35" s="17"/>
      <c r="E35" s="14"/>
      <c r="F35" s="14"/>
      <c r="G35" s="14"/>
    </row>
    <row r="36" spans="1:7" x14ac:dyDescent="0.2">
      <c r="B36" s="14"/>
      <c r="C36" s="14"/>
      <c r="D36" s="17"/>
      <c r="E36" s="14"/>
      <c r="F36" s="14"/>
      <c r="G36" s="14"/>
    </row>
    <row r="37" spans="1:7" x14ac:dyDescent="0.2">
      <c r="A37" t="s">
        <v>12</v>
      </c>
      <c r="B37" s="14">
        <f>'2. 2002 Base Rate Schedule'!B37+'3. 2002 Data &amp; add 4 RSVAs'!B84</f>
        <v>3.1140098442922124</v>
      </c>
      <c r="C37" s="14"/>
      <c r="D37" s="17"/>
      <c r="E37" s="14"/>
      <c r="F37" s="14"/>
      <c r="G37" s="14"/>
    </row>
    <row r="38" spans="1:7" x14ac:dyDescent="0.2">
      <c r="B38" s="14"/>
      <c r="C38" s="14"/>
      <c r="D38" s="17"/>
      <c r="E38" s="14"/>
      <c r="F38" s="14"/>
      <c r="G38" s="14"/>
    </row>
    <row r="39" spans="1:7" x14ac:dyDescent="0.2">
      <c r="A39" t="s">
        <v>79</v>
      </c>
      <c r="B39" s="17">
        <f>'2. 2002 Base Rate Schedule'!B39</f>
        <v>461.79</v>
      </c>
      <c r="C39" s="14"/>
      <c r="D39" s="17"/>
      <c r="E39" s="14"/>
      <c r="F39" s="14"/>
      <c r="G39" s="14"/>
    </row>
    <row r="40" spans="1:7" x14ac:dyDescent="0.2">
      <c r="B40" s="14"/>
      <c r="C40" s="14"/>
      <c r="D40" s="17"/>
      <c r="E40" s="14"/>
      <c r="F40" s="14"/>
      <c r="G40" s="14"/>
    </row>
    <row r="41" spans="1:7" x14ac:dyDescent="0.2">
      <c r="B41" s="14"/>
      <c r="C41" s="14"/>
      <c r="D41" s="17"/>
      <c r="E41" s="14"/>
      <c r="F41" s="14"/>
      <c r="G41" s="14"/>
    </row>
    <row r="42" spans="1:7" ht="18" x14ac:dyDescent="0.25">
      <c r="A42" s="99" t="s">
        <v>14</v>
      </c>
      <c r="B42" s="16"/>
      <c r="C42" s="6"/>
      <c r="D42" s="17"/>
      <c r="E42" s="14"/>
      <c r="F42" s="14"/>
      <c r="G42" s="14"/>
    </row>
    <row r="43" spans="1:7" ht="18" x14ac:dyDescent="0.25">
      <c r="A43" s="15"/>
      <c r="B43" s="14"/>
      <c r="C43" s="14"/>
      <c r="D43" s="17"/>
      <c r="E43" s="14"/>
      <c r="F43" s="14"/>
      <c r="G43" s="14"/>
    </row>
    <row r="44" spans="1:7" x14ac:dyDescent="0.2">
      <c r="A44" t="s">
        <v>12</v>
      </c>
      <c r="B44" s="14">
        <f>'2. 2002 Base Rate Schedule'!B44+'3. 2002 Data &amp; add 4 RSVAs'!B102</f>
        <v>0.80946344294501671</v>
      </c>
      <c r="C44" s="14"/>
      <c r="D44" s="17"/>
      <c r="E44" s="14"/>
      <c r="F44" s="14"/>
      <c r="G44" s="14"/>
    </row>
    <row r="45" spans="1:7" x14ac:dyDescent="0.2">
      <c r="B45" s="14"/>
      <c r="C45" s="14"/>
      <c r="D45" s="17"/>
      <c r="E45" s="14"/>
      <c r="F45" s="14"/>
      <c r="G45" s="14"/>
    </row>
    <row r="46" spans="1:7" x14ac:dyDescent="0.2">
      <c r="A46" t="s">
        <v>79</v>
      </c>
      <c r="B46" s="17">
        <f>'2. 2002 Base Rate Schedule'!B46</f>
        <v>882.08</v>
      </c>
      <c r="C46" s="14"/>
      <c r="D46" s="17"/>
      <c r="E46" s="14"/>
      <c r="F46" s="14"/>
      <c r="G46" s="14"/>
    </row>
    <row r="47" spans="1:7" x14ac:dyDescent="0.2">
      <c r="B47" s="14"/>
      <c r="C47" s="14"/>
      <c r="D47" s="17"/>
      <c r="E47" s="14"/>
      <c r="F47" s="14"/>
      <c r="G47" s="14"/>
    </row>
    <row r="48" spans="1:7" ht="12.75" customHeight="1" x14ac:dyDescent="0.25">
      <c r="A48" s="15"/>
      <c r="B48" s="14"/>
      <c r="C48" s="14"/>
      <c r="D48" s="17"/>
      <c r="E48" s="14"/>
      <c r="F48" s="14"/>
      <c r="G48" s="14"/>
    </row>
    <row r="49" spans="1:7" ht="18" x14ac:dyDescent="0.25">
      <c r="A49" s="102" t="s">
        <v>15</v>
      </c>
      <c r="B49" s="14"/>
      <c r="C49" s="14"/>
      <c r="D49" s="17"/>
      <c r="E49" s="14"/>
      <c r="F49" s="14"/>
      <c r="G49" s="14"/>
    </row>
    <row r="50" spans="1:7" x14ac:dyDescent="0.2">
      <c r="B50" s="14"/>
      <c r="C50" s="14"/>
      <c r="D50" s="17"/>
      <c r="E50" s="14"/>
      <c r="F50" s="14"/>
      <c r="G50" s="14"/>
    </row>
    <row r="51" spans="1:7" x14ac:dyDescent="0.2">
      <c r="A51" t="s">
        <v>12</v>
      </c>
      <c r="B51" s="14" t="e">
        <f>'2. 2002 Base Rate Schedule'!B51+'3. 2002 Data &amp; add 4 RSVAs'!B120</f>
        <v>#DIV/0!</v>
      </c>
      <c r="C51" s="14"/>
      <c r="D51" s="17"/>
      <c r="E51" s="14"/>
      <c r="F51" s="14"/>
      <c r="G51" s="14"/>
    </row>
    <row r="52" spans="1:7" x14ac:dyDescent="0.2">
      <c r="B52" s="14"/>
      <c r="C52" s="14"/>
      <c r="D52" s="17"/>
      <c r="E52" s="14"/>
      <c r="F52" s="14"/>
      <c r="G52" s="14"/>
    </row>
    <row r="53" spans="1:7" x14ac:dyDescent="0.2">
      <c r="A53" t="s">
        <v>79</v>
      </c>
      <c r="B53" s="17">
        <f>'2. 2002 Base Rate Schedule'!B53</f>
        <v>0</v>
      </c>
      <c r="C53" s="14"/>
      <c r="D53" s="17"/>
      <c r="E53" s="14"/>
      <c r="F53" s="14"/>
      <c r="G53" s="14"/>
    </row>
    <row r="54" spans="1:7" x14ac:dyDescent="0.2">
      <c r="B54" s="14"/>
      <c r="C54" s="14"/>
      <c r="D54" s="17"/>
      <c r="E54" s="14"/>
      <c r="F54" s="14"/>
      <c r="G54" s="14"/>
    </row>
    <row r="55" spans="1:7" x14ac:dyDescent="0.2">
      <c r="B55" s="14"/>
      <c r="C55" s="14"/>
      <c r="D55" s="17"/>
      <c r="E55" s="14"/>
      <c r="F55" s="14"/>
      <c r="G55" s="14"/>
    </row>
    <row r="56" spans="1:7" ht="18" x14ac:dyDescent="0.25">
      <c r="A56" s="99" t="s">
        <v>7</v>
      </c>
      <c r="B56" s="14"/>
      <c r="C56" s="14"/>
      <c r="D56" s="17"/>
      <c r="E56" s="14"/>
      <c r="F56" s="14"/>
      <c r="G56" s="14"/>
    </row>
    <row r="57" spans="1:7" x14ac:dyDescent="0.2">
      <c r="B57" s="14"/>
      <c r="C57" s="14"/>
      <c r="D57" s="17"/>
      <c r="E57" s="14"/>
      <c r="F57" s="14"/>
      <c r="G57" s="14"/>
    </row>
    <row r="58" spans="1:7" x14ac:dyDescent="0.2">
      <c r="A58" t="s">
        <v>12</v>
      </c>
      <c r="B58" s="14" t="e">
        <f>'2. 2002 Base Rate Schedule'!B58+'3. 2002 Data &amp; add 4 RSVAs'!B138</f>
        <v>#DIV/0!</v>
      </c>
      <c r="C58" s="14"/>
      <c r="D58" s="17"/>
      <c r="E58" s="14"/>
      <c r="F58" s="14"/>
      <c r="G58" s="14"/>
    </row>
    <row r="59" spans="1:7" x14ac:dyDescent="0.2">
      <c r="B59" s="14"/>
      <c r="C59" s="14"/>
      <c r="D59" s="17"/>
      <c r="E59" s="14"/>
      <c r="F59" s="14"/>
      <c r="G59" s="14"/>
    </row>
    <row r="60" spans="1:7" x14ac:dyDescent="0.2">
      <c r="A60" t="s">
        <v>79</v>
      </c>
      <c r="B60" s="17">
        <f>'2. 2002 Base Rate Schedule'!B60</f>
        <v>0</v>
      </c>
      <c r="C60" s="14"/>
      <c r="D60" s="17"/>
      <c r="E60" s="14"/>
      <c r="F60" s="14"/>
      <c r="G60" s="14"/>
    </row>
    <row r="61" spans="1:7" x14ac:dyDescent="0.2">
      <c r="B61" s="14"/>
      <c r="C61" s="14"/>
      <c r="D61" s="17"/>
      <c r="E61" s="14"/>
      <c r="F61" s="14"/>
      <c r="G61" s="14"/>
    </row>
    <row r="62" spans="1:7" x14ac:dyDescent="0.2">
      <c r="C62" s="14"/>
      <c r="E62" s="14"/>
      <c r="F62" s="14"/>
      <c r="G62" s="14"/>
    </row>
    <row r="63" spans="1:7" ht="18" x14ac:dyDescent="0.25">
      <c r="A63" s="99" t="s">
        <v>16</v>
      </c>
      <c r="B63" s="14"/>
      <c r="C63" s="14"/>
      <c r="D63" s="17"/>
      <c r="E63" s="14"/>
      <c r="F63" s="14"/>
      <c r="G63" s="14"/>
    </row>
    <row r="64" spans="1:7" x14ac:dyDescent="0.2">
      <c r="B64" s="14"/>
      <c r="C64" s="14"/>
      <c r="D64" s="17"/>
      <c r="E64" s="14"/>
      <c r="F64" s="14"/>
      <c r="G64" s="14"/>
    </row>
    <row r="65" spans="1:7" x14ac:dyDescent="0.2">
      <c r="A65" t="s">
        <v>12</v>
      </c>
      <c r="B65" s="14">
        <f>'2. 2002 Base Rate Schedule'!B65+'3. 2002 Data &amp; add 4 RSVAs'!B156</f>
        <v>1.588433729067412</v>
      </c>
      <c r="C65" s="14"/>
      <c r="D65" s="17"/>
      <c r="E65" s="14"/>
      <c r="F65" s="14"/>
      <c r="G65" s="14"/>
    </row>
    <row r="66" spans="1:7" x14ac:dyDescent="0.2">
      <c r="B66" s="14"/>
      <c r="C66" s="14"/>
      <c r="D66" s="17"/>
      <c r="E66" s="14"/>
      <c r="F66" s="14"/>
      <c r="G66" s="14"/>
    </row>
    <row r="67" spans="1:7" x14ac:dyDescent="0.2">
      <c r="A67" t="s">
        <v>82</v>
      </c>
      <c r="B67" s="17">
        <f>'2. 2002 Base Rate Schedule'!B67</f>
        <v>0.38</v>
      </c>
      <c r="C67" s="14"/>
      <c r="D67" s="17"/>
      <c r="E67" s="14"/>
      <c r="F67" s="14"/>
      <c r="G67" s="14"/>
    </row>
    <row r="68" spans="1:7" x14ac:dyDescent="0.2">
      <c r="B68" s="14"/>
      <c r="C68" s="14"/>
      <c r="D68" s="17"/>
      <c r="E68" s="14"/>
      <c r="F68" s="14"/>
      <c r="G68" s="14"/>
    </row>
    <row r="69" spans="1:7" x14ac:dyDescent="0.2">
      <c r="A69" s="4" t="s">
        <v>17</v>
      </c>
      <c r="B69" s="14"/>
      <c r="C69" s="14"/>
      <c r="D69" s="17"/>
      <c r="E69" s="14"/>
      <c r="F69" s="14"/>
      <c r="G69" s="14"/>
    </row>
    <row r="70" spans="1:7" x14ac:dyDescent="0.2">
      <c r="B70" s="14"/>
      <c r="C70" s="14"/>
      <c r="D70" s="17"/>
      <c r="E70" s="14"/>
      <c r="F70" s="14"/>
      <c r="G70" s="14"/>
    </row>
    <row r="71" spans="1:7" ht="18" x14ac:dyDescent="0.25">
      <c r="A71" s="99" t="s">
        <v>18</v>
      </c>
      <c r="B71" s="14"/>
      <c r="C71" s="14"/>
      <c r="D71" s="17"/>
      <c r="E71" s="14"/>
      <c r="F71" s="14"/>
      <c r="G71" s="14"/>
    </row>
    <row r="72" spans="1:7" x14ac:dyDescent="0.2">
      <c r="B72" s="14"/>
      <c r="C72" s="14"/>
      <c r="D72" s="17"/>
      <c r="E72" s="14"/>
      <c r="F72" s="14"/>
      <c r="G72" s="14"/>
    </row>
    <row r="73" spans="1:7" x14ac:dyDescent="0.2">
      <c r="A73" t="s">
        <v>12</v>
      </c>
      <c r="B73" s="14">
        <f>'2. 2002 Base Rate Schedule'!B73+'3. 2002 Data &amp; add 4 RSVAs'!B156</f>
        <v>0.91943372906741183</v>
      </c>
      <c r="C73" s="14"/>
      <c r="D73" s="17"/>
      <c r="E73" s="14"/>
      <c r="F73" s="14"/>
      <c r="G73" s="14"/>
    </row>
    <row r="74" spans="1:7" x14ac:dyDescent="0.2">
      <c r="B74" s="14"/>
      <c r="C74" s="14"/>
      <c r="D74" s="17"/>
      <c r="E74" s="14"/>
      <c r="F74" s="14"/>
      <c r="G74" s="14"/>
    </row>
    <row r="75" spans="1:7" x14ac:dyDescent="0.2">
      <c r="A75" t="s">
        <v>82</v>
      </c>
      <c r="B75" s="17">
        <f>'2. 2002 Base Rate Schedule'!B75</f>
        <v>0</v>
      </c>
      <c r="C75" s="14"/>
      <c r="D75" s="17"/>
      <c r="E75" s="14"/>
      <c r="F75" s="14"/>
      <c r="G75" s="14"/>
    </row>
    <row r="76" spans="1:7" ht="14.25" customHeight="1" x14ac:dyDescent="0.25">
      <c r="A76" s="15"/>
      <c r="B76" s="14"/>
      <c r="C76" s="14"/>
      <c r="D76" s="17"/>
      <c r="E76" s="14"/>
      <c r="F76" s="14"/>
      <c r="G76" s="14"/>
    </row>
    <row r="77" spans="1:7" x14ac:dyDescent="0.2">
      <c r="B77" s="14"/>
      <c r="C77" s="14"/>
      <c r="D77" s="17"/>
      <c r="E77" s="14"/>
      <c r="F77" s="14"/>
      <c r="G77" s="14"/>
    </row>
    <row r="78" spans="1:7" ht="18" x14ac:dyDescent="0.25">
      <c r="A78" s="99" t="s">
        <v>19</v>
      </c>
      <c r="B78" s="14"/>
      <c r="C78" s="14"/>
      <c r="D78" s="17"/>
      <c r="E78" s="14"/>
      <c r="F78" s="14"/>
      <c r="G78" s="14"/>
    </row>
    <row r="79" spans="1:7" x14ac:dyDescent="0.2">
      <c r="B79" s="14"/>
      <c r="C79" s="14"/>
      <c r="D79" s="17"/>
      <c r="E79" s="14"/>
      <c r="F79" s="14"/>
      <c r="G79" s="14"/>
    </row>
    <row r="80" spans="1:7" x14ac:dyDescent="0.2">
      <c r="A80" t="s">
        <v>12</v>
      </c>
      <c r="B80" s="14">
        <f>'2. 2002 Base Rate Schedule'!B80+'3. 2002 Data &amp; add 4 RSVAs'!B174</f>
        <v>0.83563831802526978</v>
      </c>
      <c r="C80" s="14"/>
      <c r="D80" s="17"/>
      <c r="E80" s="14"/>
      <c r="F80" s="14"/>
      <c r="G80" s="14"/>
    </row>
    <row r="81" spans="1:7" x14ac:dyDescent="0.2">
      <c r="B81" s="14"/>
      <c r="C81" s="14"/>
      <c r="D81" s="17"/>
      <c r="E81" s="14"/>
      <c r="F81" s="14"/>
      <c r="G81" s="14"/>
    </row>
    <row r="82" spans="1:7" x14ac:dyDescent="0.2">
      <c r="A82" t="s">
        <v>82</v>
      </c>
      <c r="B82" s="17">
        <f>'2. 2002 Base Rate Schedule'!B82</f>
        <v>0.02</v>
      </c>
      <c r="C82" s="14"/>
      <c r="D82" s="17"/>
      <c r="E82" s="14"/>
      <c r="F82" s="14"/>
      <c r="G82" s="14"/>
    </row>
    <row r="83" spans="1:7" x14ac:dyDescent="0.2">
      <c r="B83" s="14"/>
      <c r="C83" s="14"/>
      <c r="D83" s="17"/>
      <c r="E83" s="14"/>
      <c r="F83" s="14"/>
      <c r="G83" s="14"/>
    </row>
    <row r="84" spans="1:7" x14ac:dyDescent="0.2">
      <c r="A84" s="4" t="s">
        <v>17</v>
      </c>
      <c r="B84" s="14"/>
      <c r="C84" s="14"/>
      <c r="D84" s="17"/>
      <c r="E84" s="14"/>
      <c r="F84" s="14"/>
      <c r="G84" s="14"/>
    </row>
    <row r="85" spans="1:7" x14ac:dyDescent="0.2">
      <c r="B85" s="14"/>
      <c r="C85" s="14"/>
      <c r="D85" s="17"/>
      <c r="E85" s="14"/>
      <c r="F85" s="14"/>
      <c r="G85" s="14"/>
    </row>
    <row r="86" spans="1:7" ht="18" x14ac:dyDescent="0.25">
      <c r="A86" s="99" t="s">
        <v>20</v>
      </c>
      <c r="B86" s="14"/>
      <c r="C86" s="14"/>
      <c r="D86" s="17"/>
      <c r="E86" s="14"/>
      <c r="F86" s="14"/>
      <c r="G86" s="14"/>
    </row>
    <row r="87" spans="1:7" x14ac:dyDescent="0.2">
      <c r="B87" s="14"/>
      <c r="C87" s="14"/>
      <c r="D87" s="17"/>
      <c r="E87" s="14"/>
      <c r="F87" s="14"/>
      <c r="G87" s="14"/>
    </row>
    <row r="88" spans="1:7" x14ac:dyDescent="0.2">
      <c r="A88" t="s">
        <v>12</v>
      </c>
      <c r="B88" s="14">
        <f>'2. 2002 Base Rate Schedule'!B88+'3. 2002 Data &amp; add 4 RSVAs'!B174</f>
        <v>0.76883831802526981</v>
      </c>
      <c r="C88" s="14"/>
      <c r="D88" s="17"/>
      <c r="E88" s="14"/>
      <c r="F88" s="14"/>
      <c r="G88" s="14"/>
    </row>
    <row r="89" spans="1:7" x14ac:dyDescent="0.2">
      <c r="B89" s="14"/>
      <c r="C89" s="14"/>
      <c r="D89" s="17"/>
      <c r="E89" s="14"/>
      <c r="F89" s="14"/>
      <c r="G89" s="14"/>
    </row>
    <row r="90" spans="1:7" x14ac:dyDescent="0.2">
      <c r="A90" t="s">
        <v>82</v>
      </c>
      <c r="B90" s="17">
        <f>'2. 2002 Base Rate Schedule'!B90</f>
        <v>0</v>
      </c>
      <c r="C90" s="14"/>
      <c r="D90" s="17"/>
      <c r="E90" s="14"/>
      <c r="F90" s="14"/>
      <c r="G90" s="14"/>
    </row>
    <row r="91" spans="1:7" x14ac:dyDescent="0.2">
      <c r="B91" s="14"/>
      <c r="C91" s="14"/>
      <c r="D91" s="17"/>
      <c r="E91" s="14"/>
      <c r="F91" s="14"/>
      <c r="G91" s="14"/>
    </row>
    <row r="92" spans="1:7" x14ac:dyDescent="0.2">
      <c r="B92" s="101"/>
      <c r="C92" s="101"/>
      <c r="D92" s="17"/>
      <c r="E92" s="14"/>
      <c r="F92" s="14"/>
      <c r="G92" s="14"/>
    </row>
    <row r="93" spans="1:7" x14ac:dyDescent="0.2">
      <c r="B93" s="101"/>
      <c r="C93" s="101"/>
      <c r="D93" s="17"/>
      <c r="E93" s="14"/>
      <c r="F93" s="14"/>
      <c r="G93" s="14"/>
    </row>
    <row r="94" spans="1:7" x14ac:dyDescent="0.2">
      <c r="B94" s="101"/>
      <c r="C94" s="101"/>
      <c r="E94" s="14"/>
      <c r="F94" s="14"/>
      <c r="G94" s="14"/>
    </row>
    <row r="95" spans="1:7" x14ac:dyDescent="0.2">
      <c r="B95" s="14"/>
      <c r="C95" s="14"/>
      <c r="D95" s="17"/>
      <c r="E95" s="14"/>
      <c r="F95" s="14"/>
      <c r="G95" s="14"/>
    </row>
  </sheetData>
  <phoneticPr fontId="0" type="noConversion"/>
  <pageMargins left="0.28000000000000003" right="0.18" top="0.45" bottom="0.56000000000000005" header="0.27" footer="0.23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zoomScale="75" workbookViewId="0">
      <selection activeCell="G15" sqref="G15"/>
    </sheetView>
  </sheetViews>
  <sheetFormatPr defaultRowHeight="12.75" x14ac:dyDescent="0.2"/>
  <cols>
    <col min="1" max="1" width="51.42578125" customWidth="1"/>
    <col min="2" max="2" width="13.140625" customWidth="1"/>
    <col min="3" max="3" width="12.28515625" customWidth="1"/>
    <col min="4" max="4" width="14" customWidth="1"/>
    <col min="5" max="5" width="16.85546875" customWidth="1"/>
    <col min="6" max="6" width="11.7109375" customWidth="1"/>
    <col min="7" max="7" width="14.7109375" customWidth="1"/>
    <col min="8" max="8" width="15.28515625" customWidth="1"/>
  </cols>
  <sheetData>
    <row r="1" spans="1:7" ht="18" x14ac:dyDescent="0.25">
      <c r="A1" s="15" t="s">
        <v>173</v>
      </c>
    </row>
    <row r="2" spans="1:7" ht="18" x14ac:dyDescent="0.25">
      <c r="A2" s="1"/>
    </row>
    <row r="3" spans="1:7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"/>
      <c r="G3" s="114" t="str">
        <f>'2. 2002 Base Rate Schedule'!F3</f>
        <v>ED-2003-0015</v>
      </c>
    </row>
    <row r="4" spans="1:7" ht="18" x14ac:dyDescent="0.25">
      <c r="A4" s="111" t="s">
        <v>3</v>
      </c>
      <c r="B4" s="113" t="str">
        <f>'2. 2002 Base Rate Schedule'!B4</f>
        <v>Sandra Slater</v>
      </c>
      <c r="C4" s="15"/>
      <c r="E4" s="111" t="s">
        <v>4</v>
      </c>
      <c r="F4" s="1"/>
      <c r="G4" s="113" t="str">
        <f>'2. 2002 Base Rate Schedule'!F4</f>
        <v>519-776-5291</v>
      </c>
    </row>
    <row r="5" spans="1:7" ht="18" x14ac:dyDescent="0.25">
      <c r="A5" s="27" t="s">
        <v>38</v>
      </c>
      <c r="B5" s="113" t="str">
        <f>'2. 2002 Base Rate Schedule'!B5</f>
        <v>sslater@elkenergyinc.com</v>
      </c>
      <c r="C5" s="15"/>
    </row>
    <row r="6" spans="1:7" ht="18" x14ac:dyDescent="0.25">
      <c r="A6" s="111" t="s">
        <v>2</v>
      </c>
      <c r="B6" s="113">
        <f>'2. 2002 Base Rate Schedule'!B6</f>
        <v>1</v>
      </c>
      <c r="C6" s="15"/>
    </row>
    <row r="7" spans="1:7" ht="18" x14ac:dyDescent="0.25">
      <c r="A7" s="27" t="s">
        <v>39</v>
      </c>
      <c r="B7" s="245">
        <f>'2. 2002 Base Rate Schedule'!B7</f>
        <v>38031</v>
      </c>
      <c r="C7" s="15"/>
    </row>
    <row r="8" spans="1:7" ht="18" x14ac:dyDescent="0.25">
      <c r="C8" s="15"/>
    </row>
    <row r="9" spans="1:7" ht="14.25" x14ac:dyDescent="0.2">
      <c r="A9" s="125" t="s">
        <v>174</v>
      </c>
      <c r="B9" s="4"/>
    </row>
    <row r="10" spans="1:7" ht="14.25" x14ac:dyDescent="0.2">
      <c r="A10" s="125" t="s">
        <v>175</v>
      </c>
    </row>
    <row r="11" spans="1:7" ht="12.75" customHeight="1" x14ac:dyDescent="0.2"/>
    <row r="12" spans="1:7" ht="14.25" x14ac:dyDescent="0.2">
      <c r="A12" s="125" t="s">
        <v>176</v>
      </c>
    </row>
    <row r="13" spans="1:7" x14ac:dyDescent="0.2">
      <c r="B13" s="9"/>
      <c r="C13" s="65"/>
    </row>
    <row r="14" spans="1:7" ht="14.25" x14ac:dyDescent="0.2">
      <c r="A14" s="125" t="s">
        <v>279</v>
      </c>
      <c r="B14" s="9"/>
      <c r="C14" s="66"/>
      <c r="F14" s="65"/>
      <c r="G14" s="64">
        <v>0</v>
      </c>
    </row>
    <row r="15" spans="1:7" ht="14.25" x14ac:dyDescent="0.2">
      <c r="A15" s="125"/>
      <c r="B15" s="9"/>
      <c r="C15" s="66"/>
      <c r="F15" s="65"/>
      <c r="G15" s="192"/>
    </row>
    <row r="16" spans="1:7" x14ac:dyDescent="0.2">
      <c r="C16" s="7"/>
    </row>
    <row r="17" spans="1:8" ht="14.25" x14ac:dyDescent="0.2">
      <c r="A17" s="125"/>
    </row>
    <row r="18" spans="1:8" ht="14.25" x14ac:dyDescent="0.2">
      <c r="A18" s="125"/>
    </row>
    <row r="20" spans="1:8" ht="38.25" x14ac:dyDescent="0.25">
      <c r="A20" s="55" t="s">
        <v>150</v>
      </c>
      <c r="B20" s="56" t="s">
        <v>40</v>
      </c>
      <c r="C20" s="57" t="s">
        <v>41</v>
      </c>
      <c r="D20" s="57" t="s">
        <v>105</v>
      </c>
      <c r="E20" s="57" t="s">
        <v>42</v>
      </c>
      <c r="F20" s="57" t="s">
        <v>177</v>
      </c>
      <c r="G20" s="58" t="s">
        <v>182</v>
      </c>
      <c r="H20" s="25"/>
    </row>
    <row r="21" spans="1:8" x14ac:dyDescent="0.2">
      <c r="A21" s="35"/>
      <c r="B21" s="36"/>
      <c r="C21" s="37"/>
      <c r="D21" s="37"/>
      <c r="E21" s="36"/>
      <c r="F21" s="36"/>
      <c r="G21" s="38"/>
    </row>
    <row r="22" spans="1:8" x14ac:dyDescent="0.2">
      <c r="A22" s="59" t="s">
        <v>44</v>
      </c>
      <c r="B22" s="67" t="s">
        <v>48</v>
      </c>
      <c r="C22" s="49">
        <f>'3. 2002 Data &amp; add 4 RSVAs'!C22</f>
        <v>91843709</v>
      </c>
      <c r="D22" s="193">
        <f>'3. 2002 Data &amp; add 4 RSVAs'!D22</f>
        <v>9132</v>
      </c>
      <c r="E22" s="68">
        <f>'3. 2002 Data &amp; add 4 RSVAs'!E22</f>
        <v>2486967.3200000003</v>
      </c>
      <c r="F22" s="194">
        <f>E22/E$31</f>
        <v>0.67158893909105444</v>
      </c>
      <c r="G22" s="69">
        <f>G32*F22</f>
        <v>0</v>
      </c>
      <c r="H22" s="70"/>
    </row>
    <row r="23" spans="1:8" x14ac:dyDescent="0.2">
      <c r="A23" s="59" t="s">
        <v>83</v>
      </c>
      <c r="B23" s="67" t="s">
        <v>48</v>
      </c>
      <c r="C23" s="49">
        <f>'3. 2002 Data &amp; add 4 RSVAs'!C23</f>
        <v>27507264</v>
      </c>
      <c r="D23" s="193">
        <f>'3. 2002 Data &amp; add 4 RSVAs'!D23</f>
        <v>1020</v>
      </c>
      <c r="E23" s="68">
        <f>'3. 2002 Data &amp; add 4 RSVAs'!E23</f>
        <v>63267.44</v>
      </c>
      <c r="F23" s="194">
        <f t="shared" ref="F23:F29" si="0">E23/E$31</f>
        <v>1.7084950239155912E-2</v>
      </c>
      <c r="G23" s="69">
        <f>G32*F23</f>
        <v>0</v>
      </c>
      <c r="H23" s="70"/>
    </row>
    <row r="24" spans="1:8" x14ac:dyDescent="0.2">
      <c r="A24" s="59" t="s">
        <v>84</v>
      </c>
      <c r="B24" s="71">
        <f>'3. 2002 Data &amp; add 4 RSVAs'!B24</f>
        <v>146975.4</v>
      </c>
      <c r="C24" s="49">
        <f>'3. 2002 Data &amp; add 4 RSVAs'!C24</f>
        <v>45130640</v>
      </c>
      <c r="D24" s="193">
        <f>'3. 2002 Data &amp; add 4 RSVAs'!D24</f>
        <v>111</v>
      </c>
      <c r="E24" s="68">
        <f>'3. 2002 Data &amp; add 4 RSVAs'!E24</f>
        <v>1114391.1499999999</v>
      </c>
      <c r="F24" s="194">
        <f t="shared" si="0"/>
        <v>0.30093389814264226</v>
      </c>
      <c r="G24" s="69">
        <f>G32*F24</f>
        <v>0</v>
      </c>
      <c r="H24" s="70"/>
    </row>
    <row r="25" spans="1:8" x14ac:dyDescent="0.2">
      <c r="A25" s="59" t="s">
        <v>75</v>
      </c>
      <c r="B25" s="71">
        <f>'3. 2002 Data &amp; add 4 RSVAs'!B25</f>
        <v>60487.49</v>
      </c>
      <c r="C25" s="49">
        <f>'3. 2002 Data &amp; add 4 RSVAs'!C25</f>
        <v>18299163</v>
      </c>
      <c r="D25" s="193">
        <f>'3. 2002 Data &amp; add 4 RSVAs'!D25</f>
        <v>1</v>
      </c>
      <c r="E25" s="68">
        <f>'3. 2002 Data &amp; add 4 RSVAs'!E25</f>
        <v>24214.55</v>
      </c>
      <c r="F25" s="194">
        <f t="shared" si="0"/>
        <v>6.5389777397908428E-3</v>
      </c>
      <c r="G25" s="69">
        <f>G32*F25</f>
        <v>0</v>
      </c>
      <c r="H25" s="72"/>
    </row>
    <row r="26" spans="1:8" x14ac:dyDescent="0.2">
      <c r="A26" s="59" t="s">
        <v>5</v>
      </c>
      <c r="B26" s="71">
        <f>'3. 2002 Data &amp; add 4 RSVAs'!B26</f>
        <v>0</v>
      </c>
      <c r="C26" s="49">
        <f>'3. 2002 Data &amp; add 4 RSVAs'!C26</f>
        <v>0</v>
      </c>
      <c r="D26" s="193">
        <f>'3. 2002 Data &amp; add 4 RSVAs'!D26</f>
        <v>0</v>
      </c>
      <c r="E26" s="68">
        <f>'3. 2002 Data &amp; add 4 RSVAs'!E26</f>
        <v>0</v>
      </c>
      <c r="F26" s="194">
        <f t="shared" si="0"/>
        <v>0</v>
      </c>
      <c r="G26" s="69">
        <f>G32*F26</f>
        <v>0</v>
      </c>
      <c r="H26" s="72"/>
    </row>
    <row r="27" spans="1:8" x14ac:dyDescent="0.2">
      <c r="A27" s="59" t="s">
        <v>47</v>
      </c>
      <c r="B27" s="71">
        <f>'3. 2002 Data &amp; add 4 RSVAs'!B27</f>
        <v>0</v>
      </c>
      <c r="C27" s="49">
        <f>'3. 2002 Data &amp; add 4 RSVAs'!C27</f>
        <v>0</v>
      </c>
      <c r="D27" s="193">
        <f>'3. 2002 Data &amp; add 4 RSVAs'!D27</f>
        <v>0</v>
      </c>
      <c r="E27" s="68">
        <f>'3. 2002 Data &amp; add 4 RSVAs'!E27</f>
        <v>0</v>
      </c>
      <c r="F27" s="194">
        <f t="shared" si="0"/>
        <v>0</v>
      </c>
      <c r="G27" s="69">
        <f>G32*F27</f>
        <v>0</v>
      </c>
      <c r="H27" s="72"/>
    </row>
    <row r="28" spans="1:8" x14ac:dyDescent="0.2">
      <c r="A28" s="59" t="s">
        <v>45</v>
      </c>
      <c r="B28" s="71">
        <f>'3. 2002 Data &amp; add 4 RSVAs'!B28</f>
        <v>412</v>
      </c>
      <c r="C28" s="49">
        <f>'3. 2002 Data &amp; add 4 RSVAs'!C28</f>
        <v>165810</v>
      </c>
      <c r="D28" s="193">
        <f>'3. 2002 Data &amp; add 4 RSVAs'!D28</f>
        <v>202</v>
      </c>
      <c r="E28" s="68">
        <f>'3. 2002 Data &amp; add 4 RSVAs'!E28</f>
        <v>1178.8800000000001</v>
      </c>
      <c r="F28" s="194">
        <f t="shared" si="0"/>
        <v>3.1834868200667079E-4</v>
      </c>
      <c r="G28" s="69">
        <f>G32*F28</f>
        <v>0</v>
      </c>
      <c r="H28" s="70"/>
    </row>
    <row r="29" spans="1:8" x14ac:dyDescent="0.2">
      <c r="A29" s="59" t="s">
        <v>46</v>
      </c>
      <c r="B29" s="73">
        <f>'3. 2002 Data &amp; add 4 RSVAs'!B29</f>
        <v>9777.35</v>
      </c>
      <c r="C29" s="187">
        <f>'3. 2002 Data &amp; add 4 RSVAs'!C29</f>
        <v>3290404.2199999997</v>
      </c>
      <c r="D29" s="195">
        <f>'3. 2002 Data &amp; add 4 RSVAs'!D29</f>
        <v>2682</v>
      </c>
      <c r="E29" s="124">
        <f>'3. 2002 Data &amp; add 4 RSVAs'!E29</f>
        <v>13090.07</v>
      </c>
      <c r="F29" s="196">
        <f t="shared" si="0"/>
        <v>3.5348861053500443E-3</v>
      </c>
      <c r="G29" s="74">
        <f>G32*F29</f>
        <v>0</v>
      </c>
      <c r="H29" s="75"/>
    </row>
    <row r="30" spans="1:8" x14ac:dyDescent="0.2">
      <c r="A30" s="59"/>
      <c r="B30" s="76"/>
      <c r="C30" s="77"/>
      <c r="D30" s="78"/>
      <c r="E30" s="76"/>
      <c r="F30" s="76"/>
      <c r="G30" s="69"/>
      <c r="H30" s="66"/>
    </row>
    <row r="31" spans="1:8" x14ac:dyDescent="0.2">
      <c r="A31" s="59" t="s">
        <v>43</v>
      </c>
      <c r="B31" s="36"/>
      <c r="C31" s="197">
        <f>SUM(C22:C29)</f>
        <v>186236990.22</v>
      </c>
      <c r="D31" s="197">
        <f>SUM(D22:D29)</f>
        <v>13148</v>
      </c>
      <c r="E31" s="122">
        <f>SUM(E22:E29)</f>
        <v>3703109.4099999997</v>
      </c>
      <c r="F31" s="198">
        <f>SUM(F22:F29)</f>
        <v>1.0000000000000002</v>
      </c>
      <c r="G31" s="45">
        <f>SUM(G22:G29)</f>
        <v>0</v>
      </c>
      <c r="H31" s="66"/>
    </row>
    <row r="32" spans="1:8" x14ac:dyDescent="0.2">
      <c r="A32" s="35"/>
      <c r="B32" s="36"/>
      <c r="C32" s="36" t="s">
        <v>178</v>
      </c>
      <c r="F32" s="36"/>
      <c r="G32" s="106">
        <f>G14</f>
        <v>0</v>
      </c>
      <c r="H32" s="79"/>
    </row>
    <row r="33" spans="1:7" x14ac:dyDescent="0.2">
      <c r="A33" s="46"/>
      <c r="B33" s="47"/>
      <c r="C33" s="47"/>
      <c r="D33" s="47"/>
      <c r="E33" s="47"/>
      <c r="F33" s="47"/>
      <c r="G33" s="48"/>
    </row>
    <row r="35" spans="1:7" ht="15.75" x14ac:dyDescent="0.25">
      <c r="A35" s="61" t="s">
        <v>51</v>
      </c>
    </row>
    <row r="36" spans="1:7" ht="10.5" customHeight="1" x14ac:dyDescent="0.25">
      <c r="A36" s="27"/>
    </row>
    <row r="37" spans="1:7" ht="15" x14ac:dyDescent="0.2">
      <c r="A37" s="31" t="s">
        <v>166</v>
      </c>
    </row>
    <row r="38" spans="1:7" ht="9" customHeight="1" x14ac:dyDescent="0.2">
      <c r="A38" s="31"/>
    </row>
    <row r="39" spans="1:7" ht="63.75" customHeight="1" x14ac:dyDescent="0.2">
      <c r="A39" s="31"/>
      <c r="B39" s="24" t="s">
        <v>162</v>
      </c>
      <c r="C39" s="24" t="s">
        <v>163</v>
      </c>
      <c r="D39" s="24" t="s">
        <v>183</v>
      </c>
    </row>
    <row r="40" spans="1:7" ht="15" x14ac:dyDescent="0.2">
      <c r="A40" s="31"/>
      <c r="B40" s="32" t="s">
        <v>49</v>
      </c>
      <c r="C40" s="32" t="s">
        <v>49</v>
      </c>
    </row>
    <row r="41" spans="1:7" ht="15" x14ac:dyDescent="0.2">
      <c r="A41" s="31"/>
      <c r="B41" s="33">
        <v>1</v>
      </c>
      <c r="C41" s="33">
        <f>1-B41</f>
        <v>0</v>
      </c>
      <c r="D41" s="34">
        <f>B41+C41</f>
        <v>1</v>
      </c>
    </row>
    <row r="42" spans="1:7" ht="13.5" customHeight="1" x14ac:dyDescent="0.2">
      <c r="B42" s="24"/>
      <c r="C42" s="24"/>
      <c r="D42" s="24"/>
    </row>
    <row r="43" spans="1:7" x14ac:dyDescent="0.2">
      <c r="A43" t="s">
        <v>180</v>
      </c>
      <c r="B43" s="66">
        <f>D43*B41</f>
        <v>0</v>
      </c>
      <c r="C43" s="66">
        <f>D43*C41</f>
        <v>0</v>
      </c>
      <c r="D43" s="66">
        <f>G22</f>
        <v>0</v>
      </c>
    </row>
    <row r="44" spans="1:7" x14ac:dyDescent="0.2">
      <c r="A44" t="s">
        <v>161</v>
      </c>
      <c r="B44" s="66"/>
      <c r="C44" s="66"/>
      <c r="D44" s="66"/>
    </row>
    <row r="45" spans="1:7" x14ac:dyDescent="0.2">
      <c r="B45" s="66"/>
      <c r="C45" s="66"/>
      <c r="D45" s="66"/>
    </row>
    <row r="46" spans="1:7" x14ac:dyDescent="0.2">
      <c r="A46" t="s">
        <v>172</v>
      </c>
      <c r="B46" s="12">
        <f>C22</f>
        <v>91843709</v>
      </c>
    </row>
    <row r="48" spans="1:7" x14ac:dyDescent="0.2">
      <c r="A48" t="s">
        <v>50</v>
      </c>
      <c r="B48" s="80">
        <f>B43/B46</f>
        <v>0</v>
      </c>
    </row>
    <row r="49" spans="1:4" x14ac:dyDescent="0.2">
      <c r="A49" t="s">
        <v>53</v>
      </c>
    </row>
    <row r="50" spans="1:4" x14ac:dyDescent="0.2">
      <c r="A50" t="s">
        <v>54</v>
      </c>
    </row>
    <row r="53" spans="1:4" ht="15.75" x14ac:dyDescent="0.25">
      <c r="A53" s="61" t="s">
        <v>52</v>
      </c>
    </row>
    <row r="54" spans="1:4" ht="7.5" customHeight="1" x14ac:dyDescent="0.25">
      <c r="A54" s="61"/>
    </row>
    <row r="55" spans="1:4" ht="15" x14ac:dyDescent="0.2">
      <c r="A55" s="31" t="s">
        <v>166</v>
      </c>
    </row>
    <row r="56" spans="1:4" ht="10.5" customHeight="1" x14ac:dyDescent="0.2">
      <c r="A56" s="31"/>
    </row>
    <row r="57" spans="1:4" ht="63.75" customHeight="1" x14ac:dyDescent="0.2">
      <c r="A57" s="31"/>
      <c r="B57" s="24" t="s">
        <v>162</v>
      </c>
      <c r="C57" s="24" t="s">
        <v>163</v>
      </c>
      <c r="D57" s="24" t="s">
        <v>183</v>
      </c>
    </row>
    <row r="58" spans="1:4" ht="13.5" customHeight="1" x14ac:dyDescent="0.2">
      <c r="A58" s="31"/>
      <c r="B58" s="32" t="s">
        <v>49</v>
      </c>
      <c r="C58" s="32" t="s">
        <v>49</v>
      </c>
    </row>
    <row r="59" spans="1:4" ht="15" x14ac:dyDescent="0.2">
      <c r="A59" s="31"/>
      <c r="B59" s="33">
        <v>1</v>
      </c>
      <c r="C59" s="33">
        <f>1-B59</f>
        <v>0</v>
      </c>
      <c r="D59" s="34">
        <f>B59+C59</f>
        <v>1</v>
      </c>
    </row>
    <row r="60" spans="1:4" x14ac:dyDescent="0.2">
      <c r="B60" s="24"/>
      <c r="C60" s="24"/>
      <c r="D60" s="24"/>
    </row>
    <row r="61" spans="1:4" x14ac:dyDescent="0.2">
      <c r="A61" t="s">
        <v>180</v>
      </c>
      <c r="B61" s="66">
        <f>D61*B59</f>
        <v>0</v>
      </c>
      <c r="C61" s="66">
        <f>D61*C59</f>
        <v>0</v>
      </c>
      <c r="D61" s="66">
        <f>G23</f>
        <v>0</v>
      </c>
    </row>
    <row r="62" spans="1:4" x14ac:dyDescent="0.2">
      <c r="A62" t="s">
        <v>164</v>
      </c>
      <c r="B62" s="66"/>
      <c r="C62" s="66"/>
      <c r="D62" s="66"/>
    </row>
    <row r="63" spans="1:4" x14ac:dyDescent="0.2">
      <c r="B63" s="66"/>
      <c r="C63" s="66"/>
      <c r="D63" s="66"/>
    </row>
    <row r="64" spans="1:4" x14ac:dyDescent="0.2">
      <c r="A64" t="s">
        <v>172</v>
      </c>
      <c r="B64" s="12">
        <f>C23</f>
        <v>27507264</v>
      </c>
    </row>
    <row r="66" spans="1:4" x14ac:dyDescent="0.2">
      <c r="A66" t="s">
        <v>50</v>
      </c>
      <c r="B66" s="80">
        <f>B61/B64</f>
        <v>0</v>
      </c>
    </row>
    <row r="67" spans="1:4" x14ac:dyDescent="0.2">
      <c r="A67" t="s">
        <v>53</v>
      </c>
    </row>
    <row r="68" spans="1:4" x14ac:dyDescent="0.2">
      <c r="A68" t="s">
        <v>54</v>
      </c>
    </row>
    <row r="70" spans="1:4" x14ac:dyDescent="0.2">
      <c r="C70" s="66"/>
    </row>
    <row r="71" spans="1:4" ht="15.75" x14ac:dyDescent="0.25">
      <c r="A71" s="61" t="s">
        <v>55</v>
      </c>
    </row>
    <row r="72" spans="1:4" ht="9" customHeight="1" x14ac:dyDescent="0.25">
      <c r="A72" s="61"/>
    </row>
    <row r="73" spans="1:4" ht="15" x14ac:dyDescent="0.2">
      <c r="A73" s="31" t="s">
        <v>167</v>
      </c>
    </row>
    <row r="74" spans="1:4" ht="9" customHeight="1" x14ac:dyDescent="0.2">
      <c r="A74" s="31"/>
    </row>
    <row r="75" spans="1:4" ht="63.75" customHeight="1" x14ac:dyDescent="0.2">
      <c r="A75" s="31"/>
      <c r="B75" s="24" t="s">
        <v>162</v>
      </c>
      <c r="C75" s="24" t="s">
        <v>163</v>
      </c>
      <c r="D75" s="24" t="s">
        <v>183</v>
      </c>
    </row>
    <row r="76" spans="1:4" ht="15" x14ac:dyDescent="0.2">
      <c r="A76" s="31"/>
      <c r="B76" s="32" t="s">
        <v>49</v>
      </c>
      <c r="C76" s="32" t="s">
        <v>49</v>
      </c>
    </row>
    <row r="77" spans="1:4" ht="15" x14ac:dyDescent="0.2">
      <c r="A77" s="31"/>
      <c r="B77" s="33">
        <v>1</v>
      </c>
      <c r="C77" s="33">
        <f>1-B77</f>
        <v>0</v>
      </c>
      <c r="D77" s="34">
        <f>B77+C77</f>
        <v>1</v>
      </c>
    </row>
    <row r="78" spans="1:4" x14ac:dyDescent="0.2">
      <c r="B78" s="24"/>
      <c r="C78" s="24"/>
      <c r="D78" s="24"/>
    </row>
    <row r="79" spans="1:4" x14ac:dyDescent="0.2">
      <c r="A79" t="s">
        <v>180</v>
      </c>
      <c r="B79" s="66">
        <f>D79*B77</f>
        <v>0</v>
      </c>
      <c r="C79" s="66">
        <f>D79*C77</f>
        <v>0</v>
      </c>
      <c r="D79" s="66">
        <f>G24</f>
        <v>0</v>
      </c>
    </row>
    <row r="80" spans="1:4" x14ac:dyDescent="0.2">
      <c r="A80" t="s">
        <v>165</v>
      </c>
      <c r="B80" s="66"/>
      <c r="C80" s="66"/>
      <c r="D80" s="66"/>
    </row>
    <row r="81" spans="1:4" x14ac:dyDescent="0.2">
      <c r="B81" s="66"/>
      <c r="C81" s="66"/>
      <c r="D81" s="66"/>
    </row>
    <row r="82" spans="1:4" x14ac:dyDescent="0.2">
      <c r="A82" t="s">
        <v>171</v>
      </c>
      <c r="B82" s="12">
        <f>B24</f>
        <v>146975.4</v>
      </c>
    </row>
    <row r="84" spans="1:4" x14ac:dyDescent="0.2">
      <c r="A84" t="s">
        <v>57</v>
      </c>
      <c r="B84" s="80">
        <f>B79/B82</f>
        <v>0</v>
      </c>
    </row>
    <row r="85" spans="1:4" x14ac:dyDescent="0.2">
      <c r="A85" t="s">
        <v>65</v>
      </c>
    </row>
    <row r="86" spans="1:4" x14ac:dyDescent="0.2">
      <c r="A86" t="s">
        <v>54</v>
      </c>
    </row>
    <row r="88" spans="1:4" x14ac:dyDescent="0.2">
      <c r="B88" s="66"/>
      <c r="C88" s="66"/>
      <c r="D88" s="66"/>
    </row>
    <row r="89" spans="1:4" ht="15.75" x14ac:dyDescent="0.25">
      <c r="A89" s="61" t="s">
        <v>58</v>
      </c>
    </row>
    <row r="90" spans="1:4" ht="9" customHeight="1" x14ac:dyDescent="0.25">
      <c r="A90" s="61"/>
    </row>
    <row r="91" spans="1:4" ht="15" x14ac:dyDescent="0.2">
      <c r="A91" s="31" t="s">
        <v>167</v>
      </c>
    </row>
    <row r="92" spans="1:4" ht="6" customHeight="1" x14ac:dyDescent="0.2">
      <c r="A92" s="31"/>
    </row>
    <row r="93" spans="1:4" ht="63.75" customHeight="1" x14ac:dyDescent="0.2">
      <c r="A93" s="31"/>
      <c r="B93" s="24" t="s">
        <v>162</v>
      </c>
      <c r="C93" s="24" t="s">
        <v>163</v>
      </c>
      <c r="D93" s="24" t="s">
        <v>183</v>
      </c>
    </row>
    <row r="94" spans="1:4" ht="15" x14ac:dyDescent="0.2">
      <c r="A94" s="31"/>
      <c r="B94" s="32" t="s">
        <v>49</v>
      </c>
      <c r="C94" s="32" t="s">
        <v>49</v>
      </c>
    </row>
    <row r="95" spans="1:4" ht="15" x14ac:dyDescent="0.2">
      <c r="A95" s="31"/>
      <c r="B95" s="33">
        <v>1</v>
      </c>
      <c r="C95" s="33">
        <f>1-B95</f>
        <v>0</v>
      </c>
      <c r="D95" s="34">
        <f>B95+C95</f>
        <v>1</v>
      </c>
    </row>
    <row r="96" spans="1:4" x14ac:dyDescent="0.2">
      <c r="B96" s="24"/>
      <c r="C96" s="24"/>
      <c r="D96" s="24"/>
    </row>
    <row r="97" spans="1:4" x14ac:dyDescent="0.2">
      <c r="A97" t="s">
        <v>180</v>
      </c>
      <c r="B97" s="66">
        <f>D97*B95</f>
        <v>0</v>
      </c>
      <c r="C97" s="66">
        <f>D97*C95</f>
        <v>0</v>
      </c>
      <c r="D97" s="66">
        <f>G25</f>
        <v>0</v>
      </c>
    </row>
    <row r="98" spans="1:4" x14ac:dyDescent="0.2">
      <c r="A98" t="s">
        <v>168</v>
      </c>
      <c r="B98" s="66"/>
      <c r="C98" s="66"/>
      <c r="D98" s="66"/>
    </row>
    <row r="99" spans="1:4" x14ac:dyDescent="0.2">
      <c r="B99" s="66"/>
      <c r="C99" s="66"/>
      <c r="D99" s="66"/>
    </row>
    <row r="100" spans="1:4" x14ac:dyDescent="0.2">
      <c r="A100" t="s">
        <v>171</v>
      </c>
      <c r="B100" s="12">
        <f>B25</f>
        <v>60487.49</v>
      </c>
    </row>
    <row r="102" spans="1:4" x14ac:dyDescent="0.2">
      <c r="A102" t="s">
        <v>57</v>
      </c>
      <c r="B102" s="80">
        <f>B97/B100</f>
        <v>0</v>
      </c>
    </row>
    <row r="103" spans="1:4" x14ac:dyDescent="0.2">
      <c r="A103" t="s">
        <v>65</v>
      </c>
    </row>
    <row r="104" spans="1:4" x14ac:dyDescent="0.2">
      <c r="A104" t="s">
        <v>54</v>
      </c>
    </row>
    <row r="107" spans="1:4" ht="15.75" x14ac:dyDescent="0.25">
      <c r="A107" s="61" t="s">
        <v>60</v>
      </c>
    </row>
    <row r="108" spans="1:4" ht="10.5" customHeight="1" x14ac:dyDescent="0.25">
      <c r="A108" s="61"/>
    </row>
    <row r="109" spans="1:4" ht="15" x14ac:dyDescent="0.2">
      <c r="A109" s="31" t="s">
        <v>167</v>
      </c>
    </row>
    <row r="110" spans="1:4" ht="6" customHeight="1" x14ac:dyDescent="0.2">
      <c r="A110" s="31"/>
    </row>
    <row r="111" spans="1:4" ht="63.75" customHeight="1" x14ac:dyDescent="0.2">
      <c r="A111" s="31"/>
      <c r="B111" s="24" t="s">
        <v>162</v>
      </c>
      <c r="C111" s="24" t="s">
        <v>163</v>
      </c>
      <c r="D111" s="24" t="s">
        <v>183</v>
      </c>
    </row>
    <row r="112" spans="1:4" ht="15" x14ac:dyDescent="0.2">
      <c r="A112" s="31"/>
      <c r="B112" s="32" t="s">
        <v>49</v>
      </c>
      <c r="C112" s="32" t="s">
        <v>49</v>
      </c>
    </row>
    <row r="113" spans="1:4" ht="15" x14ac:dyDescent="0.2">
      <c r="A113" s="31"/>
      <c r="B113" s="33">
        <v>1</v>
      </c>
      <c r="C113" s="33">
        <f>1-B113</f>
        <v>0</v>
      </c>
      <c r="D113" s="34">
        <f>B113+C113</f>
        <v>1</v>
      </c>
    </row>
    <row r="114" spans="1:4" x14ac:dyDescent="0.2">
      <c r="B114" s="24"/>
      <c r="C114" s="24"/>
      <c r="D114" s="24"/>
    </row>
    <row r="115" spans="1:4" x14ac:dyDescent="0.2">
      <c r="A115" t="s">
        <v>180</v>
      </c>
      <c r="B115" s="66">
        <f>D115*B113</f>
        <v>0</v>
      </c>
      <c r="C115" s="66">
        <f>D115*C113</f>
        <v>0</v>
      </c>
      <c r="D115" s="66">
        <f>G26</f>
        <v>0</v>
      </c>
    </row>
    <row r="116" spans="1:4" x14ac:dyDescent="0.2">
      <c r="A116" t="s">
        <v>56</v>
      </c>
      <c r="B116" s="66"/>
      <c r="C116" s="66"/>
      <c r="D116" s="66"/>
    </row>
    <row r="117" spans="1:4" x14ac:dyDescent="0.2">
      <c r="B117" s="66"/>
      <c r="C117" s="66"/>
      <c r="D117" s="66"/>
    </row>
    <row r="118" spans="1:4" x14ac:dyDescent="0.2">
      <c r="A118" t="s">
        <v>171</v>
      </c>
      <c r="B118" s="12">
        <f>B26</f>
        <v>0</v>
      </c>
    </row>
    <row r="120" spans="1:4" x14ac:dyDescent="0.2">
      <c r="A120" t="s">
        <v>57</v>
      </c>
      <c r="B120" s="80" t="e">
        <f>B115/B118</f>
        <v>#DIV/0!</v>
      </c>
    </row>
    <row r="121" spans="1:4" x14ac:dyDescent="0.2">
      <c r="A121" t="s">
        <v>65</v>
      </c>
    </row>
    <row r="122" spans="1:4" x14ac:dyDescent="0.2">
      <c r="A122" t="s">
        <v>54</v>
      </c>
    </row>
    <row r="125" spans="1:4" ht="15.75" x14ac:dyDescent="0.25">
      <c r="A125" s="61" t="s">
        <v>62</v>
      </c>
    </row>
    <row r="126" spans="1:4" ht="10.5" customHeight="1" x14ac:dyDescent="0.25">
      <c r="A126" s="61"/>
    </row>
    <row r="127" spans="1:4" ht="15" x14ac:dyDescent="0.2">
      <c r="A127" s="31" t="s">
        <v>167</v>
      </c>
    </row>
    <row r="128" spans="1:4" ht="9" customHeight="1" x14ac:dyDescent="0.2">
      <c r="A128" s="31"/>
    </row>
    <row r="129" spans="1:4" ht="64.5" customHeight="1" x14ac:dyDescent="0.2">
      <c r="A129" s="31"/>
      <c r="B129" s="24" t="s">
        <v>162</v>
      </c>
      <c r="C129" s="24" t="s">
        <v>163</v>
      </c>
      <c r="D129" s="24" t="s">
        <v>183</v>
      </c>
    </row>
    <row r="130" spans="1:4" ht="15" x14ac:dyDescent="0.2">
      <c r="A130" s="31"/>
      <c r="B130" s="32" t="s">
        <v>49</v>
      </c>
      <c r="C130" s="32" t="s">
        <v>49</v>
      </c>
    </row>
    <row r="131" spans="1:4" ht="15" x14ac:dyDescent="0.2">
      <c r="A131" s="31"/>
      <c r="B131" s="33">
        <v>1</v>
      </c>
      <c r="C131" s="33">
        <f>1-B131</f>
        <v>0</v>
      </c>
      <c r="D131" s="34">
        <f>B131+C131</f>
        <v>1</v>
      </c>
    </row>
    <row r="132" spans="1:4" x14ac:dyDescent="0.2">
      <c r="B132" s="24"/>
      <c r="C132" s="24"/>
      <c r="D132" s="24"/>
    </row>
    <row r="133" spans="1:4" x14ac:dyDescent="0.2">
      <c r="A133" t="s">
        <v>180</v>
      </c>
      <c r="B133" s="66">
        <f>D133*B131</f>
        <v>0</v>
      </c>
      <c r="C133" s="66">
        <f>D133*C131</f>
        <v>0</v>
      </c>
      <c r="D133" s="66">
        <f>G27</f>
        <v>0</v>
      </c>
    </row>
    <row r="134" spans="1:4" x14ac:dyDescent="0.2">
      <c r="A134" t="s">
        <v>59</v>
      </c>
      <c r="B134" s="66"/>
      <c r="C134" s="66"/>
      <c r="D134" s="66"/>
    </row>
    <row r="135" spans="1:4" x14ac:dyDescent="0.2">
      <c r="B135" s="66"/>
      <c r="C135" s="66"/>
      <c r="D135" s="66"/>
    </row>
    <row r="136" spans="1:4" x14ac:dyDescent="0.2">
      <c r="A136" t="s">
        <v>171</v>
      </c>
      <c r="B136" s="12">
        <f>B27</f>
        <v>0</v>
      </c>
    </row>
    <row r="138" spans="1:4" x14ac:dyDescent="0.2">
      <c r="A138" t="s">
        <v>57</v>
      </c>
      <c r="B138" s="80" t="e">
        <f>B133/B136</f>
        <v>#DIV/0!</v>
      </c>
    </row>
    <row r="139" spans="1:4" x14ac:dyDescent="0.2">
      <c r="A139" t="s">
        <v>65</v>
      </c>
    </row>
    <row r="140" spans="1:4" x14ac:dyDescent="0.2">
      <c r="A140" t="s">
        <v>54</v>
      </c>
    </row>
    <row r="143" spans="1:4" ht="15.75" x14ac:dyDescent="0.25">
      <c r="A143" s="61" t="s">
        <v>66</v>
      </c>
    </row>
    <row r="144" spans="1:4" ht="6.75" customHeight="1" x14ac:dyDescent="0.25">
      <c r="A144" s="61"/>
    </row>
    <row r="145" spans="1:4" ht="15" x14ac:dyDescent="0.2">
      <c r="A145" s="31" t="s">
        <v>167</v>
      </c>
    </row>
    <row r="146" spans="1:4" ht="6.75" customHeight="1" x14ac:dyDescent="0.2">
      <c r="A146" s="31"/>
    </row>
    <row r="147" spans="1:4" ht="66" customHeight="1" x14ac:dyDescent="0.2">
      <c r="A147" s="31"/>
      <c r="B147" s="24" t="s">
        <v>162</v>
      </c>
      <c r="C147" s="24" t="s">
        <v>163</v>
      </c>
      <c r="D147" s="24" t="s">
        <v>183</v>
      </c>
    </row>
    <row r="148" spans="1:4" ht="15" x14ac:dyDescent="0.2">
      <c r="A148" s="31"/>
      <c r="B148" s="32" t="s">
        <v>49</v>
      </c>
      <c r="C148" s="32" t="s">
        <v>49</v>
      </c>
    </row>
    <row r="149" spans="1:4" ht="15" x14ac:dyDescent="0.2">
      <c r="A149" s="31"/>
      <c r="B149" s="33">
        <v>1</v>
      </c>
      <c r="C149" s="33">
        <f>1-B149</f>
        <v>0</v>
      </c>
      <c r="D149" s="34">
        <f>B149+C149</f>
        <v>1</v>
      </c>
    </row>
    <row r="150" spans="1:4" x14ac:dyDescent="0.2">
      <c r="B150" s="24"/>
      <c r="C150" s="24"/>
      <c r="D150" s="24"/>
    </row>
    <row r="151" spans="1:4" x14ac:dyDescent="0.2">
      <c r="A151" t="s">
        <v>180</v>
      </c>
      <c r="B151" s="66">
        <f>D151*B149</f>
        <v>0</v>
      </c>
      <c r="C151" s="66">
        <f>D151*C149</f>
        <v>0</v>
      </c>
      <c r="D151" s="66">
        <f>G28</f>
        <v>0</v>
      </c>
    </row>
    <row r="152" spans="1:4" x14ac:dyDescent="0.2">
      <c r="A152" t="s">
        <v>61</v>
      </c>
      <c r="B152" s="66"/>
      <c r="C152" s="66"/>
      <c r="D152" s="66"/>
    </row>
    <row r="153" spans="1:4" x14ac:dyDescent="0.2">
      <c r="B153" s="66"/>
      <c r="C153" s="66"/>
      <c r="D153" s="66"/>
    </row>
    <row r="154" spans="1:4" x14ac:dyDescent="0.2">
      <c r="A154" t="s">
        <v>171</v>
      </c>
      <c r="B154" s="12">
        <f>B28</f>
        <v>412</v>
      </c>
    </row>
    <row r="156" spans="1:4" x14ac:dyDescent="0.2">
      <c r="A156" t="s">
        <v>57</v>
      </c>
      <c r="B156" s="80">
        <f>B151/B154</f>
        <v>0</v>
      </c>
    </row>
    <row r="157" spans="1:4" x14ac:dyDescent="0.2">
      <c r="A157" t="s">
        <v>65</v>
      </c>
    </row>
    <row r="158" spans="1:4" x14ac:dyDescent="0.2">
      <c r="A158" t="s">
        <v>54</v>
      </c>
    </row>
    <row r="161" spans="1:7" ht="15.75" x14ac:dyDescent="0.25">
      <c r="A161" s="61" t="s">
        <v>64</v>
      </c>
    </row>
    <row r="162" spans="1:7" ht="9.75" customHeight="1" x14ac:dyDescent="0.25">
      <c r="A162" s="61"/>
    </row>
    <row r="163" spans="1:7" ht="15" x14ac:dyDescent="0.2">
      <c r="A163" s="31" t="s">
        <v>167</v>
      </c>
    </row>
    <row r="164" spans="1:7" ht="9" customHeight="1" x14ac:dyDescent="0.2">
      <c r="A164" s="31"/>
    </row>
    <row r="165" spans="1:7" ht="64.5" customHeight="1" x14ac:dyDescent="0.2">
      <c r="A165" s="31"/>
      <c r="B165" s="24" t="s">
        <v>162</v>
      </c>
      <c r="C165" s="24" t="s">
        <v>163</v>
      </c>
      <c r="D165" s="24" t="s">
        <v>183</v>
      </c>
      <c r="G165" s="24"/>
    </row>
    <row r="166" spans="1:7" ht="15" x14ac:dyDescent="0.2">
      <c r="A166" s="31"/>
      <c r="B166" s="32" t="s">
        <v>49</v>
      </c>
      <c r="C166" s="32" t="s">
        <v>49</v>
      </c>
    </row>
    <row r="167" spans="1:7" ht="15" x14ac:dyDescent="0.2">
      <c r="A167" s="31"/>
      <c r="B167" s="33">
        <v>1</v>
      </c>
      <c r="C167" s="33">
        <f>1-B167</f>
        <v>0</v>
      </c>
      <c r="D167" s="34">
        <f>B167+C167</f>
        <v>1</v>
      </c>
    </row>
    <row r="168" spans="1:7" x14ac:dyDescent="0.2">
      <c r="B168" s="24"/>
      <c r="C168" s="24"/>
      <c r="D168" s="24"/>
    </row>
    <row r="169" spans="1:7" x14ac:dyDescent="0.2">
      <c r="A169" t="s">
        <v>180</v>
      </c>
      <c r="B169" s="66">
        <f>D169*B167</f>
        <v>0</v>
      </c>
      <c r="C169" s="66">
        <f>D169*C167</f>
        <v>0</v>
      </c>
      <c r="D169" s="66">
        <f>G29</f>
        <v>0</v>
      </c>
    </row>
    <row r="170" spans="1:7" x14ac:dyDescent="0.2">
      <c r="A170" t="s">
        <v>63</v>
      </c>
      <c r="B170" s="66"/>
      <c r="C170" s="66"/>
      <c r="D170" s="66"/>
    </row>
    <row r="171" spans="1:7" x14ac:dyDescent="0.2">
      <c r="B171" s="66"/>
      <c r="C171" s="66"/>
      <c r="D171" s="66"/>
    </row>
    <row r="172" spans="1:7" x14ac:dyDescent="0.2">
      <c r="A172" t="s">
        <v>171</v>
      </c>
      <c r="B172" s="12">
        <f>B29</f>
        <v>9777.35</v>
      </c>
    </row>
    <row r="174" spans="1:7" x14ac:dyDescent="0.2">
      <c r="A174" t="s">
        <v>57</v>
      </c>
      <c r="B174" s="80">
        <f>B169/B172</f>
        <v>0</v>
      </c>
    </row>
    <row r="175" spans="1:7" x14ac:dyDescent="0.2">
      <c r="A175" t="s">
        <v>65</v>
      </c>
    </row>
    <row r="176" spans="1:7" x14ac:dyDescent="0.2">
      <c r="A176" t="s">
        <v>54</v>
      </c>
    </row>
    <row r="178" spans="3:3" x14ac:dyDescent="0.2">
      <c r="C178" s="81"/>
    </row>
  </sheetData>
  <phoneticPr fontId="0" type="noConversion"/>
  <pageMargins left="0.31" right="0.17" top="0.45" bottom="0.5" header="0.28000000000000003" footer="0.23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75" workbookViewId="0">
      <selection activeCell="B7" sqref="B7"/>
    </sheetView>
  </sheetViews>
  <sheetFormatPr defaultRowHeight="12.75" x14ac:dyDescent="0.2"/>
  <cols>
    <col min="1" max="1" width="37.85546875" customWidth="1"/>
    <col min="2" max="3" width="14.28515625" customWidth="1"/>
    <col min="4" max="5" width="19.85546875" customWidth="1"/>
    <col min="6" max="6" width="14.85546875" customWidth="1"/>
    <col min="7" max="7" width="13.140625" customWidth="1"/>
  </cols>
  <sheetData>
    <row r="1" spans="1:8" ht="18" x14ac:dyDescent="0.25">
      <c r="A1" s="15" t="s">
        <v>185</v>
      </c>
    </row>
    <row r="3" spans="1:8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07" t="str">
        <f>'2. 2002 Base Rate Schedule'!F3</f>
        <v>ED-2003-0015</v>
      </c>
    </row>
    <row r="4" spans="1:8" ht="18" x14ac:dyDescent="0.25">
      <c r="A4" s="111" t="s">
        <v>3</v>
      </c>
      <c r="B4" s="107" t="str">
        <f>'2. 2002 Base Rate Schedule'!B4</f>
        <v>Sandra Slater</v>
      </c>
      <c r="C4" s="15"/>
      <c r="E4" s="111" t="s">
        <v>4</v>
      </c>
      <c r="F4" s="107" t="str">
        <f>'2. 2002 Base Rate Schedule'!F4</f>
        <v>519-776-5291</v>
      </c>
    </row>
    <row r="5" spans="1:8" ht="18" x14ac:dyDescent="0.25">
      <c r="A5" s="27" t="s">
        <v>38</v>
      </c>
      <c r="B5" s="107" t="str">
        <f>'2. 2002 Base Rate Schedule'!B5</f>
        <v>sslater@elkenergyinc.com</v>
      </c>
      <c r="C5" s="15"/>
    </row>
    <row r="6" spans="1:8" ht="18" x14ac:dyDescent="0.25">
      <c r="A6" s="111" t="s">
        <v>2</v>
      </c>
      <c r="B6" s="107">
        <f>'2. 2002 Base Rate Schedule'!B6</f>
        <v>1</v>
      </c>
      <c r="C6" s="15"/>
    </row>
    <row r="7" spans="1:8" ht="18" x14ac:dyDescent="0.25">
      <c r="A7" s="27" t="s">
        <v>39</v>
      </c>
      <c r="B7" s="110">
        <f>'2. 2002 Base Rate Schedule'!B7</f>
        <v>38031</v>
      </c>
      <c r="C7" s="15"/>
    </row>
    <row r="8" spans="1:8" ht="18" x14ac:dyDescent="0.25">
      <c r="A8" s="27"/>
      <c r="B8" s="138"/>
      <c r="C8" s="15"/>
    </row>
    <row r="9" spans="1:8" ht="18" x14ac:dyDescent="0.25">
      <c r="A9" s="27"/>
      <c r="B9" s="138"/>
      <c r="C9" s="15"/>
    </row>
    <row r="10" spans="1:8" ht="18" x14ac:dyDescent="0.25">
      <c r="C10" s="15"/>
    </row>
    <row r="11" spans="1:8" ht="14.25" x14ac:dyDescent="0.2">
      <c r="A11" s="125" t="s">
        <v>186</v>
      </c>
      <c r="B11" s="4"/>
    </row>
    <row r="12" spans="1:8" ht="14.25" x14ac:dyDescent="0.2">
      <c r="A12" s="125" t="s">
        <v>187</v>
      </c>
    </row>
    <row r="14" spans="1:8" ht="18" x14ac:dyDescent="0.25">
      <c r="A14" s="99" t="s">
        <v>6</v>
      </c>
      <c r="B14" s="16"/>
      <c r="C14" s="6"/>
      <c r="E14" s="14"/>
      <c r="G14" s="14"/>
    </row>
    <row r="15" spans="1:8" x14ac:dyDescent="0.2">
      <c r="B15" s="14"/>
      <c r="C15" s="14"/>
      <c r="D15" s="17"/>
      <c r="E15" s="14"/>
      <c r="F15" s="14"/>
      <c r="G15" s="14"/>
    </row>
    <row r="16" spans="1:8" x14ac:dyDescent="0.2">
      <c r="A16" t="s">
        <v>8</v>
      </c>
      <c r="B16" s="14">
        <f>'4. 2004 Rate Sch. with 4 RSVAs'!B16+'5. 2002 Data &amp; Int. Reg. Assets'!B48</f>
        <v>8.4845829345381683E-3</v>
      </c>
      <c r="C16" s="14"/>
      <c r="D16" s="17"/>
      <c r="E16" s="14"/>
      <c r="F16" s="19"/>
      <c r="G16" s="19"/>
      <c r="H16" s="19"/>
    </row>
    <row r="17" spans="1:8" x14ac:dyDescent="0.2">
      <c r="B17" s="14"/>
      <c r="C17" s="14"/>
      <c r="D17" s="17"/>
      <c r="E17" s="14"/>
      <c r="F17" s="14"/>
      <c r="G17" s="14"/>
    </row>
    <row r="18" spans="1:8" x14ac:dyDescent="0.2">
      <c r="A18" t="s">
        <v>79</v>
      </c>
      <c r="B18" s="17">
        <f>'2. 2002 Base Rate Schedule'!B18</f>
        <v>11.73</v>
      </c>
      <c r="C18" s="14"/>
      <c r="D18" s="17"/>
      <c r="E18" s="14"/>
      <c r="F18" s="19"/>
      <c r="G18" s="81"/>
      <c r="H18" s="19"/>
    </row>
    <row r="19" spans="1:8" x14ac:dyDescent="0.2">
      <c r="B19" s="14"/>
      <c r="C19" s="14"/>
      <c r="D19" s="17"/>
      <c r="E19" s="14"/>
      <c r="F19" s="14"/>
      <c r="G19" s="14"/>
    </row>
    <row r="20" spans="1:8" x14ac:dyDescent="0.2">
      <c r="B20" s="14"/>
      <c r="C20" s="14"/>
      <c r="D20" s="14"/>
      <c r="E20" s="14"/>
      <c r="F20" s="14"/>
      <c r="G20" s="14"/>
    </row>
    <row r="21" spans="1:8" ht="18" x14ac:dyDescent="0.25">
      <c r="A21" s="99" t="s">
        <v>9</v>
      </c>
      <c r="B21" s="16"/>
      <c r="C21" s="6"/>
      <c r="D21" s="14"/>
      <c r="E21" s="14"/>
      <c r="F21" s="14"/>
      <c r="G21" s="14"/>
    </row>
    <row r="22" spans="1:8" x14ac:dyDescent="0.2">
      <c r="B22" s="14"/>
      <c r="C22" s="14"/>
      <c r="D22" s="14"/>
      <c r="E22" s="14"/>
      <c r="F22" s="14"/>
      <c r="G22" s="14"/>
    </row>
    <row r="23" spans="1:8" x14ac:dyDescent="0.2">
      <c r="A23" t="s">
        <v>8</v>
      </c>
      <c r="B23" s="14">
        <f>'4. 2004 Rate Sch. with 4 RSVAs'!B23+'5. 2002 Data &amp; Int. Reg. Assets'!B48</f>
        <v>2.2845829345381685E-3</v>
      </c>
      <c r="C23" s="14"/>
      <c r="D23" s="14"/>
      <c r="E23" s="14"/>
      <c r="F23" s="14"/>
      <c r="G23" s="14"/>
    </row>
    <row r="24" spans="1:8" x14ac:dyDescent="0.2">
      <c r="B24" s="14"/>
      <c r="C24" s="14"/>
      <c r="D24" s="14"/>
      <c r="E24" s="14"/>
      <c r="F24" s="14"/>
      <c r="G24" s="14"/>
    </row>
    <row r="25" spans="1:8" x14ac:dyDescent="0.2">
      <c r="A25" t="s">
        <v>79</v>
      </c>
      <c r="B25" s="17">
        <f>'2. 2002 Base Rate Schedule'!B25</f>
        <v>0</v>
      </c>
      <c r="C25" s="14"/>
      <c r="D25" s="14"/>
      <c r="E25" s="14"/>
      <c r="F25" s="14"/>
      <c r="G25" s="14"/>
    </row>
    <row r="26" spans="1:8" x14ac:dyDescent="0.2">
      <c r="B26" s="17"/>
      <c r="C26" s="14"/>
      <c r="D26" s="14"/>
      <c r="E26" s="14"/>
      <c r="F26" s="14"/>
      <c r="G26" s="14"/>
    </row>
    <row r="27" spans="1:8" x14ac:dyDescent="0.2">
      <c r="B27" s="14"/>
      <c r="C27" s="14"/>
      <c r="D27" s="17"/>
      <c r="E27" s="14"/>
      <c r="F27" s="14"/>
      <c r="G27" s="14"/>
    </row>
    <row r="28" spans="1:8" ht="18" x14ac:dyDescent="0.25">
      <c r="A28" s="99" t="s">
        <v>10</v>
      </c>
      <c r="B28" s="16"/>
      <c r="C28" s="6"/>
      <c r="D28" s="17"/>
      <c r="E28" s="14"/>
      <c r="F28" s="14"/>
      <c r="G28" s="14"/>
    </row>
    <row r="29" spans="1:8" x14ac:dyDescent="0.2">
      <c r="B29" s="14"/>
      <c r="C29" s="14"/>
      <c r="D29" s="17"/>
      <c r="E29" s="14"/>
      <c r="F29" s="14"/>
      <c r="G29" s="14"/>
    </row>
    <row r="30" spans="1:8" x14ac:dyDescent="0.2">
      <c r="A30" t="s">
        <v>8</v>
      </c>
      <c r="B30" s="14">
        <f>'4. 2004 Rate Sch. with 4 RSVAs'!B30+'5. 2002 Data &amp; Int. Reg. Assets'!B66</f>
        <v>3.5845829345381684E-3</v>
      </c>
      <c r="C30" s="14"/>
      <c r="D30" s="17"/>
      <c r="E30" s="14"/>
      <c r="F30" s="14"/>
      <c r="G30" s="20"/>
      <c r="H30" s="19"/>
    </row>
    <row r="31" spans="1:8" x14ac:dyDescent="0.2">
      <c r="B31" s="14"/>
      <c r="C31" s="14"/>
      <c r="D31" s="17"/>
      <c r="E31" s="14"/>
      <c r="F31" s="14"/>
      <c r="G31" s="20"/>
    </row>
    <row r="32" spans="1:8" x14ac:dyDescent="0.2">
      <c r="A32" t="s">
        <v>79</v>
      </c>
      <c r="B32" s="17">
        <f>'2. 2002 Base Rate Schedule'!B32</f>
        <v>11.46</v>
      </c>
      <c r="C32" s="14"/>
      <c r="D32" s="17"/>
      <c r="E32" s="14"/>
      <c r="F32" s="14"/>
      <c r="G32" s="20"/>
      <c r="H32" s="19"/>
    </row>
    <row r="33" spans="1:7" x14ac:dyDescent="0.2">
      <c r="B33" s="14"/>
      <c r="C33" s="14"/>
      <c r="D33" s="17"/>
      <c r="E33" s="14"/>
      <c r="F33" s="14"/>
      <c r="G33" s="14"/>
    </row>
    <row r="34" spans="1:7" x14ac:dyDescent="0.2">
      <c r="B34" s="14"/>
      <c r="C34" s="14"/>
      <c r="D34" s="17"/>
      <c r="E34" s="14"/>
      <c r="F34" s="14"/>
      <c r="G34" s="14"/>
    </row>
    <row r="35" spans="1:7" ht="18" x14ac:dyDescent="0.25">
      <c r="A35" s="99" t="s">
        <v>11</v>
      </c>
      <c r="B35" s="16"/>
      <c r="C35" s="6"/>
      <c r="D35" s="17"/>
      <c r="E35" s="14"/>
      <c r="F35" s="14"/>
      <c r="G35" s="14"/>
    </row>
    <row r="36" spans="1:7" x14ac:dyDescent="0.2">
      <c r="B36" s="14"/>
      <c r="C36" s="14"/>
      <c r="D36" s="17"/>
      <c r="E36" s="14"/>
      <c r="F36" s="14"/>
      <c r="G36" s="14"/>
    </row>
    <row r="37" spans="1:7" x14ac:dyDescent="0.2">
      <c r="A37" t="s">
        <v>12</v>
      </c>
      <c r="B37" s="14">
        <f>'4. 2004 Rate Sch. with 4 RSVAs'!B37+'5. 2002 Data &amp; Int. Reg. Assets'!B84</f>
        <v>3.1140098442922124</v>
      </c>
      <c r="C37" s="14"/>
      <c r="D37" s="17"/>
      <c r="E37" s="14"/>
      <c r="F37" s="14"/>
      <c r="G37" s="14"/>
    </row>
    <row r="38" spans="1:7" x14ac:dyDescent="0.2">
      <c r="B38" s="14"/>
      <c r="C38" s="14"/>
      <c r="D38" s="17"/>
      <c r="E38" s="14"/>
      <c r="F38" s="14"/>
      <c r="G38" s="14"/>
    </row>
    <row r="39" spans="1:7" x14ac:dyDescent="0.2">
      <c r="A39" t="s">
        <v>79</v>
      </c>
      <c r="B39" s="17">
        <f>'2. 2002 Base Rate Schedule'!B39</f>
        <v>461.79</v>
      </c>
      <c r="C39" s="14"/>
      <c r="D39" s="17"/>
      <c r="E39" s="14"/>
      <c r="F39" s="14"/>
      <c r="G39" s="14"/>
    </row>
    <row r="40" spans="1:7" x14ac:dyDescent="0.2">
      <c r="B40" s="14"/>
      <c r="C40" s="14"/>
      <c r="D40" s="17"/>
      <c r="E40" s="14"/>
      <c r="F40" s="14"/>
      <c r="G40" s="14"/>
    </row>
    <row r="41" spans="1:7" x14ac:dyDescent="0.2">
      <c r="B41" s="14"/>
      <c r="C41" s="14"/>
      <c r="D41" s="17"/>
      <c r="E41" s="14"/>
      <c r="F41" s="14"/>
      <c r="G41" s="14"/>
    </row>
    <row r="42" spans="1:7" ht="18" x14ac:dyDescent="0.25">
      <c r="A42" s="99" t="s">
        <v>14</v>
      </c>
      <c r="B42" s="16"/>
      <c r="C42" s="6"/>
      <c r="D42" s="17"/>
      <c r="E42" s="14"/>
      <c r="F42" s="14"/>
      <c r="G42" s="14"/>
    </row>
    <row r="43" spans="1:7" ht="18" x14ac:dyDescent="0.25">
      <c r="A43" s="15"/>
      <c r="B43" s="14"/>
      <c r="C43" s="14"/>
      <c r="D43" s="17"/>
      <c r="E43" s="14"/>
      <c r="F43" s="14"/>
      <c r="G43" s="14"/>
    </row>
    <row r="44" spans="1:7" x14ac:dyDescent="0.2">
      <c r="A44" t="s">
        <v>12</v>
      </c>
      <c r="B44" s="14">
        <f>'4. 2004 Rate Sch. with 4 RSVAs'!B44+'5. 2002 Data &amp; Int. Reg. Assets'!B102</f>
        <v>0.80946344294501671</v>
      </c>
      <c r="C44" s="14"/>
      <c r="D44" s="17"/>
      <c r="E44" s="14"/>
      <c r="F44" s="14"/>
      <c r="G44" s="14"/>
    </row>
    <row r="45" spans="1:7" x14ac:dyDescent="0.2">
      <c r="B45" s="14"/>
      <c r="C45" s="14"/>
      <c r="D45" s="17"/>
      <c r="E45" s="14"/>
      <c r="F45" s="14"/>
      <c r="G45" s="14"/>
    </row>
    <row r="46" spans="1:7" x14ac:dyDescent="0.2">
      <c r="A46" t="s">
        <v>79</v>
      </c>
      <c r="B46" s="17">
        <f>'2. 2002 Base Rate Schedule'!B46</f>
        <v>882.08</v>
      </c>
      <c r="C46" s="14"/>
      <c r="D46" s="17"/>
      <c r="E46" s="14"/>
      <c r="F46" s="14"/>
      <c r="G46" s="14"/>
    </row>
    <row r="47" spans="1:7" x14ac:dyDescent="0.2">
      <c r="B47" s="14"/>
      <c r="C47" s="14"/>
      <c r="D47" s="17"/>
      <c r="E47" s="14"/>
      <c r="F47" s="14"/>
      <c r="G47" s="14"/>
    </row>
    <row r="48" spans="1:7" ht="12.75" customHeight="1" x14ac:dyDescent="0.25">
      <c r="A48" s="15"/>
      <c r="B48" s="14"/>
      <c r="C48" s="14"/>
      <c r="D48" s="17"/>
      <c r="E48" s="14"/>
      <c r="F48" s="14"/>
      <c r="G48" s="14"/>
    </row>
    <row r="49" spans="1:7" ht="18" x14ac:dyDescent="0.25">
      <c r="A49" s="102" t="s">
        <v>15</v>
      </c>
      <c r="B49" s="14"/>
      <c r="C49" s="14"/>
      <c r="D49" s="17"/>
      <c r="E49" s="14"/>
      <c r="F49" s="14"/>
      <c r="G49" s="14"/>
    </row>
    <row r="50" spans="1:7" x14ac:dyDescent="0.2">
      <c r="B50" s="14"/>
      <c r="C50" s="14"/>
      <c r="D50" s="17"/>
      <c r="E50" s="14"/>
      <c r="F50" s="14"/>
      <c r="G50" s="14"/>
    </row>
    <row r="51" spans="1:7" x14ac:dyDescent="0.2">
      <c r="A51" t="s">
        <v>12</v>
      </c>
      <c r="B51" s="14" t="e">
        <f>'4. 2004 Rate Sch. with 4 RSVAs'!B51+'5. 2002 Data &amp; Int. Reg. Assets'!B120</f>
        <v>#DIV/0!</v>
      </c>
      <c r="C51" s="14"/>
      <c r="D51" s="17"/>
      <c r="E51" s="14"/>
      <c r="F51" s="14"/>
      <c r="G51" s="14"/>
    </row>
    <row r="52" spans="1:7" x14ac:dyDescent="0.2">
      <c r="B52" s="14"/>
      <c r="C52" s="14"/>
      <c r="D52" s="17"/>
      <c r="E52" s="14"/>
      <c r="F52" s="14"/>
      <c r="G52" s="14"/>
    </row>
    <row r="53" spans="1:7" x14ac:dyDescent="0.2">
      <c r="A53" t="s">
        <v>79</v>
      </c>
      <c r="B53" s="17">
        <f>'2. 2002 Base Rate Schedule'!B53</f>
        <v>0</v>
      </c>
      <c r="C53" s="14"/>
      <c r="D53" s="17"/>
      <c r="E53" s="14"/>
      <c r="F53" s="14"/>
      <c r="G53" s="14"/>
    </row>
    <row r="54" spans="1:7" x14ac:dyDescent="0.2">
      <c r="B54" s="14"/>
      <c r="C54" s="14"/>
      <c r="D54" s="17"/>
      <c r="E54" s="14"/>
      <c r="F54" s="14"/>
      <c r="G54" s="14"/>
    </row>
    <row r="55" spans="1:7" x14ac:dyDescent="0.2">
      <c r="B55" s="14"/>
      <c r="C55" s="14"/>
      <c r="D55" s="17"/>
      <c r="E55" s="14"/>
      <c r="F55" s="14"/>
      <c r="G55" s="14"/>
    </row>
    <row r="56" spans="1:7" ht="18" x14ac:dyDescent="0.25">
      <c r="A56" s="99" t="s">
        <v>7</v>
      </c>
      <c r="B56" s="14"/>
      <c r="C56" s="14"/>
      <c r="D56" s="17"/>
      <c r="E56" s="14"/>
      <c r="F56" s="14"/>
      <c r="G56" s="14"/>
    </row>
    <row r="57" spans="1:7" x14ac:dyDescent="0.2">
      <c r="B57" s="14"/>
      <c r="C57" s="14"/>
      <c r="D57" s="17"/>
      <c r="E57" s="14"/>
      <c r="F57" s="14"/>
      <c r="G57" s="14"/>
    </row>
    <row r="58" spans="1:7" x14ac:dyDescent="0.2">
      <c r="A58" t="s">
        <v>12</v>
      </c>
      <c r="B58" s="14" t="e">
        <f>'4. 2004 Rate Sch. with 4 RSVAs'!B58+'5. 2002 Data &amp; Int. Reg. Assets'!B138</f>
        <v>#DIV/0!</v>
      </c>
      <c r="C58" s="14"/>
      <c r="D58" s="17"/>
      <c r="E58" s="14"/>
      <c r="F58" s="14"/>
      <c r="G58" s="14"/>
    </row>
    <row r="59" spans="1:7" x14ac:dyDescent="0.2">
      <c r="B59" s="14"/>
      <c r="C59" s="14"/>
      <c r="D59" s="17"/>
      <c r="E59" s="14"/>
      <c r="F59" s="14"/>
      <c r="G59" s="14"/>
    </row>
    <row r="60" spans="1:7" x14ac:dyDescent="0.2">
      <c r="A60" t="s">
        <v>79</v>
      </c>
      <c r="B60" s="17">
        <f>'2. 2002 Base Rate Schedule'!B60</f>
        <v>0</v>
      </c>
      <c r="C60" s="14"/>
      <c r="D60" s="17"/>
      <c r="E60" s="14"/>
      <c r="F60" s="14"/>
      <c r="G60" s="14"/>
    </row>
    <row r="61" spans="1:7" x14ac:dyDescent="0.2">
      <c r="B61" s="14"/>
      <c r="C61" s="14"/>
      <c r="D61" s="17"/>
      <c r="E61" s="14"/>
      <c r="F61" s="14"/>
      <c r="G61" s="14"/>
    </row>
    <row r="62" spans="1:7" x14ac:dyDescent="0.2">
      <c r="C62" s="14"/>
      <c r="E62" s="14"/>
      <c r="F62" s="14"/>
      <c r="G62" s="14"/>
    </row>
    <row r="63" spans="1:7" ht="18" x14ac:dyDescent="0.25">
      <c r="A63" s="99" t="s">
        <v>16</v>
      </c>
      <c r="B63" s="14"/>
      <c r="C63" s="14"/>
      <c r="D63" s="17"/>
      <c r="E63" s="14"/>
      <c r="F63" s="14"/>
      <c r="G63" s="14"/>
    </row>
    <row r="64" spans="1:7" x14ac:dyDescent="0.2">
      <c r="B64" s="14"/>
      <c r="C64" s="14"/>
      <c r="D64" s="17"/>
      <c r="E64" s="14"/>
      <c r="F64" s="14"/>
      <c r="G64" s="14"/>
    </row>
    <row r="65" spans="1:7" x14ac:dyDescent="0.2">
      <c r="A65" t="s">
        <v>12</v>
      </c>
      <c r="B65" s="14">
        <f>'4. 2004 Rate Sch. with 4 RSVAs'!B65+'5. 2002 Data &amp; Int. Reg. Assets'!B156</f>
        <v>1.588433729067412</v>
      </c>
      <c r="C65" s="14"/>
      <c r="D65" s="17"/>
      <c r="E65" s="14"/>
      <c r="F65" s="14"/>
      <c r="G65" s="14"/>
    </row>
    <row r="66" spans="1:7" x14ac:dyDescent="0.2">
      <c r="B66" s="14"/>
      <c r="C66" s="14"/>
      <c r="D66" s="17"/>
      <c r="E66" s="14"/>
      <c r="F66" s="14"/>
      <c r="G66" s="14"/>
    </row>
    <row r="67" spans="1:7" x14ac:dyDescent="0.2">
      <c r="A67" t="s">
        <v>82</v>
      </c>
      <c r="B67" s="17">
        <f>'2. 2002 Base Rate Schedule'!B67</f>
        <v>0.38</v>
      </c>
      <c r="C67" s="14"/>
      <c r="D67" s="17"/>
      <c r="E67" s="14"/>
      <c r="F67" s="14"/>
      <c r="G67" s="14"/>
    </row>
    <row r="68" spans="1:7" x14ac:dyDescent="0.2">
      <c r="B68" s="14"/>
      <c r="C68" s="14"/>
      <c r="D68" s="17"/>
      <c r="E68" s="14"/>
      <c r="F68" s="14"/>
      <c r="G68" s="14"/>
    </row>
    <row r="69" spans="1:7" x14ac:dyDescent="0.2">
      <c r="A69" s="4" t="s">
        <v>17</v>
      </c>
      <c r="B69" s="14"/>
      <c r="C69" s="14"/>
      <c r="D69" s="17"/>
      <c r="E69" s="14"/>
      <c r="F69" s="14"/>
      <c r="G69" s="14"/>
    </row>
    <row r="70" spans="1:7" x14ac:dyDescent="0.2">
      <c r="B70" s="14"/>
      <c r="C70" s="14"/>
      <c r="D70" s="17"/>
      <c r="E70" s="14"/>
      <c r="F70" s="14"/>
      <c r="G70" s="14"/>
    </row>
    <row r="71" spans="1:7" ht="18" x14ac:dyDescent="0.25">
      <c r="A71" s="99" t="s">
        <v>18</v>
      </c>
      <c r="B71" s="14"/>
      <c r="C71" s="14"/>
      <c r="D71" s="17"/>
      <c r="E71" s="14"/>
      <c r="F71" s="14"/>
      <c r="G71" s="14"/>
    </row>
    <row r="72" spans="1:7" x14ac:dyDescent="0.2">
      <c r="B72" s="14"/>
      <c r="C72" s="14"/>
      <c r="D72" s="17"/>
      <c r="E72" s="14"/>
      <c r="F72" s="14"/>
      <c r="G72" s="14"/>
    </row>
    <row r="73" spans="1:7" x14ac:dyDescent="0.2">
      <c r="A73" t="s">
        <v>12</v>
      </c>
      <c r="B73" s="14">
        <f>'4. 2004 Rate Sch. with 4 RSVAs'!B73+'5. 2002 Data &amp; Int. Reg. Assets'!B156</f>
        <v>0.91943372906741183</v>
      </c>
      <c r="C73" s="14"/>
      <c r="D73" s="17"/>
      <c r="E73" s="14"/>
      <c r="F73" s="14"/>
      <c r="G73" s="14"/>
    </row>
    <row r="74" spans="1:7" x14ac:dyDescent="0.2">
      <c r="B74" s="14"/>
      <c r="C74" s="14"/>
      <c r="D74" s="17"/>
      <c r="E74" s="14"/>
      <c r="F74" s="14"/>
      <c r="G74" s="14"/>
    </row>
    <row r="75" spans="1:7" x14ac:dyDescent="0.2">
      <c r="A75" t="s">
        <v>82</v>
      </c>
      <c r="B75" s="17">
        <f>'2. 2002 Base Rate Schedule'!B75</f>
        <v>0</v>
      </c>
      <c r="C75" s="14"/>
      <c r="D75" s="17"/>
      <c r="E75" s="14"/>
      <c r="F75" s="14"/>
      <c r="G75" s="14"/>
    </row>
    <row r="76" spans="1:7" ht="14.25" customHeight="1" x14ac:dyDescent="0.25">
      <c r="A76" s="15"/>
      <c r="B76" s="14"/>
      <c r="C76" s="14"/>
      <c r="D76" s="17"/>
      <c r="E76" s="14"/>
      <c r="F76" s="14"/>
      <c r="G76" s="14"/>
    </row>
    <row r="77" spans="1:7" x14ac:dyDescent="0.2">
      <c r="B77" s="14"/>
      <c r="C77" s="14"/>
      <c r="D77" s="17"/>
      <c r="E77" s="14"/>
      <c r="F77" s="14"/>
      <c r="G77" s="14"/>
    </row>
    <row r="78" spans="1:7" ht="18" x14ac:dyDescent="0.25">
      <c r="A78" s="99" t="s">
        <v>19</v>
      </c>
      <c r="B78" s="14"/>
      <c r="C78" s="14"/>
      <c r="D78" s="17"/>
      <c r="E78" s="14"/>
      <c r="F78" s="14"/>
      <c r="G78" s="14"/>
    </row>
    <row r="79" spans="1:7" x14ac:dyDescent="0.2">
      <c r="B79" s="14"/>
      <c r="C79" s="14"/>
      <c r="D79" s="17"/>
      <c r="E79" s="14"/>
      <c r="F79" s="14"/>
      <c r="G79" s="14"/>
    </row>
    <row r="80" spans="1:7" x14ac:dyDescent="0.2">
      <c r="A80" t="s">
        <v>12</v>
      </c>
      <c r="B80" s="14">
        <f>'4. 2004 Rate Sch. with 4 RSVAs'!B80+'5. 2002 Data &amp; Int. Reg. Assets'!B174</f>
        <v>0.83563831802526978</v>
      </c>
      <c r="C80" s="14"/>
      <c r="D80" s="17"/>
      <c r="E80" s="14"/>
      <c r="F80" s="14"/>
      <c r="G80" s="14"/>
    </row>
    <row r="81" spans="1:7" x14ac:dyDescent="0.2">
      <c r="B81" s="14"/>
      <c r="C81" s="14"/>
      <c r="D81" s="17"/>
      <c r="E81" s="14"/>
      <c r="F81" s="14"/>
      <c r="G81" s="14"/>
    </row>
    <row r="82" spans="1:7" x14ac:dyDescent="0.2">
      <c r="A82" t="s">
        <v>82</v>
      </c>
      <c r="B82" s="17">
        <f>'2. 2002 Base Rate Schedule'!B82</f>
        <v>0.02</v>
      </c>
      <c r="C82" s="14"/>
      <c r="D82" s="17"/>
      <c r="E82" s="14"/>
      <c r="F82" s="14"/>
      <c r="G82" s="14"/>
    </row>
    <row r="83" spans="1:7" x14ac:dyDescent="0.2">
      <c r="B83" s="14"/>
      <c r="C83" s="14"/>
      <c r="D83" s="17"/>
      <c r="E83" s="14"/>
      <c r="F83" s="14"/>
      <c r="G83" s="14"/>
    </row>
    <row r="84" spans="1:7" x14ac:dyDescent="0.2">
      <c r="A84" s="4" t="s">
        <v>17</v>
      </c>
      <c r="B84" s="14"/>
      <c r="C84" s="14"/>
      <c r="D84" s="17"/>
      <c r="E84" s="14"/>
      <c r="F84" s="14"/>
      <c r="G84" s="14"/>
    </row>
    <row r="85" spans="1:7" x14ac:dyDescent="0.2">
      <c r="B85" s="14"/>
      <c r="C85" s="14"/>
      <c r="D85" s="17"/>
      <c r="E85" s="14"/>
      <c r="F85" s="14"/>
      <c r="G85" s="14"/>
    </row>
    <row r="86" spans="1:7" ht="18" x14ac:dyDescent="0.25">
      <c r="A86" s="99" t="s">
        <v>20</v>
      </c>
      <c r="B86" s="14"/>
      <c r="C86" s="14"/>
      <c r="D86" s="17"/>
      <c r="E86" s="14"/>
      <c r="F86" s="14"/>
      <c r="G86" s="14"/>
    </row>
    <row r="87" spans="1:7" x14ac:dyDescent="0.2">
      <c r="B87" s="14"/>
      <c r="C87" s="14"/>
      <c r="D87" s="17"/>
      <c r="E87" s="14"/>
      <c r="F87" s="14"/>
      <c r="G87" s="14"/>
    </row>
    <row r="88" spans="1:7" x14ac:dyDescent="0.2">
      <c r="A88" t="s">
        <v>12</v>
      </c>
      <c r="B88" s="14">
        <f>'4. 2004 Rate Sch. with 4 RSVAs'!B88+'5. 2002 Data &amp; Int. Reg. Assets'!B174</f>
        <v>0.76883831802526981</v>
      </c>
      <c r="C88" s="14"/>
      <c r="D88" s="17"/>
      <c r="E88" s="14"/>
      <c r="F88" s="14"/>
      <c r="G88" s="14"/>
    </row>
    <row r="89" spans="1:7" x14ac:dyDescent="0.2">
      <c r="B89" s="14"/>
      <c r="C89" s="14"/>
      <c r="D89" s="17"/>
      <c r="E89" s="14"/>
      <c r="F89" s="14"/>
      <c r="G89" s="14"/>
    </row>
    <row r="90" spans="1:7" x14ac:dyDescent="0.2">
      <c r="A90" t="s">
        <v>82</v>
      </c>
      <c r="B90" s="17">
        <f>'2. 2002 Base Rate Schedule'!B90</f>
        <v>0</v>
      </c>
      <c r="C90" s="14"/>
      <c r="D90" s="17"/>
      <c r="E90" s="14"/>
      <c r="F90" s="14"/>
      <c r="G90" s="14"/>
    </row>
    <row r="91" spans="1:7" x14ac:dyDescent="0.2">
      <c r="B91" s="14"/>
      <c r="C91" s="14"/>
      <c r="D91" s="17"/>
      <c r="E91" s="14"/>
      <c r="F91" s="14"/>
      <c r="G91" s="14"/>
    </row>
    <row r="92" spans="1:7" x14ac:dyDescent="0.2">
      <c r="B92" s="101"/>
      <c r="C92" s="101"/>
      <c r="D92" s="17"/>
      <c r="E92" s="14"/>
      <c r="F92" s="14"/>
      <c r="G92" s="14"/>
    </row>
    <row r="93" spans="1:7" x14ac:dyDescent="0.2">
      <c r="B93" s="101"/>
      <c r="C93" s="101"/>
      <c r="D93" s="17"/>
      <c r="E93" s="14"/>
      <c r="F93" s="14"/>
      <c r="G93" s="14"/>
    </row>
    <row r="94" spans="1:7" x14ac:dyDescent="0.2">
      <c r="B94" s="101"/>
      <c r="C94" s="101"/>
      <c r="E94" s="14"/>
      <c r="F94" s="14"/>
      <c r="G94" s="14"/>
    </row>
    <row r="95" spans="1:7" x14ac:dyDescent="0.2">
      <c r="B95" s="14"/>
      <c r="C95" s="14"/>
      <c r="D95" s="17"/>
      <c r="E95" s="14"/>
      <c r="F95" s="14"/>
      <c r="G95" s="14"/>
    </row>
  </sheetData>
  <phoneticPr fontId="0" type="noConversion"/>
  <pageMargins left="0.28000000000000003" right="0.18" top="0.45" bottom="0.56000000000000005" header="0.27" footer="0.23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tabSelected="1" zoomScale="75" workbookViewId="0">
      <selection activeCell="H14" sqref="H14"/>
    </sheetView>
  </sheetViews>
  <sheetFormatPr defaultRowHeight="12.75" x14ac:dyDescent="0.2"/>
  <cols>
    <col min="1" max="1" width="51.42578125" customWidth="1"/>
    <col min="2" max="2" width="13.140625" customWidth="1"/>
    <col min="3" max="3" width="12.28515625" customWidth="1"/>
    <col min="4" max="4" width="14" customWidth="1"/>
    <col min="5" max="5" width="16.85546875" customWidth="1"/>
    <col min="6" max="6" width="11.7109375" customWidth="1"/>
    <col min="7" max="7" width="14.7109375" customWidth="1"/>
    <col min="8" max="8" width="15.28515625" customWidth="1"/>
  </cols>
  <sheetData>
    <row r="1" spans="1:7" ht="18" x14ac:dyDescent="0.25">
      <c r="A1" s="15" t="s">
        <v>188</v>
      </c>
    </row>
    <row r="2" spans="1:7" ht="18" x14ac:dyDescent="0.25">
      <c r="A2" s="1"/>
    </row>
    <row r="3" spans="1:7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"/>
      <c r="G3" s="114" t="str">
        <f>'2. 2002 Base Rate Schedule'!F3</f>
        <v>ED-2003-0015</v>
      </c>
    </row>
    <row r="4" spans="1:7" ht="18" x14ac:dyDescent="0.25">
      <c r="A4" s="111" t="s">
        <v>3</v>
      </c>
      <c r="B4" s="113" t="str">
        <f>'2. 2002 Base Rate Schedule'!B4</f>
        <v>Sandra Slater</v>
      </c>
      <c r="C4" s="15"/>
      <c r="E4" s="111" t="s">
        <v>4</v>
      </c>
      <c r="F4" s="1"/>
      <c r="G4" s="113" t="str">
        <f>'2. 2002 Base Rate Schedule'!F4</f>
        <v>519-776-5291</v>
      </c>
    </row>
    <row r="5" spans="1:7" ht="18" x14ac:dyDescent="0.25">
      <c r="A5" s="27" t="s">
        <v>38</v>
      </c>
      <c r="B5" s="113" t="str">
        <f>'2. 2002 Base Rate Schedule'!B5</f>
        <v>sslater@elkenergyinc.com</v>
      </c>
      <c r="C5" s="15"/>
    </row>
    <row r="6" spans="1:7" ht="18" x14ac:dyDescent="0.25">
      <c r="A6" s="111" t="s">
        <v>2</v>
      </c>
      <c r="B6" s="113">
        <f>'2. 2002 Base Rate Schedule'!B6</f>
        <v>1</v>
      </c>
      <c r="C6" s="15"/>
    </row>
    <row r="7" spans="1:7" ht="18" x14ac:dyDescent="0.25">
      <c r="A7" s="27" t="s">
        <v>39</v>
      </c>
      <c r="B7" s="245">
        <f>'2. 2002 Base Rate Schedule'!B7</f>
        <v>38031</v>
      </c>
      <c r="C7" s="15"/>
    </row>
    <row r="8" spans="1:7" ht="18" x14ac:dyDescent="0.25">
      <c r="C8" s="15"/>
    </row>
    <row r="9" spans="1:7" ht="14.25" x14ac:dyDescent="0.2">
      <c r="A9" s="125" t="s">
        <v>189</v>
      </c>
      <c r="B9" s="4"/>
    </row>
    <row r="10" spans="1:7" ht="14.25" x14ac:dyDescent="0.2">
      <c r="A10" s="125" t="s">
        <v>190</v>
      </c>
    </row>
    <row r="11" spans="1:7" ht="12.75" customHeight="1" x14ac:dyDescent="0.2"/>
    <row r="12" spans="1:7" ht="14.25" x14ac:dyDescent="0.2">
      <c r="A12" s="125" t="s">
        <v>191</v>
      </c>
    </row>
    <row r="13" spans="1:7" x14ac:dyDescent="0.2">
      <c r="B13" s="9"/>
      <c r="C13" s="65"/>
    </row>
    <row r="14" spans="1:7" ht="14.25" x14ac:dyDescent="0.2">
      <c r="A14" s="125" t="s">
        <v>274</v>
      </c>
      <c r="B14" s="9"/>
      <c r="C14" s="66"/>
      <c r="F14" s="65"/>
      <c r="G14" s="64">
        <v>410255</v>
      </c>
    </row>
    <row r="15" spans="1:7" ht="14.25" x14ac:dyDescent="0.2">
      <c r="A15" s="125"/>
      <c r="B15" s="9"/>
      <c r="C15" s="66"/>
      <c r="F15" s="65"/>
      <c r="G15" s="192"/>
    </row>
    <row r="16" spans="1:7" x14ac:dyDescent="0.2">
      <c r="C16" s="7"/>
    </row>
    <row r="17" spans="1:8" ht="14.25" x14ac:dyDescent="0.2">
      <c r="A17" s="125"/>
    </row>
    <row r="18" spans="1:8" ht="14.25" x14ac:dyDescent="0.2">
      <c r="A18" s="125"/>
    </row>
    <row r="20" spans="1:8" ht="38.25" x14ac:dyDescent="0.25">
      <c r="A20" s="55" t="s">
        <v>150</v>
      </c>
      <c r="B20" s="56" t="s">
        <v>40</v>
      </c>
      <c r="C20" s="57" t="s">
        <v>41</v>
      </c>
      <c r="D20" s="57" t="s">
        <v>105</v>
      </c>
      <c r="E20" s="57" t="s">
        <v>42</v>
      </c>
      <c r="F20" s="57" t="s">
        <v>177</v>
      </c>
      <c r="G20" s="58" t="s">
        <v>192</v>
      </c>
      <c r="H20" s="25"/>
    </row>
    <row r="21" spans="1:8" x14ac:dyDescent="0.2">
      <c r="A21" s="35"/>
      <c r="B21" s="36"/>
      <c r="C21" s="37"/>
      <c r="D21" s="37"/>
      <c r="E21" s="36"/>
      <c r="F21" s="36"/>
      <c r="G21" s="38"/>
    </row>
    <row r="22" spans="1:8" x14ac:dyDescent="0.2">
      <c r="A22" s="59" t="s">
        <v>44</v>
      </c>
      <c r="B22" s="67" t="s">
        <v>48</v>
      </c>
      <c r="C22" s="49">
        <f>'3. 2002 Data &amp; add 4 RSVAs'!C22</f>
        <v>91843709</v>
      </c>
      <c r="D22" s="193">
        <f>'3. 2002 Data &amp; add 4 RSVAs'!D22</f>
        <v>9132</v>
      </c>
      <c r="E22" s="68">
        <f>'3. 2002 Data &amp; add 4 RSVAs'!E22</f>
        <v>2486967.3200000003</v>
      </c>
      <c r="F22" s="194">
        <f t="shared" ref="F22:F29" si="0">E22/E$31</f>
        <v>0.67158893909105444</v>
      </c>
      <c r="G22" s="69">
        <f>G32*F22</f>
        <v>275522.72020680056</v>
      </c>
      <c r="H22" s="70"/>
    </row>
    <row r="23" spans="1:8" x14ac:dyDescent="0.2">
      <c r="A23" s="59" t="s">
        <v>83</v>
      </c>
      <c r="B23" s="67" t="s">
        <v>48</v>
      </c>
      <c r="C23" s="49">
        <f>'3. 2002 Data &amp; add 4 RSVAs'!C23</f>
        <v>27507264</v>
      </c>
      <c r="D23" s="193">
        <f>'3. 2002 Data &amp; add 4 RSVAs'!D23</f>
        <v>1020</v>
      </c>
      <c r="E23" s="68">
        <f>'3. 2002 Data &amp; add 4 RSVAs'!E23</f>
        <v>63267.44</v>
      </c>
      <c r="F23" s="194">
        <f t="shared" si="0"/>
        <v>1.7084950239155912E-2</v>
      </c>
      <c r="G23" s="69">
        <f>G32*F23</f>
        <v>7009.1862603649088</v>
      </c>
      <c r="H23" s="70"/>
    </row>
    <row r="24" spans="1:8" x14ac:dyDescent="0.2">
      <c r="A24" s="59" t="s">
        <v>84</v>
      </c>
      <c r="B24" s="71">
        <f>'3. 2002 Data &amp; add 4 RSVAs'!B24</f>
        <v>146975.4</v>
      </c>
      <c r="C24" s="49">
        <f>'3. 2002 Data &amp; add 4 RSVAs'!C24</f>
        <v>45130640</v>
      </c>
      <c r="D24" s="193">
        <f>'3. 2002 Data &amp; add 4 RSVAs'!D24</f>
        <v>111</v>
      </c>
      <c r="E24" s="68">
        <f>'3. 2002 Data &amp; add 4 RSVAs'!E24</f>
        <v>1114391.1499999999</v>
      </c>
      <c r="F24" s="194">
        <f t="shared" si="0"/>
        <v>0.30093389814264226</v>
      </c>
      <c r="G24" s="69">
        <f>G32*F24</f>
        <v>123459.63638250971</v>
      </c>
      <c r="H24" s="70"/>
    </row>
    <row r="25" spans="1:8" x14ac:dyDescent="0.2">
      <c r="A25" s="59" t="s">
        <v>75</v>
      </c>
      <c r="B25" s="71">
        <f>'3. 2002 Data &amp; add 4 RSVAs'!B25</f>
        <v>60487.49</v>
      </c>
      <c r="C25" s="49">
        <f>'3. 2002 Data &amp; add 4 RSVAs'!C25</f>
        <v>18299163</v>
      </c>
      <c r="D25" s="193">
        <f>'3. 2002 Data &amp; add 4 RSVAs'!D25</f>
        <v>1</v>
      </c>
      <c r="E25" s="68">
        <f>'3. 2002 Data &amp; add 4 RSVAs'!E25</f>
        <v>24214.55</v>
      </c>
      <c r="F25" s="194">
        <f t="shared" si="0"/>
        <v>6.5389777397908428E-3</v>
      </c>
      <c r="G25" s="69">
        <f>G32*F25</f>
        <v>2682.6483126378921</v>
      </c>
      <c r="H25" s="72"/>
    </row>
    <row r="26" spans="1:8" x14ac:dyDescent="0.2">
      <c r="A26" s="59" t="s">
        <v>5</v>
      </c>
      <c r="B26" s="71">
        <f>'3. 2002 Data &amp; add 4 RSVAs'!B26</f>
        <v>0</v>
      </c>
      <c r="C26" s="49">
        <f>'3. 2002 Data &amp; add 4 RSVAs'!C26</f>
        <v>0</v>
      </c>
      <c r="D26" s="49">
        <f>'3. 2002 Data &amp; add 4 RSVAs'!D26</f>
        <v>0</v>
      </c>
      <c r="E26" s="68">
        <f>'3. 2002 Data &amp; add 4 RSVAs'!E26</f>
        <v>0</v>
      </c>
      <c r="F26" s="194">
        <f t="shared" si="0"/>
        <v>0</v>
      </c>
      <c r="G26" s="69">
        <f>G32*F26</f>
        <v>0</v>
      </c>
      <c r="H26" s="72"/>
    </row>
    <row r="27" spans="1:8" x14ac:dyDescent="0.2">
      <c r="A27" s="59" t="s">
        <v>47</v>
      </c>
      <c r="B27" s="71">
        <f>'3. 2002 Data &amp; add 4 RSVAs'!B27</f>
        <v>0</v>
      </c>
      <c r="C27" s="49">
        <f>'3. 2002 Data &amp; add 4 RSVAs'!C27</f>
        <v>0</v>
      </c>
      <c r="D27" s="193">
        <f>'3. 2002 Data &amp; add 4 RSVAs'!D27</f>
        <v>0</v>
      </c>
      <c r="E27" s="68">
        <f>'3. 2002 Data &amp; add 4 RSVAs'!E27</f>
        <v>0</v>
      </c>
      <c r="F27" s="194">
        <f t="shared" si="0"/>
        <v>0</v>
      </c>
      <c r="G27" s="69">
        <f>G32*F27</f>
        <v>0</v>
      </c>
      <c r="H27" s="72"/>
    </row>
    <row r="28" spans="1:8" x14ac:dyDescent="0.2">
      <c r="A28" s="59" t="s">
        <v>45</v>
      </c>
      <c r="B28" s="71">
        <f>'3. 2002 Data &amp; add 4 RSVAs'!B28</f>
        <v>412</v>
      </c>
      <c r="C28" s="49">
        <f>'3. 2002 Data &amp; add 4 RSVAs'!C28</f>
        <v>165810</v>
      </c>
      <c r="D28" s="49">
        <f>'3. 2002 Data &amp; add 4 RSVAs'!D28</f>
        <v>202</v>
      </c>
      <c r="E28" s="68">
        <f>'3. 2002 Data &amp; add 4 RSVAs'!E28</f>
        <v>1178.8800000000001</v>
      </c>
      <c r="F28" s="194">
        <f t="shared" si="0"/>
        <v>3.1834868200667079E-4</v>
      </c>
      <c r="G28" s="69">
        <f>G32*F28</f>
        <v>130.60413853664673</v>
      </c>
      <c r="H28" s="70"/>
    </row>
    <row r="29" spans="1:8" x14ac:dyDescent="0.2">
      <c r="A29" s="59" t="s">
        <v>46</v>
      </c>
      <c r="B29" s="73">
        <f>'3. 2002 Data &amp; add 4 RSVAs'!B29</f>
        <v>9777.35</v>
      </c>
      <c r="C29" s="187">
        <f>'3. 2002 Data &amp; add 4 RSVAs'!C29</f>
        <v>3290404.2199999997</v>
      </c>
      <c r="D29" s="195">
        <f>'3. 2002 Data &amp; add 4 RSVAs'!D29</f>
        <v>2682</v>
      </c>
      <c r="E29" s="124">
        <f>'3. 2002 Data &amp; add 4 RSVAs'!E29</f>
        <v>13090.07</v>
      </c>
      <c r="F29" s="196">
        <f t="shared" si="0"/>
        <v>3.5348861053500443E-3</v>
      </c>
      <c r="G29" s="74">
        <f>G32*F29</f>
        <v>1450.2046991503823</v>
      </c>
      <c r="H29" s="75"/>
    </row>
    <row r="30" spans="1:8" x14ac:dyDescent="0.2">
      <c r="A30" s="59"/>
      <c r="B30" s="76"/>
      <c r="C30" s="77"/>
      <c r="D30" s="78"/>
      <c r="E30" s="76"/>
      <c r="F30" s="76"/>
      <c r="G30" s="69"/>
      <c r="H30" s="66"/>
    </row>
    <row r="31" spans="1:8" x14ac:dyDescent="0.2">
      <c r="A31" s="59" t="s">
        <v>43</v>
      </c>
      <c r="B31" s="36"/>
      <c r="C31" s="197">
        <f>SUM(C22:C29)</f>
        <v>186236990.22</v>
      </c>
      <c r="D31" s="197">
        <f>SUM(D22:D29)</f>
        <v>13148</v>
      </c>
      <c r="E31" s="122">
        <f>SUM(E22:E29)</f>
        <v>3703109.4099999997</v>
      </c>
      <c r="F31" s="198">
        <f>SUM(F22:F29)</f>
        <v>1.0000000000000002</v>
      </c>
      <c r="G31" s="45">
        <f>SUM(G22:G29)</f>
        <v>410255.00000000012</v>
      </c>
      <c r="H31" s="66"/>
    </row>
    <row r="32" spans="1:8" x14ac:dyDescent="0.2">
      <c r="A32" s="35"/>
      <c r="B32" s="36"/>
      <c r="C32" s="36" t="s">
        <v>178</v>
      </c>
      <c r="F32" s="36"/>
      <c r="G32" s="106">
        <f>G14</f>
        <v>410255</v>
      </c>
      <c r="H32" s="79"/>
    </row>
    <row r="33" spans="1:7" x14ac:dyDescent="0.2">
      <c r="A33" s="46"/>
      <c r="B33" s="47"/>
      <c r="C33" s="47"/>
      <c r="D33" s="47"/>
      <c r="E33" s="47"/>
      <c r="F33" s="47"/>
      <c r="G33" s="48"/>
    </row>
    <row r="35" spans="1:7" ht="15.75" x14ac:dyDescent="0.25">
      <c r="A35" s="61" t="s">
        <v>51</v>
      </c>
    </row>
    <row r="36" spans="1:7" ht="10.5" customHeight="1" x14ac:dyDescent="0.25">
      <c r="A36" s="27"/>
    </row>
    <row r="37" spans="1:7" ht="15" x14ac:dyDescent="0.2">
      <c r="A37" s="31" t="s">
        <v>193</v>
      </c>
    </row>
    <row r="38" spans="1:7" ht="9" customHeight="1" x14ac:dyDescent="0.2">
      <c r="A38" s="31"/>
    </row>
    <row r="39" spans="1:7" ht="51.75" customHeight="1" x14ac:dyDescent="0.2">
      <c r="A39" s="31"/>
      <c r="B39" s="24" t="s">
        <v>162</v>
      </c>
      <c r="C39" s="24" t="s">
        <v>163</v>
      </c>
      <c r="D39" s="24" t="s">
        <v>194</v>
      </c>
    </row>
    <row r="40" spans="1:7" ht="15" x14ac:dyDescent="0.2">
      <c r="A40" s="31"/>
      <c r="B40" s="32" t="s">
        <v>49</v>
      </c>
      <c r="C40" s="32" t="s">
        <v>49</v>
      </c>
    </row>
    <row r="41" spans="1:7" ht="15" x14ac:dyDescent="0.2">
      <c r="A41" s="31"/>
      <c r="B41" s="33">
        <v>1</v>
      </c>
      <c r="C41" s="33">
        <f>1-B41</f>
        <v>0</v>
      </c>
      <c r="D41" s="34">
        <f>B41+C41</f>
        <v>1</v>
      </c>
    </row>
    <row r="42" spans="1:7" ht="13.5" customHeight="1" x14ac:dyDescent="0.2">
      <c r="B42" s="24"/>
      <c r="C42" s="24"/>
      <c r="D42" s="24"/>
    </row>
    <row r="43" spans="1:7" x14ac:dyDescent="0.2">
      <c r="A43" t="s">
        <v>195</v>
      </c>
      <c r="B43" s="66">
        <f>D43*B41</f>
        <v>275522.72020680056</v>
      </c>
      <c r="C43" s="66">
        <f>D43*C41</f>
        <v>0</v>
      </c>
      <c r="D43" s="66">
        <f>G22</f>
        <v>275522.72020680056</v>
      </c>
    </row>
    <row r="44" spans="1:7" x14ac:dyDescent="0.2">
      <c r="A44" t="s">
        <v>161</v>
      </c>
      <c r="B44" s="66"/>
      <c r="C44" s="66"/>
      <c r="D44" s="66"/>
    </row>
    <row r="45" spans="1:7" x14ac:dyDescent="0.2">
      <c r="B45" s="66"/>
      <c r="C45" s="66"/>
      <c r="D45" s="66"/>
    </row>
    <row r="46" spans="1:7" x14ac:dyDescent="0.2">
      <c r="A46" t="s">
        <v>172</v>
      </c>
      <c r="B46" s="12">
        <f>C22</f>
        <v>91843709</v>
      </c>
    </row>
    <row r="48" spans="1:7" x14ac:dyDescent="0.2">
      <c r="A48" t="s">
        <v>50</v>
      </c>
      <c r="B48" s="80">
        <f>B43/B46</f>
        <v>2.9999084663142311E-3</v>
      </c>
    </row>
    <row r="49" spans="1:4" x14ac:dyDescent="0.2">
      <c r="A49" t="s">
        <v>53</v>
      </c>
    </row>
    <row r="50" spans="1:4" x14ac:dyDescent="0.2">
      <c r="A50" t="s">
        <v>54</v>
      </c>
    </row>
    <row r="53" spans="1:4" ht="15.75" x14ac:dyDescent="0.25">
      <c r="A53" s="61" t="s">
        <v>52</v>
      </c>
    </row>
    <row r="54" spans="1:4" ht="7.5" customHeight="1" x14ac:dyDescent="0.25">
      <c r="A54" s="61"/>
    </row>
    <row r="55" spans="1:4" ht="15" x14ac:dyDescent="0.2">
      <c r="A55" s="31" t="s">
        <v>193</v>
      </c>
    </row>
    <row r="56" spans="1:4" ht="10.5" customHeight="1" x14ac:dyDescent="0.2">
      <c r="A56" s="31"/>
    </row>
    <row r="57" spans="1:4" ht="52.5" customHeight="1" x14ac:dyDescent="0.2">
      <c r="A57" s="31"/>
      <c r="B57" s="24" t="s">
        <v>162</v>
      </c>
      <c r="C57" s="24" t="s">
        <v>163</v>
      </c>
      <c r="D57" s="24" t="s">
        <v>194</v>
      </c>
    </row>
    <row r="58" spans="1:4" ht="13.5" customHeight="1" x14ac:dyDescent="0.2">
      <c r="A58" s="31"/>
      <c r="B58" s="32" t="s">
        <v>49</v>
      </c>
      <c r="C58" s="32" t="s">
        <v>49</v>
      </c>
    </row>
    <row r="59" spans="1:4" ht="15" x14ac:dyDescent="0.2">
      <c r="A59" s="31"/>
      <c r="B59" s="33">
        <v>1</v>
      </c>
      <c r="C59" s="33">
        <f>1-B59</f>
        <v>0</v>
      </c>
      <c r="D59" s="34">
        <f>B59+C59</f>
        <v>1</v>
      </c>
    </row>
    <row r="60" spans="1:4" x14ac:dyDescent="0.2">
      <c r="B60" s="24"/>
      <c r="C60" s="24"/>
      <c r="D60" s="24"/>
    </row>
    <row r="61" spans="1:4" x14ac:dyDescent="0.2">
      <c r="A61" t="s">
        <v>195</v>
      </c>
      <c r="B61" s="66">
        <f>D61*B59</f>
        <v>7009.1862603649088</v>
      </c>
      <c r="C61" s="66">
        <f>D61*C59</f>
        <v>0</v>
      </c>
      <c r="D61" s="66">
        <f>G23</f>
        <v>7009.1862603649088</v>
      </c>
    </row>
    <row r="62" spans="1:4" x14ac:dyDescent="0.2">
      <c r="A62" t="s">
        <v>164</v>
      </c>
      <c r="B62" s="66"/>
      <c r="C62" s="66"/>
      <c r="D62" s="66"/>
    </row>
    <row r="63" spans="1:4" x14ac:dyDescent="0.2">
      <c r="B63" s="66"/>
      <c r="C63" s="66"/>
      <c r="D63" s="66"/>
    </row>
    <row r="64" spans="1:4" x14ac:dyDescent="0.2">
      <c r="A64" t="s">
        <v>172</v>
      </c>
      <c r="B64" s="12">
        <f>C23</f>
        <v>27507264</v>
      </c>
    </row>
    <row r="66" spans="1:4" x14ac:dyDescent="0.2">
      <c r="A66" t="s">
        <v>50</v>
      </c>
      <c r="B66" s="80">
        <f>B61/B64</f>
        <v>2.5481219289438995E-4</v>
      </c>
    </row>
    <row r="67" spans="1:4" x14ac:dyDescent="0.2">
      <c r="A67" t="s">
        <v>53</v>
      </c>
    </row>
    <row r="68" spans="1:4" x14ac:dyDescent="0.2">
      <c r="A68" t="s">
        <v>54</v>
      </c>
    </row>
    <row r="70" spans="1:4" x14ac:dyDescent="0.2">
      <c r="C70" s="66"/>
    </row>
    <row r="71" spans="1:4" ht="15.75" x14ac:dyDescent="0.25">
      <c r="A71" s="61" t="s">
        <v>55</v>
      </c>
    </row>
    <row r="72" spans="1:4" ht="9" customHeight="1" x14ac:dyDescent="0.25">
      <c r="A72" s="61"/>
    </row>
    <row r="73" spans="1:4" ht="15" x14ac:dyDescent="0.2">
      <c r="A73" s="31" t="s">
        <v>193</v>
      </c>
    </row>
    <row r="74" spans="1:4" ht="9" customHeight="1" x14ac:dyDescent="0.2">
      <c r="A74" s="31"/>
    </row>
    <row r="75" spans="1:4" ht="54" customHeight="1" x14ac:dyDescent="0.2">
      <c r="A75" s="31"/>
      <c r="B75" s="24" t="s">
        <v>162</v>
      </c>
      <c r="C75" s="24" t="s">
        <v>163</v>
      </c>
      <c r="D75" s="24" t="s">
        <v>194</v>
      </c>
    </row>
    <row r="76" spans="1:4" ht="15" x14ac:dyDescent="0.2">
      <c r="A76" s="31"/>
      <c r="B76" s="32" t="s">
        <v>49</v>
      </c>
      <c r="C76" s="32" t="s">
        <v>49</v>
      </c>
    </row>
    <row r="77" spans="1:4" ht="15" x14ac:dyDescent="0.2">
      <c r="A77" s="31"/>
      <c r="B77" s="33">
        <v>1</v>
      </c>
      <c r="C77" s="33">
        <f>1-B77</f>
        <v>0</v>
      </c>
      <c r="D77" s="34">
        <f>B77+C77</f>
        <v>1</v>
      </c>
    </row>
    <row r="78" spans="1:4" x14ac:dyDescent="0.2">
      <c r="B78" s="24"/>
      <c r="C78" s="24"/>
      <c r="D78" s="24"/>
    </row>
    <row r="79" spans="1:4" x14ac:dyDescent="0.2">
      <c r="A79" t="s">
        <v>195</v>
      </c>
      <c r="B79" s="66">
        <f>D79*B77</f>
        <v>123459.63638250971</v>
      </c>
      <c r="C79" s="66">
        <f>D79*C77</f>
        <v>0</v>
      </c>
      <c r="D79" s="66">
        <f>G24</f>
        <v>123459.63638250971</v>
      </c>
    </row>
    <row r="80" spans="1:4" x14ac:dyDescent="0.2">
      <c r="A80" t="s">
        <v>165</v>
      </c>
      <c r="B80" s="66"/>
      <c r="C80" s="66"/>
      <c r="D80" s="66"/>
    </row>
    <row r="81" spans="1:4" x14ac:dyDescent="0.2">
      <c r="B81" s="66"/>
      <c r="C81" s="66"/>
      <c r="D81" s="66"/>
    </row>
    <row r="82" spans="1:4" x14ac:dyDescent="0.2">
      <c r="A82" t="s">
        <v>171</v>
      </c>
      <c r="B82" s="12">
        <f>B24</f>
        <v>146975.4</v>
      </c>
    </row>
    <row r="84" spans="1:4" x14ac:dyDescent="0.2">
      <c r="A84" t="s">
        <v>57</v>
      </c>
      <c r="B84" s="80">
        <f>B79/B82</f>
        <v>0.84000204376045051</v>
      </c>
    </row>
    <row r="85" spans="1:4" x14ac:dyDescent="0.2">
      <c r="A85" t="s">
        <v>65</v>
      </c>
    </row>
    <row r="86" spans="1:4" x14ac:dyDescent="0.2">
      <c r="A86" t="s">
        <v>54</v>
      </c>
    </row>
    <row r="88" spans="1:4" x14ac:dyDescent="0.2">
      <c r="B88" s="66"/>
      <c r="C88" s="66"/>
      <c r="D88" s="66"/>
    </row>
    <row r="89" spans="1:4" ht="15.75" x14ac:dyDescent="0.25">
      <c r="A89" s="61" t="s">
        <v>58</v>
      </c>
    </row>
    <row r="90" spans="1:4" ht="9" customHeight="1" x14ac:dyDescent="0.25">
      <c r="A90" s="61"/>
    </row>
    <row r="91" spans="1:4" ht="15" x14ac:dyDescent="0.2">
      <c r="A91" s="31" t="s">
        <v>193</v>
      </c>
    </row>
    <row r="92" spans="1:4" ht="6" customHeight="1" x14ac:dyDescent="0.2">
      <c r="A92" s="31"/>
    </row>
    <row r="93" spans="1:4" ht="51" customHeight="1" x14ac:dyDescent="0.2">
      <c r="A93" s="31"/>
      <c r="B93" s="24" t="s">
        <v>162</v>
      </c>
      <c r="C93" s="24" t="s">
        <v>163</v>
      </c>
      <c r="D93" s="24" t="s">
        <v>194</v>
      </c>
    </row>
    <row r="94" spans="1:4" ht="15" x14ac:dyDescent="0.2">
      <c r="A94" s="31"/>
      <c r="B94" s="32" t="s">
        <v>49</v>
      </c>
      <c r="C94" s="32" t="s">
        <v>49</v>
      </c>
    </row>
    <row r="95" spans="1:4" ht="15" x14ac:dyDescent="0.2">
      <c r="A95" s="31"/>
      <c r="B95" s="33">
        <v>1</v>
      </c>
      <c r="C95" s="33">
        <f>1-B95</f>
        <v>0</v>
      </c>
      <c r="D95" s="34">
        <f>B95+C95</f>
        <v>1</v>
      </c>
    </row>
    <row r="96" spans="1:4" x14ac:dyDescent="0.2">
      <c r="B96" s="24"/>
      <c r="C96" s="24"/>
      <c r="D96" s="24"/>
    </row>
    <row r="97" spans="1:4" x14ac:dyDescent="0.2">
      <c r="A97" t="s">
        <v>195</v>
      </c>
      <c r="B97" s="66">
        <f>D97*B95</f>
        <v>2682.6483126378921</v>
      </c>
      <c r="C97" s="66">
        <f>D97*C95</f>
        <v>0</v>
      </c>
      <c r="D97" s="66">
        <f>G25</f>
        <v>2682.6483126378921</v>
      </c>
    </row>
    <row r="98" spans="1:4" x14ac:dyDescent="0.2">
      <c r="A98" t="s">
        <v>168</v>
      </c>
      <c r="B98" s="66"/>
      <c r="C98" s="66"/>
      <c r="D98" s="66"/>
    </row>
    <row r="99" spans="1:4" x14ac:dyDescent="0.2">
      <c r="B99" s="66"/>
      <c r="C99" s="66"/>
      <c r="D99" s="66"/>
    </row>
    <row r="100" spans="1:4" x14ac:dyDescent="0.2">
      <c r="A100" t="s">
        <v>171</v>
      </c>
      <c r="B100" s="12">
        <f>B25</f>
        <v>60487.49</v>
      </c>
    </row>
    <row r="102" spans="1:4" x14ac:dyDescent="0.2">
      <c r="A102" t="s">
        <v>57</v>
      </c>
      <c r="B102" s="80">
        <f>B97/B100</f>
        <v>4.4350465073652291E-2</v>
      </c>
    </row>
    <row r="103" spans="1:4" x14ac:dyDescent="0.2">
      <c r="A103" t="s">
        <v>65</v>
      </c>
    </row>
    <row r="104" spans="1:4" x14ac:dyDescent="0.2">
      <c r="A104" t="s">
        <v>54</v>
      </c>
    </row>
    <row r="107" spans="1:4" ht="15.75" x14ac:dyDescent="0.25">
      <c r="A107" s="61" t="s">
        <v>60</v>
      </c>
    </row>
    <row r="108" spans="1:4" ht="10.5" customHeight="1" x14ac:dyDescent="0.25">
      <c r="A108" s="61"/>
    </row>
    <row r="109" spans="1:4" ht="15" x14ac:dyDescent="0.2">
      <c r="A109" s="31" t="s">
        <v>193</v>
      </c>
    </row>
    <row r="110" spans="1:4" ht="6" customHeight="1" x14ac:dyDescent="0.2">
      <c r="A110" s="31"/>
    </row>
    <row r="111" spans="1:4" ht="51.75" customHeight="1" x14ac:dyDescent="0.2">
      <c r="A111" s="31"/>
      <c r="B111" s="24" t="s">
        <v>162</v>
      </c>
      <c r="C111" s="24" t="s">
        <v>163</v>
      </c>
      <c r="D111" s="24" t="s">
        <v>194</v>
      </c>
    </row>
    <row r="112" spans="1:4" ht="15" x14ac:dyDescent="0.2">
      <c r="A112" s="31"/>
      <c r="B112" s="32" t="s">
        <v>49</v>
      </c>
      <c r="C112" s="32" t="s">
        <v>49</v>
      </c>
    </row>
    <row r="113" spans="1:4" ht="15" x14ac:dyDescent="0.2">
      <c r="A113" s="31"/>
      <c r="B113" s="33">
        <v>1</v>
      </c>
      <c r="C113" s="33">
        <f>1-B113</f>
        <v>0</v>
      </c>
      <c r="D113" s="34">
        <f>B113+C113</f>
        <v>1</v>
      </c>
    </row>
    <row r="114" spans="1:4" x14ac:dyDescent="0.2">
      <c r="B114" s="24"/>
      <c r="C114" s="24"/>
      <c r="D114" s="24"/>
    </row>
    <row r="115" spans="1:4" x14ac:dyDescent="0.2">
      <c r="A115" t="s">
        <v>195</v>
      </c>
      <c r="B115" s="66">
        <f>D115*B113</f>
        <v>0</v>
      </c>
      <c r="C115" s="66">
        <f>D115*C113</f>
        <v>0</v>
      </c>
      <c r="D115" s="66">
        <f>G26</f>
        <v>0</v>
      </c>
    </row>
    <row r="116" spans="1:4" x14ac:dyDescent="0.2">
      <c r="A116" t="s">
        <v>56</v>
      </c>
      <c r="B116" s="66"/>
      <c r="C116" s="66"/>
      <c r="D116" s="66"/>
    </row>
    <row r="117" spans="1:4" x14ac:dyDescent="0.2">
      <c r="B117" s="66"/>
      <c r="C117" s="66"/>
      <c r="D117" s="66"/>
    </row>
    <row r="118" spans="1:4" x14ac:dyDescent="0.2">
      <c r="A118" t="s">
        <v>171</v>
      </c>
      <c r="B118" s="12">
        <f>B26</f>
        <v>0</v>
      </c>
    </row>
    <row r="120" spans="1:4" x14ac:dyDescent="0.2">
      <c r="A120" t="s">
        <v>57</v>
      </c>
      <c r="B120" s="80" t="e">
        <f>B115/B118</f>
        <v>#DIV/0!</v>
      </c>
    </row>
    <row r="121" spans="1:4" x14ac:dyDescent="0.2">
      <c r="A121" t="s">
        <v>65</v>
      </c>
    </row>
    <row r="122" spans="1:4" x14ac:dyDescent="0.2">
      <c r="A122" t="s">
        <v>54</v>
      </c>
    </row>
    <row r="125" spans="1:4" ht="15.75" x14ac:dyDescent="0.25">
      <c r="A125" s="61" t="s">
        <v>62</v>
      </c>
    </row>
    <row r="126" spans="1:4" ht="10.5" customHeight="1" x14ac:dyDescent="0.25">
      <c r="A126" s="61"/>
    </row>
    <row r="127" spans="1:4" ht="15" x14ac:dyDescent="0.2">
      <c r="A127" s="31" t="s">
        <v>193</v>
      </c>
    </row>
    <row r="128" spans="1:4" ht="9" customHeight="1" x14ac:dyDescent="0.2">
      <c r="A128" s="31"/>
    </row>
    <row r="129" spans="1:4" ht="54.75" customHeight="1" x14ac:dyDescent="0.2">
      <c r="A129" s="31"/>
      <c r="B129" s="24" t="s">
        <v>162</v>
      </c>
      <c r="C129" s="24" t="s">
        <v>163</v>
      </c>
      <c r="D129" s="24" t="s">
        <v>194</v>
      </c>
    </row>
    <row r="130" spans="1:4" ht="15" x14ac:dyDescent="0.2">
      <c r="A130" s="31"/>
      <c r="B130" s="32" t="s">
        <v>49</v>
      </c>
      <c r="C130" s="32" t="s">
        <v>49</v>
      </c>
    </row>
    <row r="131" spans="1:4" ht="15" x14ac:dyDescent="0.2">
      <c r="A131" s="31"/>
      <c r="B131" s="33">
        <v>1</v>
      </c>
      <c r="C131" s="33">
        <f>1-B131</f>
        <v>0</v>
      </c>
      <c r="D131" s="34">
        <f>B131+C131</f>
        <v>1</v>
      </c>
    </row>
    <row r="132" spans="1:4" x14ac:dyDescent="0.2">
      <c r="B132" s="24"/>
      <c r="C132" s="24"/>
      <c r="D132" s="24"/>
    </row>
    <row r="133" spans="1:4" x14ac:dyDescent="0.2">
      <c r="A133" t="s">
        <v>195</v>
      </c>
      <c r="B133" s="66">
        <f>D133*B131</f>
        <v>0</v>
      </c>
      <c r="C133" s="66">
        <f>D133*C131</f>
        <v>0</v>
      </c>
      <c r="D133" s="66">
        <f>G27</f>
        <v>0</v>
      </c>
    </row>
    <row r="134" spans="1:4" x14ac:dyDescent="0.2">
      <c r="A134" t="s">
        <v>59</v>
      </c>
      <c r="B134" s="66"/>
      <c r="C134" s="66"/>
      <c r="D134" s="66"/>
    </row>
    <row r="135" spans="1:4" x14ac:dyDescent="0.2">
      <c r="B135" s="66"/>
      <c r="C135" s="66"/>
      <c r="D135" s="66"/>
    </row>
    <row r="136" spans="1:4" x14ac:dyDescent="0.2">
      <c r="A136" t="s">
        <v>171</v>
      </c>
      <c r="B136" s="12">
        <f>B27</f>
        <v>0</v>
      </c>
    </row>
    <row r="138" spans="1:4" x14ac:dyDescent="0.2">
      <c r="A138" t="s">
        <v>57</v>
      </c>
      <c r="B138" s="80" t="e">
        <f>B133/B136</f>
        <v>#DIV/0!</v>
      </c>
    </row>
    <row r="139" spans="1:4" x14ac:dyDescent="0.2">
      <c r="A139" t="s">
        <v>65</v>
      </c>
    </row>
    <row r="140" spans="1:4" x14ac:dyDescent="0.2">
      <c r="A140" t="s">
        <v>54</v>
      </c>
    </row>
    <row r="143" spans="1:4" ht="15.75" x14ac:dyDescent="0.25">
      <c r="A143" s="61" t="s">
        <v>66</v>
      </c>
    </row>
    <row r="144" spans="1:4" ht="6.75" customHeight="1" x14ac:dyDescent="0.25">
      <c r="A144" s="61"/>
    </row>
    <row r="145" spans="1:4" ht="15" x14ac:dyDescent="0.2">
      <c r="A145" s="31" t="s">
        <v>193</v>
      </c>
    </row>
    <row r="146" spans="1:4" ht="6.75" customHeight="1" x14ac:dyDescent="0.2">
      <c r="A146" s="31"/>
    </row>
    <row r="147" spans="1:4" ht="54" customHeight="1" x14ac:dyDescent="0.2">
      <c r="A147" s="31"/>
      <c r="B147" s="24" t="s">
        <v>162</v>
      </c>
      <c r="C147" s="24" t="s">
        <v>163</v>
      </c>
      <c r="D147" s="24" t="s">
        <v>194</v>
      </c>
    </row>
    <row r="148" spans="1:4" ht="15" x14ac:dyDescent="0.2">
      <c r="A148" s="31"/>
      <c r="B148" s="32" t="s">
        <v>49</v>
      </c>
      <c r="C148" s="32" t="s">
        <v>49</v>
      </c>
    </row>
    <row r="149" spans="1:4" ht="15" x14ac:dyDescent="0.2">
      <c r="A149" s="31"/>
      <c r="B149" s="33">
        <v>1</v>
      </c>
      <c r="C149" s="33">
        <f>1-B149</f>
        <v>0</v>
      </c>
      <c r="D149" s="34">
        <f>B149+C149</f>
        <v>1</v>
      </c>
    </row>
    <row r="150" spans="1:4" x14ac:dyDescent="0.2">
      <c r="B150" s="24"/>
      <c r="C150" s="24"/>
      <c r="D150" s="24"/>
    </row>
    <row r="151" spans="1:4" x14ac:dyDescent="0.2">
      <c r="A151" t="s">
        <v>195</v>
      </c>
      <c r="B151" s="66">
        <f>D151*B149</f>
        <v>130.60413853664673</v>
      </c>
      <c r="C151" s="66">
        <f>D151*C149</f>
        <v>0</v>
      </c>
      <c r="D151" s="66">
        <f>G28</f>
        <v>130.60413853664673</v>
      </c>
    </row>
    <row r="152" spans="1:4" x14ac:dyDescent="0.2">
      <c r="A152" t="s">
        <v>61</v>
      </c>
      <c r="B152" s="66"/>
      <c r="C152" s="66"/>
      <c r="D152" s="66"/>
    </row>
    <row r="153" spans="1:4" x14ac:dyDescent="0.2">
      <c r="B153" s="66"/>
      <c r="C153" s="66"/>
      <c r="D153" s="66"/>
    </row>
    <row r="154" spans="1:4" x14ac:dyDescent="0.2">
      <c r="A154" t="s">
        <v>171</v>
      </c>
      <c r="B154" s="12">
        <f>B28</f>
        <v>412</v>
      </c>
    </row>
    <row r="156" spans="1:4" x14ac:dyDescent="0.2">
      <c r="A156" t="s">
        <v>57</v>
      </c>
      <c r="B156" s="80">
        <f>B151/B154</f>
        <v>0.31700033625399693</v>
      </c>
    </row>
    <row r="157" spans="1:4" x14ac:dyDescent="0.2">
      <c r="A157" t="s">
        <v>65</v>
      </c>
    </row>
    <row r="158" spans="1:4" x14ac:dyDescent="0.2">
      <c r="A158" t="s">
        <v>54</v>
      </c>
    </row>
    <row r="161" spans="1:7" ht="15.75" x14ac:dyDescent="0.25">
      <c r="A161" s="61" t="s">
        <v>64</v>
      </c>
    </row>
    <row r="162" spans="1:7" ht="9.75" customHeight="1" x14ac:dyDescent="0.25">
      <c r="A162" s="61"/>
    </row>
    <row r="163" spans="1:7" ht="15" x14ac:dyDescent="0.2">
      <c r="A163" s="31" t="s">
        <v>193</v>
      </c>
    </row>
    <row r="164" spans="1:7" ht="9" customHeight="1" x14ac:dyDescent="0.2">
      <c r="A164" s="31"/>
    </row>
    <row r="165" spans="1:7" ht="54.75" customHeight="1" x14ac:dyDescent="0.2">
      <c r="A165" s="31"/>
      <c r="B165" s="24" t="s">
        <v>162</v>
      </c>
      <c r="C165" s="24" t="s">
        <v>163</v>
      </c>
      <c r="D165" s="24" t="s">
        <v>194</v>
      </c>
      <c r="G165" s="24"/>
    </row>
    <row r="166" spans="1:7" ht="15" x14ac:dyDescent="0.2">
      <c r="A166" s="31"/>
      <c r="B166" s="32" t="s">
        <v>49</v>
      </c>
      <c r="C166" s="32" t="s">
        <v>49</v>
      </c>
    </row>
    <row r="167" spans="1:7" ht="15" x14ac:dyDescent="0.2">
      <c r="A167" s="31"/>
      <c r="B167" s="33">
        <v>1</v>
      </c>
      <c r="C167" s="33">
        <f>1-B167</f>
        <v>0</v>
      </c>
      <c r="D167" s="34">
        <f>B167+C167</f>
        <v>1</v>
      </c>
    </row>
    <row r="168" spans="1:7" x14ac:dyDescent="0.2">
      <c r="B168" s="24"/>
      <c r="C168" s="24"/>
      <c r="D168" s="24"/>
    </row>
    <row r="169" spans="1:7" x14ac:dyDescent="0.2">
      <c r="A169" t="s">
        <v>195</v>
      </c>
      <c r="B169" s="66">
        <f>D169*B167</f>
        <v>1450.2046991503823</v>
      </c>
      <c r="C169" s="66">
        <f>D169*C167</f>
        <v>0</v>
      </c>
      <c r="D169" s="66">
        <f>G29</f>
        <v>1450.2046991503823</v>
      </c>
    </row>
    <row r="170" spans="1:7" x14ac:dyDescent="0.2">
      <c r="A170" t="s">
        <v>63</v>
      </c>
      <c r="B170" s="66"/>
      <c r="C170" s="66"/>
      <c r="D170" s="66"/>
    </row>
    <row r="171" spans="1:7" x14ac:dyDescent="0.2">
      <c r="B171" s="66"/>
      <c r="C171" s="66"/>
      <c r="D171" s="66"/>
    </row>
    <row r="172" spans="1:7" x14ac:dyDescent="0.2">
      <c r="A172" t="s">
        <v>171</v>
      </c>
      <c r="B172" s="12">
        <f>B29</f>
        <v>9777.35</v>
      </c>
    </row>
    <row r="174" spans="1:7" x14ac:dyDescent="0.2">
      <c r="A174" t="s">
        <v>57</v>
      </c>
      <c r="B174" s="80">
        <f>B169/B172</f>
        <v>0.14832287881178258</v>
      </c>
    </row>
    <row r="175" spans="1:7" x14ac:dyDescent="0.2">
      <c r="A175" t="s">
        <v>65</v>
      </c>
    </row>
    <row r="176" spans="1:7" x14ac:dyDescent="0.2">
      <c r="A176" t="s">
        <v>54</v>
      </c>
    </row>
    <row r="178" spans="3:3" x14ac:dyDescent="0.2">
      <c r="C178" s="81"/>
    </row>
  </sheetData>
  <phoneticPr fontId="0" type="noConversion"/>
  <pageMargins left="0.31" right="0.17" top="0.45" bottom="0.5" header="0.28000000000000003" footer="0.23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75" workbookViewId="0">
      <selection activeCell="B2" sqref="B2"/>
    </sheetView>
  </sheetViews>
  <sheetFormatPr defaultRowHeight="12.75" x14ac:dyDescent="0.2"/>
  <cols>
    <col min="1" max="1" width="37.85546875" customWidth="1"/>
    <col min="2" max="3" width="14.28515625" customWidth="1"/>
    <col min="4" max="5" width="19.85546875" customWidth="1"/>
    <col min="6" max="6" width="14.85546875" customWidth="1"/>
    <col min="7" max="7" width="13.140625" customWidth="1"/>
  </cols>
  <sheetData>
    <row r="1" spans="1:8" ht="18" x14ac:dyDescent="0.25">
      <c r="A1" s="15" t="s">
        <v>204</v>
      </c>
    </row>
    <row r="3" spans="1:8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07" t="str">
        <f>'2. 2002 Base Rate Schedule'!F3</f>
        <v>ED-2003-0015</v>
      </c>
    </row>
    <row r="4" spans="1:8" ht="18" x14ac:dyDescent="0.25">
      <c r="A4" s="111" t="s">
        <v>3</v>
      </c>
      <c r="B4" s="107" t="str">
        <f>'2. 2002 Base Rate Schedule'!B4</f>
        <v>Sandra Slater</v>
      </c>
      <c r="C4" s="15"/>
      <c r="E4" s="111" t="s">
        <v>4</v>
      </c>
      <c r="F4" s="107" t="str">
        <f>'2. 2002 Base Rate Schedule'!F4</f>
        <v>519-776-5291</v>
      </c>
    </row>
    <row r="5" spans="1:8" ht="18" x14ac:dyDescent="0.25">
      <c r="A5" s="27" t="s">
        <v>38</v>
      </c>
      <c r="B5" s="107" t="str">
        <f>'2. 2002 Base Rate Schedule'!B5</f>
        <v>sslater@elkenergyinc.com</v>
      </c>
      <c r="C5" s="15"/>
    </row>
    <row r="6" spans="1:8" ht="18" x14ac:dyDescent="0.25">
      <c r="A6" s="111" t="s">
        <v>2</v>
      </c>
      <c r="B6" s="107">
        <f>'2. 2002 Base Rate Schedule'!B6</f>
        <v>1</v>
      </c>
      <c r="C6" s="15"/>
    </row>
    <row r="7" spans="1:8" ht="18" x14ac:dyDescent="0.25">
      <c r="A7" s="27" t="s">
        <v>39</v>
      </c>
      <c r="B7" s="110">
        <f>'2. 2002 Base Rate Schedule'!B7</f>
        <v>38031</v>
      </c>
      <c r="C7" s="15"/>
    </row>
    <row r="8" spans="1:8" ht="18" x14ac:dyDescent="0.25">
      <c r="A8" s="27"/>
      <c r="B8" s="138"/>
      <c r="C8" s="15"/>
    </row>
    <row r="9" spans="1:8" ht="18" x14ac:dyDescent="0.25">
      <c r="A9" s="27"/>
      <c r="B9" s="138"/>
      <c r="C9" s="15"/>
    </row>
    <row r="10" spans="1:8" ht="18" x14ac:dyDescent="0.25">
      <c r="C10" s="15"/>
    </row>
    <row r="11" spans="1:8" ht="14.25" x14ac:dyDescent="0.2">
      <c r="A11" s="125" t="s">
        <v>205</v>
      </c>
      <c r="B11" s="4"/>
    </row>
    <row r="12" spans="1:8" ht="14.25" x14ac:dyDescent="0.2">
      <c r="A12" s="125"/>
    </row>
    <row r="14" spans="1:8" ht="18" x14ac:dyDescent="0.25">
      <c r="A14" s="99" t="s">
        <v>6</v>
      </c>
      <c r="B14" s="16"/>
      <c r="C14" s="6"/>
      <c r="E14" s="14"/>
      <c r="G14" s="14"/>
    </row>
    <row r="15" spans="1:8" x14ac:dyDescent="0.2">
      <c r="B15" s="14"/>
      <c r="C15" s="14"/>
      <c r="D15" s="17"/>
      <c r="E15" s="14"/>
      <c r="F15" s="14"/>
      <c r="G15" s="14"/>
    </row>
    <row r="16" spans="1:8" x14ac:dyDescent="0.2">
      <c r="A16" t="s">
        <v>8</v>
      </c>
      <c r="B16" s="14">
        <f>'6. 2004 Rate Sch. with Interims'!B16+'7. 2002 Data &amp; 2004 PILs'!B48</f>
        <v>1.1484491400852399E-2</v>
      </c>
      <c r="C16" s="14"/>
      <c r="D16" s="17"/>
      <c r="E16" s="14"/>
      <c r="F16" s="19"/>
      <c r="G16" s="19"/>
      <c r="H16" s="19"/>
    </row>
    <row r="17" spans="1:8" x14ac:dyDescent="0.2">
      <c r="B17" s="14"/>
      <c r="C17" s="14"/>
      <c r="D17" s="17"/>
      <c r="E17" s="14"/>
      <c r="F17" s="14"/>
      <c r="G17" s="14"/>
    </row>
    <row r="18" spans="1:8" x14ac:dyDescent="0.2">
      <c r="A18" t="s">
        <v>79</v>
      </c>
      <c r="B18" s="17">
        <f>'2. 2002 Base Rate Schedule'!B18</f>
        <v>11.73</v>
      </c>
      <c r="C18" s="14"/>
      <c r="D18" s="17"/>
      <c r="E18" s="14"/>
      <c r="F18" s="19"/>
      <c r="G18" s="81"/>
      <c r="H18" s="19"/>
    </row>
    <row r="19" spans="1:8" x14ac:dyDescent="0.2">
      <c r="B19" s="14"/>
      <c r="C19" s="14"/>
      <c r="D19" s="17"/>
      <c r="E19" s="14"/>
      <c r="F19" s="14"/>
      <c r="G19" s="14"/>
    </row>
    <row r="20" spans="1:8" x14ac:dyDescent="0.2">
      <c r="B20" s="14"/>
      <c r="C20" s="14"/>
      <c r="D20" s="14"/>
      <c r="E20" s="14"/>
      <c r="F20" s="14"/>
      <c r="G20" s="14"/>
    </row>
    <row r="21" spans="1:8" ht="18" x14ac:dyDescent="0.25">
      <c r="A21" s="99" t="s">
        <v>9</v>
      </c>
      <c r="B21" s="16"/>
      <c r="C21" s="6"/>
      <c r="D21" s="14"/>
      <c r="E21" s="14"/>
      <c r="F21" s="14"/>
      <c r="G21" s="14"/>
    </row>
    <row r="22" spans="1:8" x14ac:dyDescent="0.2">
      <c r="B22" s="14"/>
      <c r="C22" s="14"/>
      <c r="D22" s="14"/>
      <c r="E22" s="14"/>
      <c r="F22" s="14"/>
      <c r="G22" s="14"/>
    </row>
    <row r="23" spans="1:8" x14ac:dyDescent="0.2">
      <c r="A23" t="s">
        <v>8</v>
      </c>
      <c r="B23" s="14">
        <f>'6. 2004 Rate Sch. with Interims'!B23+'7. 2002 Data &amp; 2004 PILs'!B48</f>
        <v>5.2844914008523996E-3</v>
      </c>
      <c r="C23" s="14"/>
      <c r="D23" s="14"/>
      <c r="E23" s="14"/>
      <c r="F23" s="14"/>
      <c r="G23" s="14"/>
    </row>
    <row r="24" spans="1:8" x14ac:dyDescent="0.2">
      <c r="B24" s="14"/>
      <c r="C24" s="14"/>
      <c r="D24" s="14"/>
      <c r="E24" s="14"/>
      <c r="F24" s="14"/>
      <c r="G24" s="14"/>
    </row>
    <row r="25" spans="1:8" x14ac:dyDescent="0.2">
      <c r="A25" t="s">
        <v>79</v>
      </c>
      <c r="B25" s="17">
        <f>'2. 2002 Base Rate Schedule'!B25</f>
        <v>0</v>
      </c>
      <c r="C25" s="14"/>
      <c r="D25" s="14"/>
      <c r="E25" s="14"/>
      <c r="F25" s="14"/>
      <c r="G25" s="14"/>
    </row>
    <row r="26" spans="1:8" x14ac:dyDescent="0.2">
      <c r="B26" s="17"/>
      <c r="C26" s="14"/>
      <c r="D26" s="14"/>
      <c r="E26" s="14"/>
      <c r="F26" s="14"/>
      <c r="G26" s="14"/>
    </row>
    <row r="27" spans="1:8" x14ac:dyDescent="0.2">
      <c r="B27" s="14"/>
      <c r="C27" s="14"/>
      <c r="D27" s="17"/>
      <c r="E27" s="14"/>
      <c r="F27" s="14"/>
      <c r="G27" s="14"/>
    </row>
    <row r="28" spans="1:8" ht="18" x14ac:dyDescent="0.25">
      <c r="A28" s="99" t="s">
        <v>10</v>
      </c>
      <c r="B28" s="16"/>
      <c r="C28" s="6"/>
      <c r="D28" s="17"/>
      <c r="E28" s="14"/>
      <c r="F28" s="14"/>
      <c r="G28" s="14"/>
    </row>
    <row r="29" spans="1:8" x14ac:dyDescent="0.2">
      <c r="B29" s="14"/>
      <c r="C29" s="14"/>
      <c r="D29" s="17"/>
      <c r="E29" s="14"/>
      <c r="F29" s="14"/>
      <c r="G29" s="14"/>
    </row>
    <row r="30" spans="1:8" x14ac:dyDescent="0.2">
      <c r="A30" t="s">
        <v>8</v>
      </c>
      <c r="B30" s="14">
        <f>'6. 2004 Rate Sch. with Interims'!B30+'7. 2002 Data &amp; 2004 PILs'!B66</f>
        <v>3.8393951274325582E-3</v>
      </c>
      <c r="C30" s="14"/>
      <c r="D30" s="17"/>
      <c r="E30" s="14"/>
      <c r="F30" s="14"/>
      <c r="G30" s="20"/>
      <c r="H30" s="19"/>
    </row>
    <row r="31" spans="1:8" x14ac:dyDescent="0.2">
      <c r="B31" s="14"/>
      <c r="C31" s="14"/>
      <c r="D31" s="17"/>
      <c r="E31" s="14"/>
      <c r="F31" s="14"/>
      <c r="G31" s="20"/>
    </row>
    <row r="32" spans="1:8" x14ac:dyDescent="0.2">
      <c r="A32" t="s">
        <v>79</v>
      </c>
      <c r="B32" s="17">
        <f>'2. 2002 Base Rate Schedule'!B32</f>
        <v>11.46</v>
      </c>
      <c r="C32" s="14"/>
      <c r="D32" s="17"/>
      <c r="E32" s="14"/>
      <c r="F32" s="14"/>
      <c r="G32" s="20"/>
      <c r="H32" s="19"/>
    </row>
    <row r="33" spans="1:7" x14ac:dyDescent="0.2">
      <c r="B33" s="14"/>
      <c r="C33" s="14"/>
      <c r="D33" s="17"/>
      <c r="E33" s="14"/>
      <c r="F33" s="14"/>
      <c r="G33" s="14"/>
    </row>
    <row r="34" spans="1:7" x14ac:dyDescent="0.2">
      <c r="B34" s="14"/>
      <c r="C34" s="14"/>
      <c r="D34" s="17"/>
      <c r="E34" s="14"/>
      <c r="F34" s="14"/>
      <c r="G34" s="14"/>
    </row>
    <row r="35" spans="1:7" ht="18" x14ac:dyDescent="0.25">
      <c r="A35" s="99" t="s">
        <v>11</v>
      </c>
      <c r="B35" s="16"/>
      <c r="C35" s="6"/>
      <c r="D35" s="17"/>
      <c r="E35" s="14"/>
      <c r="F35" s="14"/>
      <c r="G35" s="14"/>
    </row>
    <row r="36" spans="1:7" x14ac:dyDescent="0.2">
      <c r="B36" s="14"/>
      <c r="C36" s="14"/>
      <c r="D36" s="17"/>
      <c r="E36" s="14"/>
      <c r="F36" s="14"/>
      <c r="G36" s="14"/>
    </row>
    <row r="37" spans="1:7" x14ac:dyDescent="0.2">
      <c r="A37" t="s">
        <v>12</v>
      </c>
      <c r="B37" s="14">
        <f>'6. 2004 Rate Sch. with Interims'!B37+'7. 2002 Data &amp; 2004 PILs'!B84</f>
        <v>3.9540118880526629</v>
      </c>
      <c r="C37" s="14"/>
      <c r="D37" s="17"/>
      <c r="E37" s="14"/>
      <c r="F37" s="14"/>
      <c r="G37" s="14"/>
    </row>
    <row r="38" spans="1:7" x14ac:dyDescent="0.2">
      <c r="B38" s="14"/>
      <c r="C38" s="14"/>
      <c r="D38" s="17"/>
      <c r="E38" s="14"/>
      <c r="F38" s="14"/>
      <c r="G38" s="14"/>
    </row>
    <row r="39" spans="1:7" x14ac:dyDescent="0.2">
      <c r="A39" t="s">
        <v>79</v>
      </c>
      <c r="B39" s="17">
        <f>'2. 2002 Base Rate Schedule'!B39</f>
        <v>461.79</v>
      </c>
      <c r="C39" s="14"/>
      <c r="D39" s="17"/>
      <c r="E39" s="14"/>
      <c r="F39" s="14"/>
      <c r="G39" s="14"/>
    </row>
    <row r="40" spans="1:7" x14ac:dyDescent="0.2">
      <c r="B40" s="14"/>
      <c r="C40" s="14"/>
      <c r="D40" s="17"/>
      <c r="E40" s="14"/>
      <c r="F40" s="14"/>
      <c r="G40" s="14"/>
    </row>
    <row r="41" spans="1:7" x14ac:dyDescent="0.2">
      <c r="B41" s="14"/>
      <c r="C41" s="14"/>
      <c r="D41" s="17"/>
      <c r="E41" s="14"/>
      <c r="F41" s="14"/>
      <c r="G41" s="14"/>
    </row>
    <row r="42" spans="1:7" ht="18" x14ac:dyDescent="0.25">
      <c r="A42" s="99" t="s">
        <v>14</v>
      </c>
      <c r="B42" s="16"/>
      <c r="C42" s="6"/>
      <c r="D42" s="17"/>
      <c r="E42" s="14"/>
      <c r="F42" s="14"/>
      <c r="G42" s="14"/>
    </row>
    <row r="43" spans="1:7" ht="18" x14ac:dyDescent="0.25">
      <c r="A43" s="15"/>
      <c r="B43" s="14"/>
      <c r="C43" s="14"/>
      <c r="D43" s="17"/>
      <c r="E43" s="14"/>
      <c r="F43" s="14"/>
      <c r="G43" s="14"/>
    </row>
    <row r="44" spans="1:7" x14ac:dyDescent="0.2">
      <c r="A44" t="s">
        <v>12</v>
      </c>
      <c r="B44" s="14">
        <f>'6. 2004 Rate Sch. with Interims'!B44+'7. 2002 Data &amp; 2004 PILs'!B102</f>
        <v>0.85381390801866897</v>
      </c>
      <c r="C44" s="14"/>
      <c r="D44" s="17"/>
      <c r="E44" s="14"/>
      <c r="F44" s="14"/>
      <c r="G44" s="14"/>
    </row>
    <row r="45" spans="1:7" x14ac:dyDescent="0.2">
      <c r="B45" s="14"/>
      <c r="C45" s="14"/>
      <c r="D45" s="17"/>
      <c r="E45" s="14"/>
      <c r="F45" s="14"/>
      <c r="G45" s="14"/>
    </row>
    <row r="46" spans="1:7" x14ac:dyDescent="0.2">
      <c r="A46" t="s">
        <v>79</v>
      </c>
      <c r="B46" s="17">
        <f>'2. 2002 Base Rate Schedule'!B46</f>
        <v>882.08</v>
      </c>
      <c r="C46" s="14"/>
      <c r="D46" s="17"/>
      <c r="E46" s="14"/>
      <c r="F46" s="14"/>
      <c r="G46" s="14"/>
    </row>
    <row r="47" spans="1:7" x14ac:dyDescent="0.2">
      <c r="B47" s="14"/>
      <c r="C47" s="14"/>
      <c r="D47" s="17"/>
      <c r="E47" s="14"/>
      <c r="F47" s="14"/>
      <c r="G47" s="14"/>
    </row>
    <row r="48" spans="1:7" ht="12.75" customHeight="1" x14ac:dyDescent="0.25">
      <c r="A48" s="15"/>
      <c r="B48" s="14"/>
      <c r="C48" s="14"/>
      <c r="D48" s="17"/>
      <c r="E48" s="14"/>
      <c r="F48" s="14"/>
      <c r="G48" s="14"/>
    </row>
    <row r="49" spans="1:7" ht="18" x14ac:dyDescent="0.25">
      <c r="A49" s="102" t="s">
        <v>15</v>
      </c>
      <c r="B49" s="14"/>
      <c r="C49" s="14"/>
      <c r="D49" s="17"/>
      <c r="E49" s="14"/>
      <c r="F49" s="14"/>
      <c r="G49" s="14"/>
    </row>
    <row r="50" spans="1:7" x14ac:dyDescent="0.2">
      <c r="B50" s="14"/>
      <c r="C50" s="14"/>
      <c r="D50" s="17"/>
      <c r="E50" s="14"/>
      <c r="F50" s="14"/>
      <c r="G50" s="14"/>
    </row>
    <row r="51" spans="1:7" x14ac:dyDescent="0.2">
      <c r="A51" t="s">
        <v>12</v>
      </c>
      <c r="B51" s="14" t="e">
        <f>'6. 2004 Rate Sch. with Interims'!B51+'7. 2002 Data &amp; 2004 PILs'!B120</f>
        <v>#DIV/0!</v>
      </c>
      <c r="C51" s="14"/>
      <c r="D51" s="17"/>
      <c r="E51" s="14"/>
      <c r="F51" s="14"/>
      <c r="G51" s="14"/>
    </row>
    <row r="52" spans="1:7" x14ac:dyDescent="0.2">
      <c r="B52" s="14"/>
      <c r="C52" s="14"/>
      <c r="D52" s="17"/>
      <c r="E52" s="14"/>
      <c r="F52" s="14"/>
      <c r="G52" s="14"/>
    </row>
    <row r="53" spans="1:7" x14ac:dyDescent="0.2">
      <c r="A53" t="s">
        <v>79</v>
      </c>
      <c r="B53" s="17">
        <f>'2. 2002 Base Rate Schedule'!B53</f>
        <v>0</v>
      </c>
      <c r="C53" s="14"/>
      <c r="D53" s="17"/>
      <c r="E53" s="14"/>
      <c r="F53" s="14"/>
      <c r="G53" s="14"/>
    </row>
    <row r="54" spans="1:7" x14ac:dyDescent="0.2">
      <c r="B54" s="14"/>
      <c r="C54" s="14"/>
      <c r="D54" s="17"/>
      <c r="E54" s="14"/>
      <c r="F54" s="14"/>
      <c r="G54" s="14"/>
    </row>
    <row r="55" spans="1:7" x14ac:dyDescent="0.2">
      <c r="B55" s="14"/>
      <c r="C55" s="14"/>
      <c r="D55" s="17"/>
      <c r="E55" s="14"/>
      <c r="F55" s="14"/>
      <c r="G55" s="14"/>
    </row>
    <row r="56" spans="1:7" ht="18" x14ac:dyDescent="0.25">
      <c r="A56" s="99" t="s">
        <v>7</v>
      </c>
      <c r="B56" s="14"/>
      <c r="C56" s="14"/>
      <c r="D56" s="17"/>
      <c r="E56" s="14"/>
      <c r="F56" s="14"/>
      <c r="G56" s="14"/>
    </row>
    <row r="57" spans="1:7" x14ac:dyDescent="0.2">
      <c r="B57" s="14"/>
      <c r="C57" s="14"/>
      <c r="D57" s="17"/>
      <c r="E57" s="14"/>
      <c r="F57" s="14"/>
      <c r="G57" s="14"/>
    </row>
    <row r="58" spans="1:7" x14ac:dyDescent="0.2">
      <c r="A58" t="s">
        <v>12</v>
      </c>
      <c r="B58" s="14" t="e">
        <f>'6. 2004 Rate Sch. with Interims'!B58+'7. 2002 Data &amp; 2004 PILs'!B138</f>
        <v>#DIV/0!</v>
      </c>
      <c r="C58" s="14"/>
      <c r="D58" s="17"/>
      <c r="E58" s="14"/>
      <c r="F58" s="14"/>
      <c r="G58" s="14"/>
    </row>
    <row r="59" spans="1:7" x14ac:dyDescent="0.2">
      <c r="B59" s="14"/>
      <c r="C59" s="14"/>
      <c r="D59" s="17"/>
      <c r="E59" s="14"/>
      <c r="F59" s="14"/>
      <c r="G59" s="14"/>
    </row>
    <row r="60" spans="1:7" x14ac:dyDescent="0.2">
      <c r="A60" t="s">
        <v>79</v>
      </c>
      <c r="B60" s="17">
        <f>'2. 2002 Base Rate Schedule'!B60</f>
        <v>0</v>
      </c>
      <c r="C60" s="14"/>
      <c r="D60" s="17"/>
      <c r="E60" s="14"/>
      <c r="F60" s="14"/>
      <c r="G60" s="14"/>
    </row>
    <row r="61" spans="1:7" x14ac:dyDescent="0.2">
      <c r="B61" s="14"/>
      <c r="C61" s="14"/>
      <c r="D61" s="17"/>
      <c r="E61" s="14"/>
      <c r="F61" s="14"/>
      <c r="G61" s="14"/>
    </row>
    <row r="62" spans="1:7" x14ac:dyDescent="0.2">
      <c r="C62" s="14"/>
      <c r="E62" s="14"/>
      <c r="F62" s="14"/>
      <c r="G62" s="14"/>
    </row>
    <row r="63" spans="1:7" ht="18" x14ac:dyDescent="0.25">
      <c r="A63" s="99" t="s">
        <v>16</v>
      </c>
      <c r="B63" s="14"/>
      <c r="C63" s="14"/>
      <c r="D63" s="17"/>
      <c r="E63" s="14"/>
      <c r="F63" s="14"/>
      <c r="G63" s="14"/>
    </row>
    <row r="64" spans="1:7" x14ac:dyDescent="0.2">
      <c r="B64" s="14"/>
      <c r="C64" s="14"/>
      <c r="D64" s="17"/>
      <c r="E64" s="14"/>
      <c r="F64" s="14"/>
      <c r="G64" s="14"/>
    </row>
    <row r="65" spans="1:7" x14ac:dyDescent="0.2">
      <c r="A65" t="s">
        <v>12</v>
      </c>
      <c r="B65" s="14">
        <f>'6. 2004 Rate Sch. with Interims'!B65+'7. 2002 Data &amp; 2004 PILs'!B156</f>
        <v>1.9054340653214088</v>
      </c>
      <c r="C65" s="14"/>
      <c r="D65" s="17"/>
      <c r="E65" s="14"/>
      <c r="F65" s="14"/>
      <c r="G65" s="14"/>
    </row>
    <row r="66" spans="1:7" x14ac:dyDescent="0.2">
      <c r="B66" s="14"/>
      <c r="C66" s="14"/>
      <c r="D66" s="17"/>
      <c r="E66" s="14"/>
      <c r="F66" s="14"/>
      <c r="G66" s="14"/>
    </row>
    <row r="67" spans="1:7" x14ac:dyDescent="0.2">
      <c r="A67" t="s">
        <v>82</v>
      </c>
      <c r="B67" s="17">
        <f>'2. 2002 Base Rate Schedule'!B67</f>
        <v>0.38</v>
      </c>
      <c r="C67" s="14"/>
      <c r="D67" s="17"/>
      <c r="E67" s="14"/>
      <c r="F67" s="14"/>
      <c r="G67" s="14"/>
    </row>
    <row r="68" spans="1:7" x14ac:dyDescent="0.2">
      <c r="B68" s="14"/>
      <c r="C68" s="14"/>
      <c r="D68" s="17"/>
      <c r="E68" s="14"/>
      <c r="F68" s="14"/>
      <c r="G68" s="14"/>
    </row>
    <row r="69" spans="1:7" x14ac:dyDescent="0.2">
      <c r="A69" s="4" t="s">
        <v>17</v>
      </c>
      <c r="B69" s="14"/>
      <c r="C69" s="14"/>
      <c r="D69" s="17"/>
      <c r="E69" s="14"/>
      <c r="F69" s="14"/>
      <c r="G69" s="14"/>
    </row>
    <row r="70" spans="1:7" x14ac:dyDescent="0.2">
      <c r="B70" s="14"/>
      <c r="C70" s="14"/>
      <c r="D70" s="17"/>
      <c r="E70" s="14"/>
      <c r="F70" s="14"/>
      <c r="G70" s="14"/>
    </row>
    <row r="71" spans="1:7" ht="18" x14ac:dyDescent="0.25">
      <c r="A71" s="99" t="s">
        <v>18</v>
      </c>
      <c r="B71" s="14"/>
      <c r="C71" s="14"/>
      <c r="D71" s="17"/>
      <c r="E71" s="14"/>
      <c r="F71" s="14"/>
      <c r="G71" s="14"/>
    </row>
    <row r="72" spans="1:7" x14ac:dyDescent="0.2">
      <c r="B72" s="14"/>
      <c r="C72" s="14"/>
      <c r="D72" s="17"/>
      <c r="E72" s="14"/>
      <c r="F72" s="14"/>
      <c r="G72" s="14"/>
    </row>
    <row r="73" spans="1:7" x14ac:dyDescent="0.2">
      <c r="A73" t="s">
        <v>12</v>
      </c>
      <c r="B73" s="14">
        <f>'6. 2004 Rate Sch. with Interims'!B73+'7. 2002 Data &amp; 2004 PILs'!B156</f>
        <v>1.2364340653214088</v>
      </c>
      <c r="C73" s="14"/>
      <c r="D73" s="17"/>
      <c r="E73" s="14"/>
      <c r="F73" s="14"/>
      <c r="G73" s="14"/>
    </row>
    <row r="74" spans="1:7" x14ac:dyDescent="0.2">
      <c r="B74" s="14"/>
      <c r="C74" s="14"/>
      <c r="D74" s="17"/>
      <c r="E74" s="14"/>
      <c r="F74" s="14"/>
      <c r="G74" s="14"/>
    </row>
    <row r="75" spans="1:7" x14ac:dyDescent="0.2">
      <c r="A75" t="s">
        <v>82</v>
      </c>
      <c r="B75" s="17">
        <f>'2. 2002 Base Rate Schedule'!B75</f>
        <v>0</v>
      </c>
      <c r="C75" s="14"/>
      <c r="D75" s="17"/>
      <c r="E75" s="14"/>
      <c r="F75" s="14"/>
      <c r="G75" s="14"/>
    </row>
    <row r="76" spans="1:7" ht="14.25" customHeight="1" x14ac:dyDescent="0.25">
      <c r="A76" s="15"/>
      <c r="B76" s="14"/>
      <c r="C76" s="14"/>
      <c r="D76" s="17"/>
      <c r="E76" s="14"/>
      <c r="F76" s="14"/>
      <c r="G76" s="14"/>
    </row>
    <row r="77" spans="1:7" x14ac:dyDescent="0.2">
      <c r="B77" s="14"/>
      <c r="C77" s="14"/>
      <c r="D77" s="17"/>
      <c r="E77" s="14"/>
      <c r="F77" s="14"/>
      <c r="G77" s="14"/>
    </row>
    <row r="78" spans="1:7" ht="18" x14ac:dyDescent="0.25">
      <c r="A78" s="99" t="s">
        <v>19</v>
      </c>
      <c r="B78" s="14"/>
      <c r="C78" s="14"/>
      <c r="D78" s="17"/>
      <c r="E78" s="14"/>
      <c r="F78" s="14"/>
      <c r="G78" s="14"/>
    </row>
    <row r="79" spans="1:7" x14ac:dyDescent="0.2">
      <c r="B79" s="14"/>
      <c r="C79" s="14"/>
      <c r="D79" s="17"/>
      <c r="E79" s="14"/>
      <c r="F79" s="14"/>
      <c r="G79" s="14"/>
    </row>
    <row r="80" spans="1:7" x14ac:dyDescent="0.2">
      <c r="A80" t="s">
        <v>12</v>
      </c>
      <c r="B80" s="14">
        <f>'6. 2004 Rate Sch. with Interims'!B80+'7. 2002 Data &amp; 2004 PILs'!B174</f>
        <v>0.9839611968370523</v>
      </c>
      <c r="C80" s="14"/>
      <c r="D80" s="17"/>
      <c r="E80" s="14"/>
      <c r="F80" s="14"/>
      <c r="G80" s="14"/>
    </row>
    <row r="81" spans="1:7" x14ac:dyDescent="0.2">
      <c r="B81" s="14"/>
      <c r="C81" s="14"/>
      <c r="D81" s="17"/>
      <c r="E81" s="14"/>
      <c r="F81" s="14"/>
      <c r="G81" s="14"/>
    </row>
    <row r="82" spans="1:7" x14ac:dyDescent="0.2">
      <c r="A82" t="s">
        <v>82</v>
      </c>
      <c r="B82" s="17">
        <f>'2. 2002 Base Rate Schedule'!B82</f>
        <v>0.02</v>
      </c>
      <c r="C82" s="14"/>
      <c r="D82" s="17"/>
      <c r="E82" s="14"/>
      <c r="F82" s="14"/>
      <c r="G82" s="14"/>
    </row>
    <row r="83" spans="1:7" x14ac:dyDescent="0.2">
      <c r="B83" s="14"/>
      <c r="C83" s="14"/>
      <c r="D83" s="17"/>
      <c r="E83" s="14"/>
      <c r="F83" s="14"/>
      <c r="G83" s="14"/>
    </row>
    <row r="84" spans="1:7" x14ac:dyDescent="0.2">
      <c r="A84" s="4" t="s">
        <v>17</v>
      </c>
      <c r="B84" s="14"/>
      <c r="C84" s="14"/>
      <c r="D84" s="17"/>
      <c r="E84" s="14"/>
      <c r="F84" s="14"/>
      <c r="G84" s="14"/>
    </row>
    <row r="85" spans="1:7" x14ac:dyDescent="0.2">
      <c r="B85" s="14"/>
      <c r="C85" s="14"/>
      <c r="D85" s="17"/>
      <c r="E85" s="14"/>
      <c r="F85" s="14"/>
      <c r="G85" s="14"/>
    </row>
    <row r="86" spans="1:7" ht="18" x14ac:dyDescent="0.25">
      <c r="A86" s="99" t="s">
        <v>20</v>
      </c>
      <c r="B86" s="14"/>
      <c r="C86" s="14"/>
      <c r="D86" s="17"/>
      <c r="E86" s="14"/>
      <c r="F86" s="14"/>
      <c r="G86" s="14"/>
    </row>
    <row r="87" spans="1:7" x14ac:dyDescent="0.2">
      <c r="B87" s="14"/>
      <c r="C87" s="14"/>
      <c r="D87" s="17"/>
      <c r="E87" s="14"/>
      <c r="F87" s="14"/>
      <c r="G87" s="14"/>
    </row>
    <row r="88" spans="1:7" x14ac:dyDescent="0.2">
      <c r="A88" t="s">
        <v>12</v>
      </c>
      <c r="B88" s="14">
        <f>'6. 2004 Rate Sch. with Interims'!B88+'7. 2002 Data &amp; 2004 PILs'!B174</f>
        <v>0.91716119683705233</v>
      </c>
      <c r="C88" s="14"/>
      <c r="D88" s="17"/>
      <c r="E88" s="14"/>
      <c r="F88" s="14"/>
      <c r="G88" s="14"/>
    </row>
    <row r="89" spans="1:7" x14ac:dyDescent="0.2">
      <c r="B89" s="14"/>
      <c r="C89" s="14"/>
      <c r="D89" s="17"/>
      <c r="E89" s="14"/>
      <c r="F89" s="14"/>
      <c r="G89" s="14"/>
    </row>
    <row r="90" spans="1:7" x14ac:dyDescent="0.2">
      <c r="A90" t="s">
        <v>82</v>
      </c>
      <c r="B90" s="17">
        <f>'2. 2002 Base Rate Schedule'!B90</f>
        <v>0</v>
      </c>
      <c r="C90" s="14"/>
      <c r="D90" s="17"/>
      <c r="E90" s="14"/>
      <c r="F90" s="14"/>
      <c r="G90" s="14"/>
    </row>
    <row r="91" spans="1:7" x14ac:dyDescent="0.2">
      <c r="B91" s="14"/>
      <c r="C91" s="14"/>
      <c r="D91" s="17"/>
      <c r="E91" s="14"/>
      <c r="F91" s="14"/>
      <c r="G91" s="14"/>
    </row>
    <row r="92" spans="1:7" x14ac:dyDescent="0.2">
      <c r="B92" s="101"/>
      <c r="C92" s="101"/>
      <c r="D92" s="17"/>
      <c r="E92" s="14"/>
      <c r="F92" s="14"/>
      <c r="G92" s="14"/>
    </row>
    <row r="93" spans="1:7" x14ac:dyDescent="0.2">
      <c r="B93" s="101"/>
      <c r="C93" s="101"/>
      <c r="D93" s="17"/>
      <c r="E93" s="14"/>
      <c r="F93" s="14"/>
      <c r="G93" s="14"/>
    </row>
    <row r="94" spans="1:7" x14ac:dyDescent="0.2">
      <c r="B94" s="101"/>
      <c r="C94" s="101"/>
      <c r="E94" s="14"/>
      <c r="F94" s="14"/>
      <c r="G94" s="14"/>
    </row>
    <row r="95" spans="1:7" x14ac:dyDescent="0.2">
      <c r="B95" s="14"/>
      <c r="C95" s="14"/>
      <c r="D95" s="17"/>
      <c r="E95" s="14"/>
      <c r="F95" s="14"/>
      <c r="G95" s="14"/>
    </row>
  </sheetData>
  <phoneticPr fontId="0" type="noConversion"/>
  <pageMargins left="0.28000000000000003" right="0.18" top="0.45" bottom="0.56000000000000005" header="0.27" footer="0.23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zoomScale="75" workbookViewId="0">
      <selection activeCell="A38" sqref="A38"/>
    </sheetView>
  </sheetViews>
  <sheetFormatPr defaultRowHeight="12.75" x14ac:dyDescent="0.2"/>
  <cols>
    <col min="1" max="1" width="51.42578125" customWidth="1"/>
    <col min="2" max="2" width="13.140625" customWidth="1"/>
    <col min="3" max="3" width="13.5703125" customWidth="1"/>
    <col min="4" max="4" width="14" customWidth="1"/>
    <col min="5" max="5" width="16.85546875" customWidth="1"/>
    <col min="6" max="6" width="11.7109375" customWidth="1"/>
    <col min="7" max="7" width="14.7109375" customWidth="1"/>
    <col min="8" max="8" width="15.28515625" customWidth="1"/>
  </cols>
  <sheetData>
    <row r="1" spans="1:7" ht="18" x14ac:dyDescent="0.25">
      <c r="A1" s="15" t="s">
        <v>287</v>
      </c>
    </row>
    <row r="2" spans="1:7" ht="18" x14ac:dyDescent="0.25">
      <c r="A2" s="1"/>
    </row>
    <row r="3" spans="1:7" ht="18" x14ac:dyDescent="0.25">
      <c r="A3" s="111" t="s">
        <v>0</v>
      </c>
      <c r="B3" s="112" t="str">
        <f>'2. 2002 Base Rate Schedule'!B3</f>
        <v>E.L.K. Energy Inc.</v>
      </c>
      <c r="C3" s="108"/>
      <c r="E3" s="111" t="s">
        <v>1</v>
      </c>
      <c r="F3" s="1"/>
      <c r="G3" s="114" t="str">
        <f>'2. 2002 Base Rate Schedule'!F3</f>
        <v>ED-2003-0015</v>
      </c>
    </row>
    <row r="4" spans="1:7" ht="18" x14ac:dyDescent="0.25">
      <c r="A4" s="111" t="s">
        <v>3</v>
      </c>
      <c r="B4" s="113" t="str">
        <f>'2. 2002 Base Rate Schedule'!B4</f>
        <v>Sandra Slater</v>
      </c>
      <c r="C4" s="15"/>
      <c r="E4" s="111" t="s">
        <v>4</v>
      </c>
      <c r="F4" s="1"/>
      <c r="G4" s="113" t="str">
        <f>'2. 2002 Base Rate Schedule'!F4</f>
        <v>519-776-5291</v>
      </c>
    </row>
    <row r="5" spans="1:7" ht="18" x14ac:dyDescent="0.25">
      <c r="A5" s="27" t="s">
        <v>38</v>
      </c>
      <c r="B5" s="113" t="str">
        <f>'2. 2002 Base Rate Schedule'!B5</f>
        <v>sslater@elkenergyinc.com</v>
      </c>
      <c r="C5" s="15"/>
    </row>
    <row r="6" spans="1:7" ht="18" x14ac:dyDescent="0.25">
      <c r="A6" s="111" t="s">
        <v>2</v>
      </c>
      <c r="B6" s="113">
        <f>'2. 2002 Base Rate Schedule'!B6</f>
        <v>1</v>
      </c>
      <c r="C6" s="15"/>
    </row>
    <row r="7" spans="1:7" ht="18" x14ac:dyDescent="0.25">
      <c r="A7" s="27" t="s">
        <v>39</v>
      </c>
      <c r="B7" s="245">
        <f>'2. 2002 Base Rate Schedule'!B7</f>
        <v>38031</v>
      </c>
      <c r="C7" s="15"/>
    </row>
    <row r="8" spans="1:7" ht="18" x14ac:dyDescent="0.25">
      <c r="C8" s="15"/>
    </row>
    <row r="9" spans="1:7" ht="15" x14ac:dyDescent="0.2">
      <c r="A9" s="31" t="s">
        <v>288</v>
      </c>
    </row>
    <row r="10" spans="1:7" ht="15" x14ac:dyDescent="0.2">
      <c r="A10" s="31" t="s">
        <v>289</v>
      </c>
      <c r="B10" s="31"/>
      <c r="C10" s="31"/>
      <c r="D10" s="31"/>
      <c r="E10" s="31"/>
    </row>
    <row r="11" spans="1:7" ht="12.75" customHeight="1" x14ac:dyDescent="0.2">
      <c r="A11" s="31"/>
      <c r="B11" s="31"/>
      <c r="C11" s="31"/>
      <c r="D11" s="31"/>
      <c r="E11" s="31"/>
    </row>
    <row r="12" spans="1:7" ht="15" x14ac:dyDescent="0.2">
      <c r="A12" s="31" t="s">
        <v>317</v>
      </c>
      <c r="B12" s="31"/>
      <c r="C12" s="31"/>
      <c r="D12" s="31"/>
      <c r="E12" s="31"/>
    </row>
    <row r="13" spans="1:7" x14ac:dyDescent="0.2">
      <c r="B13" s="9"/>
      <c r="C13" s="65"/>
    </row>
    <row r="14" spans="1:7" ht="14.25" x14ac:dyDescent="0.2">
      <c r="A14" s="125"/>
      <c r="B14" s="9"/>
      <c r="C14" s="66"/>
      <c r="F14" s="65"/>
      <c r="G14" s="65"/>
    </row>
    <row r="15" spans="1:7" ht="14.25" x14ac:dyDescent="0.2">
      <c r="A15" s="125"/>
      <c r="B15" s="9"/>
      <c r="C15" s="66"/>
      <c r="F15" s="65"/>
      <c r="G15" s="192"/>
    </row>
    <row r="16" spans="1:7" x14ac:dyDescent="0.2">
      <c r="C16" s="7"/>
    </row>
    <row r="17" spans="1:8" ht="14.25" x14ac:dyDescent="0.2">
      <c r="A17" s="125"/>
    </row>
    <row r="18" spans="1:8" ht="14.25" x14ac:dyDescent="0.2">
      <c r="A18" s="125"/>
    </row>
    <row r="20" spans="1:8" ht="38.25" x14ac:dyDescent="0.25">
      <c r="A20" s="55" t="s">
        <v>150</v>
      </c>
      <c r="B20" s="56" t="s">
        <v>40</v>
      </c>
      <c r="C20" s="57" t="s">
        <v>41</v>
      </c>
      <c r="D20" s="57" t="s">
        <v>105</v>
      </c>
      <c r="E20" s="264" t="s">
        <v>294</v>
      </c>
      <c r="F20" s="250"/>
      <c r="G20" s="250"/>
      <c r="H20" s="25"/>
    </row>
    <row r="21" spans="1:8" x14ac:dyDescent="0.2">
      <c r="A21" s="35"/>
      <c r="B21" s="36"/>
      <c r="C21" s="37"/>
      <c r="D21" s="37"/>
      <c r="E21" s="254"/>
      <c r="F21" s="36"/>
      <c r="G21" s="36"/>
    </row>
    <row r="22" spans="1:8" x14ac:dyDescent="0.2">
      <c r="A22" s="59" t="s">
        <v>44</v>
      </c>
      <c r="B22" s="67" t="s">
        <v>48</v>
      </c>
      <c r="C22" s="49">
        <f>'3. 2002 Data &amp; add 4 RSVAs'!C22</f>
        <v>91843709</v>
      </c>
      <c r="D22" s="193">
        <f>'3. 2002 Data &amp; add 4 RSVAs'!D22</f>
        <v>9132</v>
      </c>
      <c r="E22" s="255">
        <v>14.66</v>
      </c>
      <c r="F22" s="194"/>
      <c r="G22" s="76"/>
      <c r="H22" s="70"/>
    </row>
    <row r="23" spans="1:8" x14ac:dyDescent="0.2">
      <c r="A23" s="59" t="s">
        <v>83</v>
      </c>
      <c r="B23" s="67" t="s">
        <v>48</v>
      </c>
      <c r="C23" s="49">
        <f>'3. 2002 Data &amp; add 4 RSVAs'!C23</f>
        <v>27507264</v>
      </c>
      <c r="D23" s="193">
        <f>'3. 2002 Data &amp; add 4 RSVAs'!D23</f>
        <v>1020</v>
      </c>
      <c r="E23" s="255">
        <v>15.14</v>
      </c>
      <c r="F23" s="194"/>
      <c r="G23" s="76"/>
      <c r="H23" s="70"/>
    </row>
    <row r="24" spans="1:8" x14ac:dyDescent="0.2">
      <c r="A24" s="59" t="s">
        <v>84</v>
      </c>
      <c r="B24" s="71">
        <f>'3. 2002 Data &amp; add 4 RSVAs'!B24</f>
        <v>146975.4</v>
      </c>
      <c r="C24" s="49">
        <f>'3. 2002 Data &amp; add 4 RSVAs'!C24</f>
        <v>45130640</v>
      </c>
      <c r="D24" s="193">
        <f>'3. 2002 Data &amp; add 4 RSVAs'!D24</f>
        <v>111</v>
      </c>
      <c r="E24" s="255">
        <v>554.38</v>
      </c>
      <c r="F24" s="194"/>
      <c r="G24" s="76"/>
      <c r="H24" s="70"/>
    </row>
    <row r="25" spans="1:8" x14ac:dyDescent="0.2">
      <c r="A25" s="59" t="s">
        <v>75</v>
      </c>
      <c r="B25" s="71">
        <f>'3. 2002 Data &amp; add 4 RSVAs'!B25</f>
        <v>60487.49</v>
      </c>
      <c r="C25" s="49">
        <f>'3. 2002 Data &amp; add 4 RSVAs'!C25</f>
        <v>18299163</v>
      </c>
      <c r="D25" s="193">
        <f>'3. 2002 Data &amp; add 4 RSVAs'!D25</f>
        <v>1</v>
      </c>
      <c r="E25" s="255">
        <v>1113.07</v>
      </c>
      <c r="F25" s="194"/>
      <c r="G25" s="76"/>
      <c r="H25" s="72"/>
    </row>
    <row r="26" spans="1:8" x14ac:dyDescent="0.2">
      <c r="A26" s="59" t="s">
        <v>5</v>
      </c>
      <c r="B26" s="71">
        <f>'3. 2002 Data &amp; add 4 RSVAs'!B26</f>
        <v>0</v>
      </c>
      <c r="C26" s="49">
        <f>'3. 2002 Data &amp; add 4 RSVAs'!C26</f>
        <v>0</v>
      </c>
      <c r="D26" s="49">
        <f>'3. 2002 Data &amp; add 4 RSVAs'!D26</f>
        <v>0</v>
      </c>
      <c r="E26" s="255">
        <v>0</v>
      </c>
      <c r="F26" s="194"/>
      <c r="G26" s="76"/>
      <c r="H26" s="72"/>
    </row>
    <row r="27" spans="1:8" x14ac:dyDescent="0.2">
      <c r="A27" s="59" t="s">
        <v>47</v>
      </c>
      <c r="B27" s="71">
        <f>'3. 2002 Data &amp; add 4 RSVAs'!B27</f>
        <v>0</v>
      </c>
      <c r="C27" s="49">
        <f>'3. 2002 Data &amp; add 4 RSVAs'!C27</f>
        <v>0</v>
      </c>
      <c r="D27" s="193">
        <f>'3. 2002 Data &amp; add 4 RSVAs'!D27</f>
        <v>0</v>
      </c>
      <c r="E27" s="255">
        <v>0</v>
      </c>
      <c r="F27" s="194"/>
      <c r="G27" s="76"/>
      <c r="H27" s="72"/>
    </row>
    <row r="28" spans="1:8" x14ac:dyDescent="0.2">
      <c r="A28" s="59" t="s">
        <v>45</v>
      </c>
      <c r="B28" s="71">
        <f>'3. 2002 Data &amp; add 4 RSVAs'!B28</f>
        <v>412</v>
      </c>
      <c r="C28" s="49">
        <f>'3. 2002 Data &amp; add 4 RSVAs'!C28</f>
        <v>165810</v>
      </c>
      <c r="D28" s="49">
        <f>'3. 2002 Data &amp; add 4 RSVAs'!D28</f>
        <v>202</v>
      </c>
      <c r="E28" s="255">
        <v>0.52</v>
      </c>
      <c r="F28" s="194"/>
      <c r="G28" s="76"/>
      <c r="H28" s="70"/>
    </row>
    <row r="29" spans="1:8" x14ac:dyDescent="0.2">
      <c r="A29" s="59" t="s">
        <v>46</v>
      </c>
      <c r="B29" s="73">
        <f>'3. 2002 Data &amp; add 4 RSVAs'!B29</f>
        <v>9777.35</v>
      </c>
      <c r="C29" s="187">
        <f>'3. 2002 Data &amp; add 4 RSVAs'!C29</f>
        <v>3290404.2199999997</v>
      </c>
      <c r="D29" s="195">
        <f>'3. 2002 Data &amp; add 4 RSVAs'!D29</f>
        <v>2682</v>
      </c>
      <c r="E29" s="256">
        <v>0.08</v>
      </c>
      <c r="F29" s="194"/>
      <c r="G29" s="76"/>
      <c r="H29" s="75"/>
    </row>
    <row r="30" spans="1:8" ht="15" x14ac:dyDescent="0.2">
      <c r="A30" s="59"/>
      <c r="B30" s="76"/>
      <c r="C30" s="77"/>
      <c r="D30" s="78"/>
      <c r="E30" s="253"/>
      <c r="F30" s="76"/>
      <c r="G30" s="76"/>
      <c r="H30" s="66"/>
    </row>
    <row r="31" spans="1:8" x14ac:dyDescent="0.2">
      <c r="A31" s="59" t="s">
        <v>43</v>
      </c>
      <c r="B31" s="36"/>
      <c r="C31" s="197">
        <f>SUM(C22:C29)</f>
        <v>186236990.22</v>
      </c>
      <c r="D31" s="197">
        <f>SUM(D22:D29)</f>
        <v>13148</v>
      </c>
      <c r="E31" s="252"/>
      <c r="F31" s="198"/>
      <c r="G31" s="251"/>
      <c r="H31" s="66"/>
    </row>
    <row r="32" spans="1:8" x14ac:dyDescent="0.2">
      <c r="A32" s="46"/>
      <c r="B32" s="47"/>
      <c r="C32" s="47"/>
      <c r="D32" s="47"/>
      <c r="E32" s="48"/>
      <c r="F32" s="36"/>
      <c r="G32" s="36"/>
    </row>
    <row r="33" spans="1:7" x14ac:dyDescent="0.2">
      <c r="F33" s="36"/>
      <c r="G33" s="36"/>
    </row>
    <row r="34" spans="1:7" ht="15.75" x14ac:dyDescent="0.25">
      <c r="A34" s="61" t="s">
        <v>51</v>
      </c>
    </row>
    <row r="35" spans="1:7" ht="12" customHeight="1" x14ac:dyDescent="0.25">
      <c r="A35" s="249"/>
      <c r="B35" s="31"/>
      <c r="C35" s="31"/>
    </row>
    <row r="36" spans="1:7" ht="17.25" customHeight="1" x14ac:dyDescent="0.2">
      <c r="A36" s="84" t="s">
        <v>295</v>
      </c>
      <c r="B36" s="84"/>
      <c r="C36" s="259">
        <f>E22*D22*12</f>
        <v>1606501.44</v>
      </c>
    </row>
    <row r="37" spans="1:7" ht="15.75" customHeight="1" x14ac:dyDescent="0.2">
      <c r="A37" s="84" t="s">
        <v>298</v>
      </c>
      <c r="B37" s="84"/>
      <c r="C37" s="260">
        <f>'8. 2004 Rate Sch. with PILs'!B18*D22*12</f>
        <v>1285420.32</v>
      </c>
      <c r="D37" s="24"/>
    </row>
    <row r="38" spans="1:7" x14ac:dyDescent="0.2">
      <c r="A38" s="84" t="s">
        <v>290</v>
      </c>
      <c r="B38" s="84"/>
      <c r="C38" s="259">
        <f>C36-C37</f>
        <v>321081.11999999988</v>
      </c>
    </row>
    <row r="39" spans="1:7" x14ac:dyDescent="0.2">
      <c r="A39" s="84"/>
      <c r="B39" s="84"/>
      <c r="C39" s="84"/>
      <c r="D39" s="34"/>
    </row>
    <row r="40" spans="1:7" ht="13.5" customHeight="1" thickBot="1" x14ac:dyDescent="0.25">
      <c r="A40" s="84" t="s">
        <v>291</v>
      </c>
      <c r="B40" s="257" t="s">
        <v>103</v>
      </c>
      <c r="C40" s="258">
        <f>C38/C22</f>
        <v>3.4959511489240911E-3</v>
      </c>
      <c r="D40" s="24"/>
    </row>
    <row r="41" spans="1:7" ht="13.5" thickBot="1" x14ac:dyDescent="0.25">
      <c r="A41" s="84" t="s">
        <v>292</v>
      </c>
      <c r="B41" s="257" t="s">
        <v>103</v>
      </c>
      <c r="D41" s="261">
        <f>'8. 2004 Rate Sch. with PILs'!B16-C40</f>
        <v>7.9885402519283086E-3</v>
      </c>
    </row>
    <row r="42" spans="1:7" x14ac:dyDescent="0.2">
      <c r="B42" s="66"/>
      <c r="C42" s="66"/>
      <c r="D42" s="66"/>
    </row>
    <row r="43" spans="1:7" x14ac:dyDescent="0.2">
      <c r="B43" s="66"/>
      <c r="C43" s="66"/>
      <c r="D43" s="66"/>
    </row>
    <row r="44" spans="1:7" ht="15.75" x14ac:dyDescent="0.25">
      <c r="A44" s="61" t="s">
        <v>297</v>
      </c>
    </row>
    <row r="45" spans="1:7" ht="12" customHeight="1" x14ac:dyDescent="0.25">
      <c r="A45" s="249"/>
      <c r="B45" s="31"/>
      <c r="C45" s="31"/>
    </row>
    <row r="46" spans="1:7" x14ac:dyDescent="0.2">
      <c r="A46" s="84" t="s">
        <v>295</v>
      </c>
      <c r="B46" s="84"/>
      <c r="C46" s="259">
        <f>E22*D22*12</f>
        <v>1606501.44</v>
      </c>
    </row>
    <row r="47" spans="1:7" x14ac:dyDescent="0.2">
      <c r="A47" s="84" t="s">
        <v>298</v>
      </c>
      <c r="B47" s="84"/>
      <c r="C47" s="260">
        <f>'8. 2004 Rate Sch. with PILs'!B18*D22*12</f>
        <v>1285420.32</v>
      </c>
      <c r="D47" s="24"/>
    </row>
    <row r="48" spans="1:7" x14ac:dyDescent="0.2">
      <c r="A48" s="84" t="s">
        <v>290</v>
      </c>
      <c r="B48" s="84"/>
      <c r="C48" s="259">
        <f>C46-C47</f>
        <v>321081.11999999988</v>
      </c>
    </row>
    <row r="49" spans="1:4" x14ac:dyDescent="0.2">
      <c r="A49" s="84"/>
      <c r="B49" s="84"/>
      <c r="C49" s="84"/>
      <c r="D49" s="34"/>
    </row>
    <row r="50" spans="1:4" ht="13.5" thickBot="1" x14ac:dyDescent="0.25">
      <c r="A50" s="84" t="s">
        <v>291</v>
      </c>
      <c r="B50" s="257" t="s">
        <v>103</v>
      </c>
      <c r="C50" s="258">
        <f>C38/C22</f>
        <v>3.4959511489240911E-3</v>
      </c>
      <c r="D50" s="24"/>
    </row>
    <row r="51" spans="1:4" ht="13.5" thickBot="1" x14ac:dyDescent="0.25">
      <c r="A51" s="84" t="s">
        <v>292</v>
      </c>
      <c r="B51" s="257" t="s">
        <v>103</v>
      </c>
      <c r="D51" s="261">
        <f>'8. 2004 Rate Sch. with PILs'!B23-C50</f>
        <v>1.7885402519283084E-3</v>
      </c>
    </row>
    <row r="52" spans="1:4" x14ac:dyDescent="0.2">
      <c r="B52" s="66"/>
      <c r="C52" s="66"/>
      <c r="D52" s="66"/>
    </row>
    <row r="53" spans="1:4" x14ac:dyDescent="0.2">
      <c r="B53" s="66"/>
      <c r="C53" s="66"/>
      <c r="D53" s="66"/>
    </row>
    <row r="54" spans="1:4" ht="15.75" x14ac:dyDescent="0.25">
      <c r="A54" s="61" t="s">
        <v>296</v>
      </c>
    </row>
    <row r="55" spans="1:4" ht="12" customHeight="1" x14ac:dyDescent="0.25">
      <c r="A55" s="249"/>
      <c r="B55" s="31"/>
      <c r="C55" s="31"/>
    </row>
    <row r="56" spans="1:4" x14ac:dyDescent="0.2">
      <c r="A56" s="84" t="s">
        <v>295</v>
      </c>
      <c r="B56" s="84"/>
      <c r="C56" s="259">
        <f>E23*D23*12</f>
        <v>185313.6</v>
      </c>
    </row>
    <row r="57" spans="1:4" x14ac:dyDescent="0.2">
      <c r="A57" s="84" t="s">
        <v>298</v>
      </c>
      <c r="B57" s="84"/>
      <c r="C57" s="260">
        <f>'8. 2004 Rate Sch. with PILs'!B32*D23*12</f>
        <v>140270.40000000002</v>
      </c>
    </row>
    <row r="58" spans="1:4" x14ac:dyDescent="0.2">
      <c r="A58" s="84" t="s">
        <v>290</v>
      </c>
      <c r="B58" s="84"/>
      <c r="C58" s="259">
        <f>C56-C57</f>
        <v>45043.199999999983</v>
      </c>
    </row>
    <row r="59" spans="1:4" x14ac:dyDescent="0.2">
      <c r="A59" s="84"/>
      <c r="B59" s="84"/>
      <c r="C59" s="84"/>
    </row>
    <row r="60" spans="1:4" ht="13.5" thickBot="1" x14ac:dyDescent="0.25">
      <c r="A60" s="84" t="s">
        <v>291</v>
      </c>
      <c r="B60" s="257" t="s">
        <v>103</v>
      </c>
      <c r="C60" s="258">
        <f>C58/C23</f>
        <v>1.6375020067426547E-3</v>
      </c>
    </row>
    <row r="61" spans="1:4" ht="13.5" thickBot="1" x14ac:dyDescent="0.25">
      <c r="A61" s="84" t="s">
        <v>292</v>
      </c>
      <c r="B61" s="257" t="s">
        <v>103</v>
      </c>
      <c r="D61" s="261">
        <f>'8. 2004 Rate Sch. with PILs'!B30-C60</f>
        <v>2.2018931206899033E-3</v>
      </c>
    </row>
    <row r="62" spans="1:4" ht="12.75" customHeight="1" x14ac:dyDescent="0.2">
      <c r="B62" s="66"/>
      <c r="C62" s="66"/>
    </row>
    <row r="63" spans="1:4" ht="14.25" customHeight="1" x14ac:dyDescent="0.2">
      <c r="A63" s="31"/>
    </row>
    <row r="64" spans="1:4" ht="15" customHeight="1" x14ac:dyDescent="0.25">
      <c r="A64" s="61" t="s">
        <v>299</v>
      </c>
    </row>
    <row r="65" spans="1:4" ht="13.5" customHeight="1" x14ac:dyDescent="0.25">
      <c r="A65" s="249"/>
      <c r="B65" s="31"/>
      <c r="C65" s="31"/>
    </row>
    <row r="66" spans="1:4" ht="13.5" customHeight="1" x14ac:dyDescent="0.2">
      <c r="A66" s="84" t="s">
        <v>295</v>
      </c>
      <c r="B66" s="84"/>
      <c r="C66" s="259">
        <f>E24*D24*12</f>
        <v>738434.16</v>
      </c>
    </row>
    <row r="67" spans="1:4" x14ac:dyDescent="0.2">
      <c r="A67" s="84" t="s">
        <v>298</v>
      </c>
      <c r="B67" s="84"/>
      <c r="C67" s="260">
        <f>'8. 2004 Rate Sch. with PILs'!B39*D24*12</f>
        <v>615104.28</v>
      </c>
    </row>
    <row r="68" spans="1:4" x14ac:dyDescent="0.2">
      <c r="A68" s="84" t="s">
        <v>290</v>
      </c>
      <c r="B68" s="84"/>
      <c r="C68" s="259">
        <f>C66-C67</f>
        <v>123329.88</v>
      </c>
    </row>
    <row r="69" spans="1:4" x14ac:dyDescent="0.2">
      <c r="A69" s="84"/>
      <c r="B69" s="84"/>
      <c r="C69" s="84"/>
    </row>
    <row r="70" spans="1:4" ht="13.5" thickBot="1" x14ac:dyDescent="0.25">
      <c r="A70" s="84" t="s">
        <v>291</v>
      </c>
      <c r="B70" s="257" t="s">
        <v>293</v>
      </c>
      <c r="C70" s="258">
        <f>C68/B24</f>
        <v>0.83911919953951486</v>
      </c>
    </row>
    <row r="71" spans="1:4" ht="13.5" thickBot="1" x14ac:dyDescent="0.25">
      <c r="A71" s="84" t="s">
        <v>292</v>
      </c>
      <c r="B71" s="257" t="s">
        <v>293</v>
      </c>
      <c r="D71" s="261">
        <f>'8. 2004 Rate Sch. with PILs'!B37-C70</f>
        <v>3.114892688513148</v>
      </c>
    </row>
    <row r="72" spans="1:4" x14ac:dyDescent="0.2">
      <c r="B72" s="12"/>
    </row>
    <row r="74" spans="1:4" ht="15.75" x14ac:dyDescent="0.25">
      <c r="A74" s="61" t="s">
        <v>300</v>
      </c>
    </row>
    <row r="75" spans="1:4" ht="12" customHeight="1" x14ac:dyDescent="0.25">
      <c r="A75" s="249"/>
      <c r="B75" s="31"/>
      <c r="C75" s="31"/>
    </row>
    <row r="76" spans="1:4" x14ac:dyDescent="0.2">
      <c r="A76" s="84" t="s">
        <v>295</v>
      </c>
      <c r="B76" s="84"/>
      <c r="C76" s="259">
        <f>E25*D25*12</f>
        <v>13356.84</v>
      </c>
    </row>
    <row r="77" spans="1:4" x14ac:dyDescent="0.2">
      <c r="A77" s="84" t="s">
        <v>298</v>
      </c>
      <c r="B77" s="84"/>
      <c r="C77" s="260">
        <f>'8. 2004 Rate Sch. with PILs'!B46*D25*12</f>
        <v>10584.960000000001</v>
      </c>
    </row>
    <row r="78" spans="1:4" x14ac:dyDescent="0.2">
      <c r="A78" s="84" t="s">
        <v>290</v>
      </c>
      <c r="B78" s="84"/>
      <c r="C78" s="259">
        <f>C76-C77</f>
        <v>2771.8799999999992</v>
      </c>
    </row>
    <row r="79" spans="1:4" ht="12" customHeight="1" x14ac:dyDescent="0.2">
      <c r="A79" s="84"/>
      <c r="B79" s="84"/>
      <c r="C79" s="84"/>
    </row>
    <row r="80" spans="1:4" ht="12.75" customHeight="1" thickBot="1" x14ac:dyDescent="0.25">
      <c r="A80" s="84" t="s">
        <v>291</v>
      </c>
      <c r="B80" s="257" t="s">
        <v>293</v>
      </c>
      <c r="C80" s="258">
        <f>C78/B25</f>
        <v>4.5825674036069262E-2</v>
      </c>
    </row>
    <row r="81" spans="1:4" ht="13.5" thickBot="1" x14ac:dyDescent="0.25">
      <c r="A81" s="84" t="s">
        <v>292</v>
      </c>
      <c r="B81" s="257" t="s">
        <v>293</v>
      </c>
      <c r="D81" s="261">
        <f>'8. 2004 Rate Sch. with PILs'!B44-C80</f>
        <v>0.80798823398259967</v>
      </c>
    </row>
    <row r="82" spans="1:4" ht="12.75" customHeight="1" x14ac:dyDescent="0.2">
      <c r="A82" s="31"/>
    </row>
    <row r="83" spans="1:4" ht="15" x14ac:dyDescent="0.2">
      <c r="A83" s="31"/>
      <c r="B83" s="32"/>
      <c r="C83" s="32"/>
    </row>
    <row r="84" spans="1:4" ht="15.75" x14ac:dyDescent="0.25">
      <c r="A84" s="61" t="s">
        <v>301</v>
      </c>
    </row>
    <row r="85" spans="1:4" ht="12.75" customHeight="1" x14ac:dyDescent="0.25">
      <c r="A85" s="249"/>
      <c r="B85" s="31"/>
      <c r="C85" s="31"/>
    </row>
    <row r="86" spans="1:4" x14ac:dyDescent="0.2">
      <c r="A86" s="84" t="s">
        <v>295</v>
      </c>
      <c r="B86" s="84"/>
      <c r="C86" s="259">
        <f>E26*D26*12</f>
        <v>0</v>
      </c>
    </row>
    <row r="87" spans="1:4" x14ac:dyDescent="0.2">
      <c r="A87" s="84" t="s">
        <v>298</v>
      </c>
      <c r="B87" s="84"/>
      <c r="C87" s="260">
        <f>'8. 2004 Rate Sch. with PILs'!B53*D26*12</f>
        <v>0</v>
      </c>
    </row>
    <row r="88" spans="1:4" x14ac:dyDescent="0.2">
      <c r="A88" s="84" t="s">
        <v>290</v>
      </c>
      <c r="B88" s="84"/>
      <c r="C88" s="259">
        <f>C86-C87</f>
        <v>0</v>
      </c>
    </row>
    <row r="89" spans="1:4" x14ac:dyDescent="0.2">
      <c r="A89" s="84"/>
      <c r="B89" s="84"/>
      <c r="C89" s="84"/>
    </row>
    <row r="90" spans="1:4" ht="13.5" thickBot="1" x14ac:dyDescent="0.25">
      <c r="A90" s="84" t="s">
        <v>291</v>
      </c>
      <c r="B90" s="257" t="s">
        <v>293</v>
      </c>
      <c r="C90" s="262" t="e">
        <f>C88/B26</f>
        <v>#DIV/0!</v>
      </c>
    </row>
    <row r="91" spans="1:4" ht="13.5" thickBot="1" x14ac:dyDescent="0.25">
      <c r="A91" s="84" t="s">
        <v>292</v>
      </c>
      <c r="B91" s="257" t="s">
        <v>293</v>
      </c>
      <c r="D91" s="261" t="e">
        <f>'8. 2004 Rate Sch. with PILs'!B51-C90</f>
        <v>#DIV/0!</v>
      </c>
    </row>
    <row r="92" spans="1:4" ht="15" x14ac:dyDescent="0.2">
      <c r="A92" s="31"/>
    </row>
    <row r="94" spans="1:4" ht="15.75" x14ac:dyDescent="0.25">
      <c r="A94" s="61" t="s">
        <v>302</v>
      </c>
    </row>
    <row r="95" spans="1:4" ht="15.75" x14ac:dyDescent="0.25">
      <c r="A95" s="249"/>
      <c r="B95" s="31"/>
      <c r="C95" s="31"/>
    </row>
    <row r="96" spans="1:4" ht="14.25" customHeight="1" x14ac:dyDescent="0.2">
      <c r="A96" s="84" t="s">
        <v>295</v>
      </c>
      <c r="B96" s="84"/>
      <c r="C96" s="259">
        <f>E27*D27*12</f>
        <v>0</v>
      </c>
    </row>
    <row r="97" spans="1:4" ht="12" customHeight="1" x14ac:dyDescent="0.2">
      <c r="A97" s="84" t="s">
        <v>298</v>
      </c>
      <c r="B97" s="84"/>
      <c r="C97" s="260">
        <f>'8. 2004 Rate Sch. with PILs'!B60*D27*12</f>
        <v>0</v>
      </c>
    </row>
    <row r="98" spans="1:4" ht="15" customHeight="1" x14ac:dyDescent="0.2">
      <c r="A98" s="84" t="s">
        <v>290</v>
      </c>
      <c r="B98" s="84"/>
      <c r="C98" s="259">
        <f>C96-C97</f>
        <v>0</v>
      </c>
    </row>
    <row r="99" spans="1:4" ht="14.25" customHeight="1" x14ac:dyDescent="0.2">
      <c r="A99" s="84"/>
      <c r="B99" s="84"/>
      <c r="C99" s="84"/>
    </row>
    <row r="100" spans="1:4" ht="13.5" thickBot="1" x14ac:dyDescent="0.25">
      <c r="A100" s="84" t="s">
        <v>291</v>
      </c>
      <c r="B100" s="257" t="s">
        <v>293</v>
      </c>
      <c r="C100" s="263" t="e">
        <f>C98/B27</f>
        <v>#DIV/0!</v>
      </c>
    </row>
    <row r="101" spans="1:4" ht="13.5" thickBot="1" x14ac:dyDescent="0.25">
      <c r="A101" s="84" t="s">
        <v>292</v>
      </c>
      <c r="B101" s="257" t="s">
        <v>293</v>
      </c>
      <c r="D101" s="261" t="e">
        <f>'8. 2004 Rate Sch. with PILs'!B58-C100</f>
        <v>#DIV/0!</v>
      </c>
    </row>
    <row r="102" spans="1:4" ht="15" x14ac:dyDescent="0.2">
      <c r="A102" s="31"/>
    </row>
    <row r="103" spans="1:4" x14ac:dyDescent="0.2">
      <c r="B103" s="66"/>
      <c r="C103" s="66"/>
      <c r="D103" s="66"/>
    </row>
    <row r="104" spans="1:4" ht="15.75" x14ac:dyDescent="0.25">
      <c r="A104" s="61" t="s">
        <v>303</v>
      </c>
    </row>
    <row r="105" spans="1:4" ht="12.75" customHeight="1" x14ac:dyDescent="0.25">
      <c r="A105" s="249"/>
      <c r="B105" s="31"/>
      <c r="C105" s="31"/>
    </row>
    <row r="106" spans="1:4" x14ac:dyDescent="0.2">
      <c r="A106" s="84" t="s">
        <v>295</v>
      </c>
      <c r="B106" s="84"/>
      <c r="C106" s="259">
        <f>E28*D28*12</f>
        <v>1260.48</v>
      </c>
    </row>
    <row r="107" spans="1:4" x14ac:dyDescent="0.2">
      <c r="A107" s="84" t="s">
        <v>298</v>
      </c>
      <c r="B107" s="84"/>
      <c r="C107" s="260">
        <f>'8. 2004 Rate Sch. with PILs'!B67*D28*12</f>
        <v>921.12000000000012</v>
      </c>
    </row>
    <row r="108" spans="1:4" x14ac:dyDescent="0.2">
      <c r="A108" s="84" t="s">
        <v>290</v>
      </c>
      <c r="B108" s="84"/>
      <c r="C108" s="259">
        <f>C106-C107</f>
        <v>339.3599999999999</v>
      </c>
    </row>
    <row r="109" spans="1:4" x14ac:dyDescent="0.2">
      <c r="A109" s="84"/>
      <c r="B109" s="84"/>
      <c r="C109" s="84"/>
    </row>
    <row r="110" spans="1:4" ht="13.5" thickBot="1" x14ac:dyDescent="0.25">
      <c r="A110" s="84" t="s">
        <v>291</v>
      </c>
      <c r="B110" s="257" t="s">
        <v>293</v>
      </c>
      <c r="C110" s="262">
        <f>C108/B28</f>
        <v>0.8236893203883493</v>
      </c>
    </row>
    <row r="111" spans="1:4" ht="13.5" thickBot="1" x14ac:dyDescent="0.25">
      <c r="A111" s="84" t="s">
        <v>292</v>
      </c>
      <c r="B111" s="257" t="s">
        <v>293</v>
      </c>
      <c r="D111" s="261">
        <f>'8. 2004 Rate Sch. with PILs'!B65-C110</f>
        <v>1.0817447449330595</v>
      </c>
    </row>
    <row r="112" spans="1:4" ht="12.75" customHeight="1" x14ac:dyDescent="0.2">
      <c r="A112" s="31"/>
    </row>
    <row r="113" spans="1:4" ht="17.25" customHeight="1" x14ac:dyDescent="0.25">
      <c r="A113" s="27" t="s">
        <v>307</v>
      </c>
    </row>
    <row r="114" spans="1:4" ht="12" customHeight="1" x14ac:dyDescent="0.2">
      <c r="A114" s="31"/>
    </row>
    <row r="115" spans="1:4" ht="13.5" customHeight="1" x14ac:dyDescent="0.25">
      <c r="A115" s="61" t="s">
        <v>304</v>
      </c>
    </row>
    <row r="116" spans="1:4" ht="12" customHeight="1" x14ac:dyDescent="0.25">
      <c r="A116" s="249"/>
      <c r="B116" s="31"/>
      <c r="C116" s="31"/>
    </row>
    <row r="117" spans="1:4" x14ac:dyDescent="0.2">
      <c r="A117" s="84" t="s">
        <v>295</v>
      </c>
      <c r="B117" s="84"/>
      <c r="C117" s="259">
        <f>E28*D28*12</f>
        <v>1260.48</v>
      </c>
    </row>
    <row r="118" spans="1:4" x14ac:dyDescent="0.2">
      <c r="A118" s="84" t="s">
        <v>298</v>
      </c>
      <c r="B118" s="84"/>
      <c r="C118" s="260">
        <f>'8. 2004 Rate Sch. with PILs'!B75*D28*12</f>
        <v>0</v>
      </c>
    </row>
    <row r="119" spans="1:4" x14ac:dyDescent="0.2">
      <c r="A119" s="84" t="s">
        <v>290</v>
      </c>
      <c r="B119" s="84"/>
      <c r="C119" s="259">
        <f>C117-C118</f>
        <v>1260.48</v>
      </c>
    </row>
    <row r="120" spans="1:4" x14ac:dyDescent="0.2">
      <c r="A120" s="84"/>
      <c r="B120" s="84"/>
      <c r="C120" s="84"/>
    </row>
    <row r="121" spans="1:4" ht="13.5" thickBot="1" x14ac:dyDescent="0.25">
      <c r="A121" s="84" t="s">
        <v>291</v>
      </c>
      <c r="B121" s="257" t="s">
        <v>293</v>
      </c>
      <c r="C121" s="262">
        <f>C119/B28</f>
        <v>3.0594174757281554</v>
      </c>
    </row>
    <row r="122" spans="1:4" ht="13.5" thickBot="1" x14ac:dyDescent="0.25">
      <c r="A122" s="84" t="s">
        <v>292</v>
      </c>
      <c r="B122" s="257" t="s">
        <v>293</v>
      </c>
      <c r="D122" s="261">
        <f>'8. 2004 Rate Sch. with PILs'!B73-C121</f>
        <v>-1.8229834104067466</v>
      </c>
    </row>
    <row r="123" spans="1:4" ht="15" x14ac:dyDescent="0.2">
      <c r="A123" s="31"/>
    </row>
    <row r="125" spans="1:4" ht="15.75" x14ac:dyDescent="0.25">
      <c r="A125" s="61" t="s">
        <v>305</v>
      </c>
    </row>
    <row r="126" spans="1:4" ht="15.75" x14ac:dyDescent="0.25">
      <c r="A126" s="249"/>
      <c r="B126" s="31"/>
      <c r="C126" s="31"/>
    </row>
    <row r="127" spans="1:4" x14ac:dyDescent="0.2">
      <c r="A127" s="84" t="s">
        <v>295</v>
      </c>
      <c r="B127" s="84"/>
      <c r="C127" s="259">
        <f>E29*D29*12</f>
        <v>2574.7200000000003</v>
      </c>
    </row>
    <row r="128" spans="1:4" x14ac:dyDescent="0.2">
      <c r="A128" s="84" t="s">
        <v>298</v>
      </c>
      <c r="B128" s="84"/>
      <c r="C128" s="260">
        <f>'8. 2004 Rate Sch. with PILs'!B82*D29*12</f>
        <v>643.68000000000006</v>
      </c>
    </row>
    <row r="129" spans="1:4" ht="13.5" customHeight="1" x14ac:dyDescent="0.2">
      <c r="A129" s="84" t="s">
        <v>290</v>
      </c>
      <c r="B129" s="84"/>
      <c r="C129" s="259">
        <f>C127-C128</f>
        <v>1931.0400000000002</v>
      </c>
    </row>
    <row r="130" spans="1:4" ht="12" customHeight="1" x14ac:dyDescent="0.2">
      <c r="A130" s="84"/>
      <c r="B130" s="84"/>
      <c r="C130" s="84"/>
    </row>
    <row r="131" spans="1:4" ht="15" customHeight="1" thickBot="1" x14ac:dyDescent="0.25">
      <c r="A131" s="84" t="s">
        <v>291</v>
      </c>
      <c r="B131" s="257" t="s">
        <v>293</v>
      </c>
      <c r="C131" s="266">
        <f>C129/B29</f>
        <v>0.19750136795757542</v>
      </c>
    </row>
    <row r="132" spans="1:4" ht="12.75" customHeight="1" thickBot="1" x14ac:dyDescent="0.25">
      <c r="A132" s="84" t="s">
        <v>292</v>
      </c>
      <c r="B132" s="257" t="s">
        <v>293</v>
      </c>
      <c r="D132" s="261">
        <f>'8. 2004 Rate Sch. with PILs'!B80-C131</f>
        <v>0.78645982887947685</v>
      </c>
    </row>
    <row r="133" spans="1:4" ht="15" x14ac:dyDescent="0.2">
      <c r="A133" s="31"/>
    </row>
    <row r="134" spans="1:4" ht="15.75" x14ac:dyDescent="0.25">
      <c r="A134" s="27" t="s">
        <v>307</v>
      </c>
      <c r="B134" s="265"/>
      <c r="C134" s="265"/>
      <c r="D134" s="34"/>
    </row>
    <row r="135" spans="1:4" x14ac:dyDescent="0.2">
      <c r="B135" s="24"/>
      <c r="C135" s="24"/>
      <c r="D135" s="24"/>
    </row>
    <row r="136" spans="1:4" ht="15.75" x14ac:dyDescent="0.25">
      <c r="A136" s="61" t="s">
        <v>306</v>
      </c>
    </row>
    <row r="137" spans="1:4" ht="15.75" x14ac:dyDescent="0.25">
      <c r="A137" s="249"/>
      <c r="B137" s="31"/>
      <c r="C137" s="31"/>
    </row>
    <row r="138" spans="1:4" x14ac:dyDescent="0.2">
      <c r="A138" s="84" t="s">
        <v>295</v>
      </c>
      <c r="B138" s="84"/>
      <c r="C138" s="259">
        <f>E29*D29*12</f>
        <v>2574.7200000000003</v>
      </c>
    </row>
    <row r="139" spans="1:4" x14ac:dyDescent="0.2">
      <c r="A139" s="84" t="s">
        <v>298</v>
      </c>
      <c r="B139" s="84"/>
      <c r="C139" s="260">
        <f>'8. 2004 Rate Sch. with PILs'!B90*D29*12</f>
        <v>0</v>
      </c>
    </row>
    <row r="140" spans="1:4" x14ac:dyDescent="0.2">
      <c r="A140" s="84" t="s">
        <v>290</v>
      </c>
      <c r="B140" s="84"/>
      <c r="C140" s="259">
        <f>C138-C139</f>
        <v>2574.7200000000003</v>
      </c>
    </row>
    <row r="141" spans="1:4" x14ac:dyDescent="0.2">
      <c r="A141" s="84"/>
      <c r="B141" s="84"/>
      <c r="C141" s="84"/>
    </row>
    <row r="142" spans="1:4" ht="13.5" thickBot="1" x14ac:dyDescent="0.25">
      <c r="A142" s="84" t="s">
        <v>291</v>
      </c>
      <c r="B142" s="257" t="s">
        <v>293</v>
      </c>
      <c r="C142" s="263">
        <f>C140/B29</f>
        <v>0.26333515727676726</v>
      </c>
    </row>
    <row r="143" spans="1:4" ht="13.5" thickBot="1" x14ac:dyDescent="0.25">
      <c r="A143" s="84" t="s">
        <v>292</v>
      </c>
      <c r="B143" s="257" t="s">
        <v>293</v>
      </c>
      <c r="D143" s="261">
        <f>'8. 2004 Rate Sch. with PILs'!B88-C142</f>
        <v>0.65382603956028507</v>
      </c>
    </row>
    <row r="144" spans="1:4" ht="15" x14ac:dyDescent="0.2">
      <c r="A144" s="31"/>
    </row>
    <row r="146" spans="1:4" ht="15.75" x14ac:dyDescent="0.25">
      <c r="A146" s="61"/>
    </row>
    <row r="147" spans="1:4" ht="12" customHeight="1" x14ac:dyDescent="0.25">
      <c r="A147" s="61"/>
    </row>
    <row r="148" spans="1:4" ht="15" x14ac:dyDescent="0.2">
      <c r="A148" s="31"/>
    </row>
    <row r="149" spans="1:4" ht="12.75" customHeight="1" x14ac:dyDescent="0.2">
      <c r="A149" s="31"/>
    </row>
    <row r="150" spans="1:4" ht="14.25" customHeight="1" x14ac:dyDescent="0.2">
      <c r="A150" s="31"/>
      <c r="B150" s="24"/>
      <c r="C150" s="24"/>
      <c r="D150" s="24"/>
    </row>
    <row r="151" spans="1:4" ht="15" x14ac:dyDescent="0.2">
      <c r="A151" s="31"/>
      <c r="B151" s="32"/>
      <c r="C151" s="32"/>
    </row>
    <row r="152" spans="1:4" ht="15" x14ac:dyDescent="0.2">
      <c r="A152" s="31"/>
      <c r="B152" s="265"/>
      <c r="C152" s="265"/>
      <c r="D152" s="34"/>
    </row>
    <row r="153" spans="1:4" x14ac:dyDescent="0.2">
      <c r="B153" s="24"/>
      <c r="C153" s="24"/>
      <c r="D153" s="24"/>
    </row>
    <row r="154" spans="1:4" x14ac:dyDescent="0.2">
      <c r="B154" s="66"/>
      <c r="C154" s="66"/>
      <c r="D154" s="66"/>
    </row>
    <row r="155" spans="1:4" x14ac:dyDescent="0.2">
      <c r="B155" s="66"/>
      <c r="C155" s="66"/>
      <c r="D155" s="66"/>
    </row>
    <row r="156" spans="1:4" x14ac:dyDescent="0.2">
      <c r="B156" s="66"/>
      <c r="C156" s="66"/>
      <c r="D156" s="66"/>
    </row>
    <row r="157" spans="1:4" x14ac:dyDescent="0.2">
      <c r="B157" s="12"/>
    </row>
    <row r="159" spans="1:4" x14ac:dyDescent="0.2">
      <c r="B159" s="80"/>
    </row>
    <row r="164" spans="1:7" ht="15.75" x14ac:dyDescent="0.25">
      <c r="A164" s="61"/>
    </row>
    <row r="165" spans="1:7" ht="9.75" customHeight="1" x14ac:dyDescent="0.25">
      <c r="A165" s="61"/>
    </row>
    <row r="166" spans="1:7" ht="15" x14ac:dyDescent="0.2">
      <c r="A166" s="31"/>
    </row>
    <row r="167" spans="1:7" ht="9" customHeight="1" x14ac:dyDescent="0.2">
      <c r="A167" s="31"/>
    </row>
    <row r="168" spans="1:7" ht="54.75" customHeight="1" x14ac:dyDescent="0.2">
      <c r="A168" s="31"/>
      <c r="B168" s="24"/>
      <c r="C168" s="24"/>
      <c r="D168" s="24"/>
      <c r="G168" s="24"/>
    </row>
    <row r="169" spans="1:7" ht="15" x14ac:dyDescent="0.2">
      <c r="A169" s="31"/>
      <c r="B169" s="32"/>
      <c r="C169" s="32"/>
    </row>
    <row r="170" spans="1:7" ht="15" x14ac:dyDescent="0.2">
      <c r="A170" s="31"/>
      <c r="B170" s="33"/>
      <c r="C170" s="33"/>
      <c r="D170" s="34"/>
    </row>
    <row r="171" spans="1:7" x14ac:dyDescent="0.2">
      <c r="B171" s="24"/>
      <c r="C171" s="24"/>
      <c r="D171" s="24"/>
    </row>
    <row r="172" spans="1:7" x14ac:dyDescent="0.2">
      <c r="B172" s="66"/>
      <c r="C172" s="66"/>
      <c r="D172" s="66"/>
    </row>
    <row r="173" spans="1:7" x14ac:dyDescent="0.2">
      <c r="B173" s="66"/>
      <c r="C173" s="66"/>
      <c r="D173" s="66"/>
    </row>
    <row r="174" spans="1:7" x14ac:dyDescent="0.2">
      <c r="B174" s="66"/>
      <c r="C174" s="66"/>
      <c r="D174" s="66"/>
    </row>
    <row r="175" spans="1:7" x14ac:dyDescent="0.2">
      <c r="B175" s="12"/>
    </row>
    <row r="177" spans="2:3" x14ac:dyDescent="0.2">
      <c r="B177" s="80"/>
    </row>
    <row r="181" spans="2:3" x14ac:dyDescent="0.2">
      <c r="C181" s="81"/>
    </row>
  </sheetData>
  <phoneticPr fontId="0" type="noConversion"/>
  <pageMargins left="0.31" right="0.17" top="0.45" bottom="0.5" header="0.28000000000000003" footer="0.23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1. Dec. 31, 2002 Reg. Assets</vt:lpstr>
      <vt:lpstr>2. 2002 Base Rate Schedule</vt:lpstr>
      <vt:lpstr>3. 2002 Data &amp; add 4 RSVAs</vt:lpstr>
      <vt:lpstr>4. 2004 Rate Sch. with 4 RSVAs</vt:lpstr>
      <vt:lpstr>5. 2002 Data &amp; Int. Reg. Assets</vt:lpstr>
      <vt:lpstr>6. 2004 Rate Sch. with Interims</vt:lpstr>
      <vt:lpstr>7. 2002 Data &amp; 2004 PILs</vt:lpstr>
      <vt:lpstr>8. 2004 Rate Sch. with PILs</vt:lpstr>
      <vt:lpstr>9. Service Charge Adj.</vt:lpstr>
      <vt:lpstr>10. 2004 Rate Schedule </vt:lpstr>
      <vt:lpstr>11.Bill Impact (no commod. in.)</vt:lpstr>
      <vt:lpstr>12. Bill Impact (commod. inc.) </vt:lpstr>
    </vt:vector>
  </TitlesOfParts>
  <Company>Government of 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thiessha</dc:creator>
  <cp:lastModifiedBy>Bacon, Bruce</cp:lastModifiedBy>
  <cp:lastPrinted>2004-01-21T15:26:52Z</cp:lastPrinted>
  <dcterms:created xsi:type="dcterms:W3CDTF">2001-10-05T18:25:02Z</dcterms:created>
  <dcterms:modified xsi:type="dcterms:W3CDTF">2012-10-05T16:26:34Z</dcterms:modified>
</cp:coreProperties>
</file>