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25" windowWidth="19440" windowHeight="11640"/>
  </bookViews>
  <sheets>
    <sheet name="2001-2006 1562 Summary" sheetId="1" r:id="rId1"/>
    <sheet name="Board Approvals" sheetId="2" r:id="rId2"/>
    <sheet name="Proxy in Rates" sheetId="3" r:id="rId3"/>
    <sheet name="Pro-rated PILs proxy" sheetId="5" r:id="rId4"/>
    <sheet name="Interest" sheetId="4" r:id="rId5"/>
  </sheets>
  <definedNames>
    <definedName name="_xlnm.Print_Area" localSheetId="0">'2001-2006 1562 Summary'!$A$1:$O$75</definedName>
    <definedName name="_xlnm.Print_Area" localSheetId="4">Interest!$A:$I</definedName>
    <definedName name="_xlnm.Print_Titles" localSheetId="4">Interest!$1:$2</definedName>
  </definedNames>
  <calcPr calcId="145621" fullCalcOnLoad="1" iterate="1"/>
</workbook>
</file>

<file path=xl/calcChain.xml><?xml version="1.0" encoding="utf-8"?>
<calcChain xmlns="http://schemas.openxmlformats.org/spreadsheetml/2006/main">
  <c r="I191" i="4" l="1"/>
  <c r="I185" i="4"/>
  <c r="I186" i="4"/>
  <c r="I187" i="4"/>
  <c r="I188" i="4"/>
  <c r="I189" i="4"/>
  <c r="I190" i="4"/>
  <c r="G185" i="4"/>
  <c r="B186" i="4"/>
  <c r="G186" i="4"/>
  <c r="B187" i="4"/>
  <c r="G187" i="4"/>
  <c r="B188" i="4"/>
  <c r="G188" i="4"/>
  <c r="B189" i="4"/>
  <c r="G189" i="4"/>
  <c r="B190" i="4"/>
  <c r="G190" i="4"/>
  <c r="B185" i="4"/>
  <c r="B9" i="5"/>
  <c r="B14" i="5"/>
  <c r="B7" i="5"/>
  <c r="B10" i="5"/>
  <c r="B12" i="5"/>
  <c r="K20" i="1"/>
  <c r="G20" i="1"/>
  <c r="C77" i="4"/>
  <c r="C78" i="4"/>
  <c r="M20" i="1"/>
  <c r="H77" i="4"/>
  <c r="E78" i="4"/>
  <c r="F78" i="4"/>
  <c r="F83" i="4"/>
  <c r="F90" i="4"/>
  <c r="E83" i="4"/>
  <c r="E90" i="4"/>
  <c r="E92" i="4"/>
  <c r="F62" i="4"/>
  <c r="F69" i="4"/>
  <c r="E62" i="4"/>
  <c r="E69" i="4"/>
  <c r="F46" i="4"/>
  <c r="F53" i="4"/>
  <c r="E46" i="4"/>
  <c r="F30" i="4"/>
  <c r="F37" i="4"/>
  <c r="E30" i="4"/>
  <c r="E37" i="4"/>
  <c r="F14" i="4"/>
  <c r="F21" i="4"/>
  <c r="E14" i="4"/>
  <c r="E21" i="4"/>
  <c r="I4" i="4"/>
  <c r="H5" i="4"/>
  <c r="H6" i="4"/>
  <c r="E7" i="4"/>
  <c r="F7" i="4"/>
  <c r="C7" i="4"/>
  <c r="K13" i="1"/>
  <c r="G12" i="2"/>
  <c r="D90" i="4"/>
  <c r="C90" i="4"/>
  <c r="C92" i="4"/>
  <c r="C69" i="4"/>
  <c r="C21" i="4"/>
  <c r="C37" i="4"/>
  <c r="G10" i="2"/>
  <c r="G8" i="2"/>
  <c r="G14" i="2"/>
  <c r="M12" i="1"/>
  <c r="E26" i="3"/>
  <c r="F26" i="3"/>
  <c r="L26" i="3"/>
  <c r="L27" i="3"/>
  <c r="O18" i="1"/>
  <c r="O16" i="1"/>
  <c r="O11" i="1"/>
  <c r="E53" i="4"/>
  <c r="O14" i="1"/>
  <c r="O17" i="1"/>
  <c r="O15" i="1"/>
  <c r="C53" i="4"/>
  <c r="I20" i="1"/>
  <c r="E24" i="3"/>
  <c r="F24" i="3"/>
  <c r="K24" i="3"/>
  <c r="D10" i="4"/>
  <c r="D11" i="4"/>
  <c r="D12" i="4"/>
  <c r="E95" i="4"/>
  <c r="E97" i="4"/>
  <c r="F95" i="4"/>
  <c r="F97" i="4"/>
  <c r="O13" i="1"/>
  <c r="D60" i="4"/>
  <c r="D61" i="4"/>
  <c r="D62" i="4"/>
  <c r="D63" i="4"/>
  <c r="D64" i="4"/>
  <c r="D65" i="4"/>
  <c r="D66" i="4"/>
  <c r="D67" i="4"/>
  <c r="D68" i="4"/>
  <c r="D73" i="4"/>
  <c r="B16" i="5"/>
  <c r="B17" i="5"/>
  <c r="B19" i="5"/>
  <c r="E19" i="3"/>
  <c r="F19" i="3"/>
  <c r="J19" i="3"/>
  <c r="I12" i="1"/>
  <c r="E21" i="3"/>
  <c r="F21" i="3"/>
  <c r="K21" i="3"/>
  <c r="K27" i="3"/>
  <c r="E17" i="3"/>
  <c r="F17" i="3"/>
  <c r="I17" i="3"/>
  <c r="G12" i="1"/>
  <c r="K12" i="1"/>
  <c r="D57" i="4"/>
  <c r="E15" i="3"/>
  <c r="F15" i="3"/>
  <c r="H15" i="3"/>
  <c r="F92" i="4"/>
  <c r="E12" i="1"/>
  <c r="D5" i="4"/>
  <c r="E10" i="3"/>
  <c r="F10" i="3"/>
  <c r="I10" i="3"/>
  <c r="I27" i="3"/>
  <c r="C12" i="1"/>
  <c r="D4" i="4"/>
  <c r="E12" i="3"/>
  <c r="F12" i="3"/>
  <c r="J12" i="3"/>
  <c r="J27" i="3"/>
  <c r="E8" i="3"/>
  <c r="F8" i="3"/>
  <c r="H8" i="3"/>
  <c r="E20" i="1"/>
  <c r="O20" i="1"/>
  <c r="C95" i="4"/>
  <c r="C97" i="4"/>
  <c r="D6" i="4"/>
  <c r="D13" i="4"/>
  <c r="D14" i="4"/>
  <c r="D15" i="4"/>
  <c r="D16" i="4"/>
  <c r="D17" i="4"/>
  <c r="D18" i="4"/>
  <c r="D19" i="4"/>
  <c r="D20" i="4"/>
  <c r="D21" i="4"/>
  <c r="G4" i="4"/>
  <c r="D7" i="4"/>
  <c r="D41" i="4"/>
  <c r="D43" i="4"/>
  <c r="D44" i="4"/>
  <c r="D45" i="4"/>
  <c r="D46" i="4"/>
  <c r="D47" i="4"/>
  <c r="D48" i="4"/>
  <c r="D49" i="4"/>
  <c r="D50" i="4"/>
  <c r="D51" i="4"/>
  <c r="D52" i="4"/>
  <c r="O12" i="1"/>
  <c r="H27" i="3"/>
  <c r="D74" i="4"/>
  <c r="D75" i="4"/>
  <c r="D76" i="4"/>
  <c r="D58" i="4"/>
  <c r="D59" i="4"/>
  <c r="D27" i="4"/>
  <c r="D28" i="4"/>
  <c r="D29" i="4"/>
  <c r="D30" i="4"/>
  <c r="D31" i="4"/>
  <c r="D32" i="4"/>
  <c r="D33" i="4"/>
  <c r="D34" i="4"/>
  <c r="D35" i="4"/>
  <c r="D36" i="4"/>
  <c r="D25" i="4"/>
  <c r="D69" i="4"/>
  <c r="D78" i="4"/>
  <c r="D92" i="4"/>
  <c r="D42" i="4"/>
  <c r="D53" i="4"/>
  <c r="D26" i="4"/>
  <c r="D37" i="4"/>
  <c r="B5" i="4"/>
  <c r="I5" i="4"/>
  <c r="G5" i="4"/>
  <c r="D95" i="4"/>
  <c r="D97" i="4"/>
  <c r="G6" i="4"/>
  <c r="B9" i="4"/>
  <c r="B6" i="4"/>
  <c r="I6" i="4"/>
  <c r="I7" i="4"/>
  <c r="C19" i="1"/>
  <c r="C22" i="1"/>
  <c r="E11" i="1"/>
  <c r="G9" i="4"/>
  <c r="B10" i="4"/>
  <c r="I9" i="4"/>
  <c r="I10" i="4"/>
  <c r="G10" i="4"/>
  <c r="B11" i="4"/>
  <c r="G11" i="4"/>
  <c r="B12" i="4"/>
  <c r="I11" i="4"/>
  <c r="I12" i="4"/>
  <c r="G12" i="4"/>
  <c r="B13" i="4"/>
  <c r="G13" i="4"/>
  <c r="B14" i="4"/>
  <c r="I13" i="4"/>
  <c r="I14" i="4"/>
  <c r="G14" i="4"/>
  <c r="B15" i="4"/>
  <c r="G15" i="4"/>
  <c r="B16" i="4"/>
  <c r="I15" i="4"/>
  <c r="I16" i="4"/>
  <c r="G16" i="4"/>
  <c r="B17" i="4"/>
  <c r="I17" i="4"/>
  <c r="G17" i="4"/>
  <c r="B18" i="4"/>
  <c r="I18" i="4"/>
  <c r="G18" i="4"/>
  <c r="B19" i="4"/>
  <c r="I19" i="4"/>
  <c r="G19" i="4"/>
  <c r="B20" i="4"/>
  <c r="I20" i="4"/>
  <c r="I21" i="4"/>
  <c r="G20" i="4"/>
  <c r="B25" i="4"/>
  <c r="G25" i="4"/>
  <c r="B26" i="4"/>
  <c r="I25" i="4"/>
  <c r="E19" i="1"/>
  <c r="E22" i="1"/>
  <c r="G11" i="1"/>
  <c r="I26" i="4"/>
  <c r="G26" i="4"/>
  <c r="B27" i="4"/>
  <c r="I27" i="4"/>
  <c r="G27" i="4"/>
  <c r="B28" i="4"/>
  <c r="I28" i="4"/>
  <c r="G28" i="4"/>
  <c r="B29" i="4"/>
  <c r="G29" i="4"/>
  <c r="B30" i="4"/>
  <c r="I29" i="4"/>
  <c r="I30" i="4"/>
  <c r="G30" i="4"/>
  <c r="B31" i="4"/>
  <c r="G31" i="4"/>
  <c r="B32" i="4"/>
  <c r="I31" i="4"/>
  <c r="I32" i="4"/>
  <c r="G32" i="4"/>
  <c r="B33" i="4"/>
  <c r="G33" i="4"/>
  <c r="B34" i="4"/>
  <c r="I33" i="4"/>
  <c r="I34" i="4"/>
  <c r="G34" i="4"/>
  <c r="B35" i="4"/>
  <c r="I35" i="4"/>
  <c r="G35" i="4"/>
  <c r="B36" i="4"/>
  <c r="I36" i="4"/>
  <c r="I37" i="4"/>
  <c r="G36" i="4"/>
  <c r="B41" i="4"/>
  <c r="I41" i="4"/>
  <c r="G41" i="4"/>
  <c r="B42" i="4"/>
  <c r="G19" i="1"/>
  <c r="G22" i="1"/>
  <c r="I11" i="1"/>
  <c r="I42" i="4"/>
  <c r="G42" i="4"/>
  <c r="B43" i="4"/>
  <c r="I43" i="4"/>
  <c r="G43" i="4"/>
  <c r="B44" i="4"/>
  <c r="I44" i="4"/>
  <c r="G44" i="4"/>
  <c r="B45" i="4"/>
  <c r="G45" i="4"/>
  <c r="B46" i="4"/>
  <c r="I45" i="4"/>
  <c r="I46" i="4"/>
  <c r="G46" i="4"/>
  <c r="B47" i="4"/>
  <c r="G47" i="4"/>
  <c r="B48" i="4"/>
  <c r="I47" i="4"/>
  <c r="I48" i="4"/>
  <c r="G48" i="4"/>
  <c r="B49" i="4"/>
  <c r="I49" i="4"/>
  <c r="G49" i="4"/>
  <c r="B50" i="4"/>
  <c r="I50" i="4"/>
  <c r="G50" i="4"/>
  <c r="B51" i="4"/>
  <c r="G51" i="4"/>
  <c r="B52" i="4"/>
  <c r="I51" i="4"/>
  <c r="I52" i="4"/>
  <c r="I53" i="4"/>
  <c r="G52" i="4"/>
  <c r="B57" i="4"/>
  <c r="G57" i="4"/>
  <c r="B58" i="4"/>
  <c r="I57" i="4"/>
  <c r="I19" i="1"/>
  <c r="I22" i="1"/>
  <c r="K11" i="1"/>
  <c r="I58" i="4"/>
  <c r="G58" i="4"/>
  <c r="B59" i="4"/>
  <c r="G59" i="4"/>
  <c r="B60" i="4"/>
  <c r="I59" i="4"/>
  <c r="I60" i="4"/>
  <c r="G60" i="4"/>
  <c r="B61" i="4"/>
  <c r="G61" i="4"/>
  <c r="B62" i="4"/>
  <c r="I61" i="4"/>
  <c r="I62" i="4"/>
  <c r="G62" i="4"/>
  <c r="B63" i="4"/>
  <c r="G63" i="4"/>
  <c r="B64" i="4"/>
  <c r="I63" i="4"/>
  <c r="I64" i="4"/>
  <c r="G64" i="4"/>
  <c r="B65" i="4"/>
  <c r="I65" i="4"/>
  <c r="G65" i="4"/>
  <c r="B66" i="4"/>
  <c r="I66" i="4"/>
  <c r="G66" i="4"/>
  <c r="B67" i="4"/>
  <c r="I67" i="4"/>
  <c r="G67" i="4"/>
  <c r="B68" i="4"/>
  <c r="I68" i="4"/>
  <c r="I69" i="4"/>
  <c r="G68" i="4"/>
  <c r="B73" i="4"/>
  <c r="K19" i="1"/>
  <c r="G73" i="4"/>
  <c r="B74" i="4"/>
  <c r="I73" i="4"/>
  <c r="G74" i="4"/>
  <c r="B75" i="4"/>
  <c r="I74" i="4"/>
  <c r="K22" i="1"/>
  <c r="M11" i="1"/>
  <c r="G75" i="4"/>
  <c r="B76" i="4"/>
  <c r="I75" i="4"/>
  <c r="I76" i="4"/>
  <c r="G76" i="4"/>
  <c r="B77" i="4"/>
  <c r="G77" i="4"/>
  <c r="B82" i="4"/>
  <c r="I77" i="4"/>
  <c r="I78" i="4"/>
  <c r="M19" i="1"/>
  <c r="O19" i="1"/>
  <c r="M22" i="1"/>
  <c r="I82" i="4"/>
  <c r="G82" i="4"/>
  <c r="B83" i="4"/>
  <c r="G83" i="4"/>
  <c r="B84" i="4"/>
  <c r="I83" i="4"/>
  <c r="I196" i="4"/>
  <c r="O22" i="1"/>
  <c r="I195" i="4"/>
  <c r="G84" i="4"/>
  <c r="B85" i="4"/>
  <c r="I84" i="4"/>
  <c r="I85" i="4"/>
  <c r="G85" i="4"/>
  <c r="B86" i="4"/>
  <c r="I86" i="4"/>
  <c r="G86" i="4"/>
  <c r="B87" i="4"/>
  <c r="G87" i="4"/>
  <c r="B88" i="4"/>
  <c r="I87" i="4"/>
  <c r="G88" i="4"/>
  <c r="B89" i="4"/>
  <c r="I88" i="4"/>
  <c r="I89" i="4"/>
  <c r="I90" i="4"/>
  <c r="I92" i="4"/>
  <c r="I95" i="4"/>
  <c r="I97" i="4"/>
  <c r="G89" i="4"/>
  <c r="B101" i="4"/>
  <c r="G97" i="4"/>
  <c r="I101" i="4"/>
  <c r="G101" i="4"/>
  <c r="B102" i="4"/>
  <c r="I102" i="4"/>
  <c r="G102" i="4"/>
  <c r="B103" i="4"/>
  <c r="G103" i="4"/>
  <c r="B104" i="4"/>
  <c r="I103" i="4"/>
  <c r="G104" i="4"/>
  <c r="B105" i="4"/>
  <c r="I104" i="4"/>
  <c r="G105" i="4"/>
  <c r="B106" i="4"/>
  <c r="I105" i="4"/>
  <c r="I106" i="4"/>
  <c r="G106" i="4"/>
  <c r="B107" i="4"/>
  <c r="I107" i="4"/>
  <c r="G107" i="4"/>
  <c r="B108" i="4"/>
  <c r="I108" i="4"/>
  <c r="G108" i="4"/>
  <c r="B109" i="4"/>
  <c r="I109" i="4"/>
  <c r="G109" i="4"/>
  <c r="B110" i="4"/>
  <c r="G110" i="4"/>
  <c r="B111" i="4"/>
  <c r="I110" i="4"/>
  <c r="I111" i="4"/>
  <c r="G111" i="4"/>
  <c r="B112" i="4"/>
  <c r="G112" i="4"/>
  <c r="B117" i="4"/>
  <c r="I112" i="4"/>
  <c r="I113" i="4"/>
  <c r="G117" i="4"/>
  <c r="B118" i="4"/>
  <c r="I117" i="4"/>
  <c r="I118" i="4"/>
  <c r="G118" i="4"/>
  <c r="B119" i="4"/>
  <c r="G119" i="4"/>
  <c r="B120" i="4"/>
  <c r="I119" i="4"/>
  <c r="I120" i="4"/>
  <c r="G120" i="4"/>
  <c r="B121" i="4"/>
  <c r="G121" i="4"/>
  <c r="B122" i="4"/>
  <c r="I121" i="4"/>
  <c r="I122" i="4"/>
  <c r="G122" i="4"/>
  <c r="B123" i="4"/>
  <c r="G123" i="4"/>
  <c r="B124" i="4"/>
  <c r="I123" i="4"/>
  <c r="I124" i="4"/>
  <c r="G124" i="4"/>
  <c r="B125" i="4"/>
  <c r="G125" i="4"/>
  <c r="B126" i="4"/>
  <c r="I125" i="4"/>
  <c r="G126" i="4"/>
  <c r="B127" i="4"/>
  <c r="I126" i="4"/>
  <c r="I127" i="4"/>
  <c r="G127" i="4"/>
  <c r="B128" i="4"/>
  <c r="I128" i="4"/>
  <c r="I129" i="4"/>
  <c r="G128" i="4"/>
  <c r="B133" i="4"/>
  <c r="I133" i="4"/>
  <c r="G133" i="4"/>
  <c r="B134" i="4"/>
  <c r="I134" i="4"/>
  <c r="G134" i="4"/>
  <c r="B135" i="4"/>
  <c r="I135" i="4"/>
  <c r="G135" i="4"/>
  <c r="B136" i="4"/>
  <c r="G136" i="4"/>
  <c r="B137" i="4"/>
  <c r="I136" i="4"/>
  <c r="I137" i="4"/>
  <c r="G137" i="4"/>
  <c r="B138" i="4"/>
  <c r="G138" i="4"/>
  <c r="B139" i="4"/>
  <c r="I138" i="4"/>
  <c r="I139" i="4"/>
  <c r="G139" i="4"/>
  <c r="B140" i="4"/>
  <c r="I140" i="4"/>
  <c r="G140" i="4"/>
  <c r="B141" i="4"/>
  <c r="I141" i="4"/>
  <c r="G141" i="4"/>
  <c r="B142" i="4"/>
  <c r="G142" i="4"/>
  <c r="B143" i="4"/>
  <c r="I142" i="4"/>
  <c r="G143" i="4"/>
  <c r="B144" i="4"/>
  <c r="I143" i="4"/>
  <c r="G144" i="4"/>
  <c r="B149" i="4"/>
  <c r="I144" i="4"/>
  <c r="I145" i="4"/>
  <c r="I149" i="4"/>
  <c r="G149" i="4"/>
  <c r="B150" i="4"/>
  <c r="I150" i="4"/>
  <c r="G150" i="4"/>
  <c r="B151" i="4"/>
  <c r="I151" i="4"/>
  <c r="G151" i="4"/>
  <c r="B152" i="4"/>
  <c r="I152" i="4"/>
  <c r="G152" i="4"/>
  <c r="B153" i="4"/>
  <c r="G153" i="4"/>
  <c r="B154" i="4"/>
  <c r="I153" i="4"/>
  <c r="I154" i="4"/>
  <c r="G154" i="4"/>
  <c r="B155" i="4"/>
  <c r="G155" i="4"/>
  <c r="B156" i="4"/>
  <c r="I155" i="4"/>
  <c r="I156" i="4"/>
  <c r="G156" i="4"/>
  <c r="B157" i="4"/>
  <c r="G157" i="4"/>
  <c r="B158" i="4"/>
  <c r="I157" i="4"/>
  <c r="I158" i="4"/>
  <c r="G158" i="4"/>
  <c r="B159" i="4"/>
  <c r="I159" i="4"/>
  <c r="G159" i="4"/>
  <c r="B160" i="4"/>
  <c r="G160" i="4"/>
  <c r="B165" i="4"/>
  <c r="I160" i="4"/>
  <c r="I161" i="4"/>
  <c r="I165" i="4"/>
  <c r="G165" i="4"/>
  <c r="B166" i="4"/>
  <c r="I166" i="4"/>
  <c r="G166" i="4"/>
  <c r="B167" i="4"/>
  <c r="I167" i="4"/>
  <c r="G167" i="4"/>
  <c r="B168" i="4"/>
  <c r="G168" i="4"/>
  <c r="B169" i="4"/>
  <c r="I168" i="4"/>
  <c r="I169" i="4"/>
  <c r="G169" i="4"/>
  <c r="B170" i="4"/>
  <c r="G170" i="4"/>
  <c r="B171" i="4"/>
  <c r="I170" i="4"/>
  <c r="I171" i="4"/>
  <c r="G171" i="4"/>
  <c r="B172" i="4"/>
  <c r="I172" i="4"/>
  <c r="G172" i="4"/>
  <c r="B173" i="4"/>
  <c r="G173" i="4"/>
  <c r="B174" i="4"/>
  <c r="I173" i="4"/>
  <c r="G174" i="4"/>
  <c r="B175" i="4"/>
  <c r="I174" i="4"/>
  <c r="I175" i="4"/>
  <c r="G175" i="4"/>
  <c r="B176" i="4"/>
  <c r="I176" i="4"/>
  <c r="I177" i="4"/>
  <c r="G176" i="4"/>
  <c r="B181" i="4"/>
  <c r="I181" i="4"/>
  <c r="G181" i="4"/>
  <c r="B182" i="4"/>
  <c r="G182" i="4"/>
  <c r="B183" i="4"/>
  <c r="I182" i="4"/>
  <c r="G183" i="4"/>
  <c r="B184" i="4"/>
  <c r="I183" i="4"/>
  <c r="I184" i="4"/>
  <c r="I193" i="4"/>
  <c r="I197" i="4"/>
  <c r="I198" i="4"/>
  <c r="G184" i="4"/>
  <c r="G193" i="4"/>
</calcChain>
</file>

<file path=xl/comments1.xml><?xml version="1.0" encoding="utf-8"?>
<comments xmlns="http://schemas.openxmlformats.org/spreadsheetml/2006/main">
  <authors>
    <author>Lois Ouellette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Lois Ouellette:</t>
        </r>
        <r>
          <rPr>
            <sz val="9"/>
            <color indexed="81"/>
            <rFont val="Tahoma"/>
            <family val="2"/>
          </rPr>
          <t xml:space="preserve">
Enter as a negative
</t>
        </r>
      </text>
    </comment>
  </commentList>
</comments>
</file>

<file path=xl/sharedStrings.xml><?xml version="1.0" encoding="utf-8"?>
<sst xmlns="http://schemas.openxmlformats.org/spreadsheetml/2006/main" count="167" uniqueCount="131">
  <si>
    <t xml:space="preserve">Analysis of PILs Tax Account 1562: </t>
  </si>
  <si>
    <t>Sign Convention: + for increase;  - for decrease</t>
  </si>
  <si>
    <t>Year start:</t>
  </si>
  <si>
    <t>Year end:</t>
  </si>
  <si>
    <t>Total</t>
  </si>
  <si>
    <t>Opening balance:</t>
  </si>
  <si>
    <t>=</t>
  </si>
  <si>
    <t>Board-approved PILs tax proxy from Decisions    (1)</t>
  </si>
  <si>
    <t>+/-</t>
  </si>
  <si>
    <t>PILs proxy from April 1, 2005 - input 9/12 of amount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</si>
  <si>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</si>
  <si>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</si>
  <si>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</si>
  <si>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</si>
  <si>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</si>
  <si>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</si>
  <si>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PILs billed to (collected from) customers             (8)</t>
  </si>
  <si>
    <t>-</t>
  </si>
  <si>
    <t xml:space="preserve">Ending balance: # 1562 </t>
  </si>
  <si>
    <t>Uncollected PILs</t>
  </si>
  <si>
    <r>
      <t>NOTE:</t>
    </r>
    <r>
      <rPr>
        <sz val="11"/>
        <color theme="1"/>
        <rFont val="Calibri"/>
        <family val="2"/>
        <scheme val="minor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</si>
  <si>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</si>
  <si>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Please identify if Method 1, 2 or 3 was used to account for the PILs proxy and recovery.  ANSWER:  </t>
  </si>
  <si>
    <t>Method 1 (I.e. Alternative 1 per APH FAQ April 2003 Q.1)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</si>
  <si>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</si>
  <si>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</si>
  <si>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        If the Board gave more than one decision in the year, calculate a weighted average proxy. </t>
  </si>
  <si>
    <t xml:space="preserve">     (ii)  If the Board approved different amounts, input the Board-approved amounts in cells C13 and E13.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</si>
  <si>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</si>
  <si>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</si>
  <si>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</si>
  <si>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</si>
  <si>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</si>
  <si>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</si>
  <si>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</si>
  <si>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</si>
  <si>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</si>
  <si>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</si>
  <si>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</si>
  <si>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</si>
  <si>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</si>
  <si>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</si>
  <si>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</si>
  <si>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</si>
  <si>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    The 2005 PILs tax proxy is being recovered on a volumetric basis by class.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</si>
  <si>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</si>
  <si>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</si>
  <si>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plus, (b) customer counts by class in the same period multiplied by the PILs fixed charge rate components.</t>
  </si>
  <si>
    <t xml:space="preserve">          In 2004, use the Board-approved 2002 PILs proxy, recovered on a volumetric basis by class as calculated by the 2004 RAM, sheet 7,</t>
  </si>
  <si>
    <t xml:space="preserve">          for the period April 1 to December 31, 2004, and add this total to the results from the sentence above for January 1 to March 31, 2004.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</si>
  <si>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</si>
  <si>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</si>
  <si>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</si>
  <si>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>(9) Any interim PILs recovery from Board Decisions will be recorded in APH Account # 1590.  Final reconciliation of PILs proxy taxes</t>
  </si>
  <si>
    <t xml:space="preserve">     will have to include amounts from 1562 and from 1590.</t>
  </si>
  <si>
    <t xml:space="preserve"> </t>
  </si>
  <si>
    <t>Board Approved Proxy</t>
  </si>
  <si>
    <t>Case</t>
  </si>
  <si>
    <t>Decision</t>
  </si>
  <si>
    <t xml:space="preserve">Effective </t>
  </si>
  <si>
    <t>Reference</t>
  </si>
  <si>
    <t>Date</t>
  </si>
  <si>
    <t xml:space="preserve">Date of </t>
  </si>
  <si>
    <t>Rates</t>
  </si>
  <si>
    <t>2001 Proxy</t>
  </si>
  <si>
    <t>2002 Proxy</t>
  </si>
  <si>
    <t>2005 Proxy</t>
  </si>
  <si>
    <t>EB-XXXX-XX</t>
  </si>
  <si>
    <t>Utility Name: Niagara-on-the-Lake Hydro Inc.</t>
  </si>
  <si>
    <t>Amount</t>
  </si>
  <si>
    <t>Proxy</t>
  </si>
  <si>
    <t>Board</t>
  </si>
  <si>
    <t>Adjustments</t>
  </si>
  <si>
    <t>Approved</t>
  </si>
  <si>
    <t>Submitted</t>
  </si>
  <si>
    <t xml:space="preserve">Number </t>
  </si>
  <si>
    <t xml:space="preserve">Year  </t>
  </si>
  <si>
    <t>APH</t>
  </si>
  <si>
    <t>Included in Rates for the Year Shown</t>
  </si>
  <si>
    <t>of months</t>
  </si>
  <si>
    <t>of recovery</t>
  </si>
  <si>
    <t>Included</t>
  </si>
  <si>
    <t>of proxy</t>
  </si>
  <si>
    <t>of</t>
  </si>
  <si>
    <t>in Rates</t>
  </si>
  <si>
    <t>Collection</t>
  </si>
  <si>
    <t>2001 Fourth Quarter Proxy</t>
  </si>
  <si>
    <t xml:space="preserve">NOTES: </t>
  </si>
  <si>
    <t>2)  For APH purposes, the 4th quarter 2001 PILs proxy starts on October 1, 2001.</t>
  </si>
  <si>
    <t>3)  For APH purposes, the 2002 PILs proxy starts on January 1, 2002.</t>
  </si>
  <si>
    <t>Totals</t>
  </si>
  <si>
    <t>Proxy Amount by Recovery Year</t>
  </si>
  <si>
    <t xml:space="preserve">1)  Rate recovery is based on a monthly rate derived for a 12-month period. </t>
  </si>
  <si>
    <t>Month</t>
  </si>
  <si>
    <t>Billed Amount</t>
  </si>
  <si>
    <t>Checksum</t>
  </si>
  <si>
    <t>Subtotal</t>
  </si>
  <si>
    <t>Interest Rate</t>
  </si>
  <si>
    <t>Annual</t>
  </si>
  <si>
    <t/>
  </si>
  <si>
    <t>PILs Proxy Accrual</t>
  </si>
  <si>
    <t>True-up Variance Adjustment</t>
  </si>
  <si>
    <t>Deferral Account Variance Adjustment</t>
  </si>
  <si>
    <t>Ending Balance</t>
  </si>
  <si>
    <t>Carrying Charge</t>
  </si>
  <si>
    <t>Opening Balance</t>
  </si>
  <si>
    <t>Period</t>
  </si>
  <si>
    <t>GRAND TOTAL TO DEC 2006</t>
  </si>
  <si>
    <t>Balance at April 30, 2012</t>
  </si>
  <si>
    <t>RP-2005-0013/
EB2005-0021</t>
  </si>
  <si>
    <t>2004 Proxy</t>
  </si>
  <si>
    <t>RP-2004-0040/
EB-2004-0026</t>
  </si>
  <si>
    <t>RP-2002-0055/
EB-2002-0064</t>
  </si>
  <si>
    <t>Unbilled @ April/06</t>
  </si>
  <si>
    <t>PILs TAXES</t>
  </si>
  <si>
    <t>Utility name:  E.L.K. Energy Inc.</t>
  </si>
  <si>
    <t>Reporting period:  2001 to 2006</t>
  </si>
  <si>
    <t>E.L.K. Energy Inc.</t>
  </si>
  <si>
    <t>Pro-rated PILs Proxy</t>
  </si>
  <si>
    <t>Period from May 1/02 to Feb 28/04</t>
  </si>
  <si>
    <t>2001 PILs proxy</t>
  </si>
  <si>
    <t>2002 PILs proxy</t>
  </si>
  <si>
    <t xml:space="preserve">Total </t>
  </si>
  <si>
    <t>Pro-rated PILs proxy per month</t>
  </si>
  <si>
    <t>Pro-rated PILs proxy May 1/02 to Feb 28/04</t>
  </si>
  <si>
    <t>Full proxy before proration May 1/02 to Feb 28/04</t>
  </si>
  <si>
    <t>Difference adjusted in 2002 proxy</t>
  </si>
  <si>
    <t>Monthly adjustment</t>
  </si>
  <si>
    <t>Monthly 2002 before proration</t>
  </si>
  <si>
    <t>Pro-rated monthly 2002 proxy</t>
  </si>
  <si>
    <t># of months from May 1/02 to Mar 31/04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</si>
</sst>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[$-F800]dddd\,\ mmmm\ dd\,\ yyyy"/>
    <numFmt numFmtId="173" formatCode="[$-409]d\-mmm\-yy;@"/>
    <numFmt numFmtId="174" formatCode="_(&quot;$&quot;* #,##0_);_(&quot;$&quot;* \(#,##0\);_(&quot;$&quot;* &quot;-&quot;??_);_(@_)"/>
    <numFmt numFmtId="17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20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4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11" borderId="0" applyNumberFormat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5" fillId="12" borderId="0" applyNumberFormat="0" applyBorder="0" applyAlignment="0" applyProtection="0"/>
    <xf numFmtId="9" fontId="7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14" fontId="0" fillId="0" borderId="0" xfId="0" applyNumberFormat="1" applyAlignment="1" applyProtection="1">
      <alignment vertical="top"/>
      <protection locked="0"/>
    </xf>
    <xf numFmtId="14" fontId="0" fillId="0" borderId="3" xfId="0" applyNumberFormat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3" fontId="0" fillId="3" borderId="0" xfId="0" applyNumberFormat="1" applyFill="1" applyAlignment="1" applyProtection="1"/>
    <xf numFmtId="3" fontId="0" fillId="0" borderId="0" xfId="0" applyNumberFormat="1" applyAlignment="1" applyProtection="1"/>
    <xf numFmtId="3" fontId="0" fillId="2" borderId="0" xfId="0" applyNumberFormat="1" applyFill="1" applyAlignment="1" applyProtection="1"/>
    <xf numFmtId="3" fontId="0" fillId="0" borderId="0" xfId="0" applyNumberFormat="1" applyFill="1" applyAlignment="1" applyProtection="1"/>
    <xf numFmtId="0" fontId="0" fillId="0" borderId="0" xfId="0" quotePrefix="1" applyAlignment="1" applyProtection="1">
      <alignment horizontal="center" vertical="top"/>
      <protection locked="0"/>
    </xf>
    <xf numFmtId="3" fontId="15" fillId="12" borderId="1" xfId="4" applyNumberFormat="1" applyBorder="1" applyAlignment="1" applyProtection="1">
      <protection locked="0"/>
    </xf>
    <xf numFmtId="3" fontId="0" fillId="0" borderId="0" xfId="0" applyNumberFormat="1" applyAlignment="1" applyProtection="1">
      <protection locked="0"/>
    </xf>
    <xf numFmtId="3" fontId="0" fillId="0" borderId="0" xfId="0" applyNumberFormat="1" applyFill="1" applyAlignment="1" applyProtection="1">
      <protection locked="0"/>
    </xf>
    <xf numFmtId="3" fontId="0" fillId="2" borderId="0" xfId="0" applyNumberFormat="1" applyFill="1" applyAlignment="1" applyProtection="1">
      <protection locked="0"/>
    </xf>
    <xf numFmtId="3" fontId="0" fillId="0" borderId="0" xfId="0" applyNumberFormat="1" applyAlignment="1" applyProtection="1">
      <alignment vertical="top"/>
      <protection locked="0"/>
    </xf>
    <xf numFmtId="3" fontId="0" fillId="3" borderId="0" xfId="0" applyNumberFormat="1" applyFill="1" applyAlignment="1" applyProtection="1">
      <protection locked="0"/>
    </xf>
    <xf numFmtId="0" fontId="0" fillId="3" borderId="0" xfId="0" applyFill="1" applyAlignment="1" applyProtection="1">
      <alignment vertical="top"/>
      <protection locked="0"/>
    </xf>
    <xf numFmtId="0" fontId="1" fillId="0" borderId="0" xfId="0" applyFont="1" applyAlignment="1" applyProtection="1">
      <alignment vertical="center" wrapText="1"/>
      <protection locked="0"/>
    </xf>
    <xf numFmtId="9" fontId="7" fillId="0" borderId="0" xfId="5" applyFont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3" fontId="0" fillId="2" borderId="4" xfId="0" applyNumberFormat="1" applyFill="1" applyBorder="1" applyAlignment="1" applyProtection="1"/>
    <xf numFmtId="0" fontId="1" fillId="4" borderId="0" xfId="0" applyFont="1" applyFill="1" applyAlignment="1" applyProtection="1">
      <alignment vertical="top"/>
      <protection locked="0"/>
    </xf>
    <xf numFmtId="0" fontId="0" fillId="4" borderId="0" xfId="0" applyFill="1" applyAlignment="1" applyProtection="1">
      <alignment vertical="top"/>
      <protection locked="0"/>
    </xf>
    <xf numFmtId="37" fontId="0" fillId="4" borderId="0" xfId="0" applyNumberFormat="1" applyFill="1" applyBorder="1" applyAlignment="1" applyProtection="1">
      <alignment vertical="top"/>
      <protection locked="0"/>
    </xf>
    <xf numFmtId="37" fontId="0" fillId="4" borderId="0" xfId="0" applyNumberForma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0" fillId="4" borderId="0" xfId="0" quotePrefix="1" applyFill="1" applyAlignment="1" applyProtection="1">
      <alignment horizontal="center" vertical="top"/>
      <protection locked="0"/>
    </xf>
    <xf numFmtId="3" fontId="0" fillId="5" borderId="0" xfId="0" applyNumberFormat="1" applyFill="1" applyBorder="1" applyAlignment="1" applyProtection="1">
      <protection locked="0"/>
    </xf>
    <xf numFmtId="3" fontId="0" fillId="5" borderId="0" xfId="0" applyNumberFormat="1" applyFill="1" applyBorder="1" applyAlignment="1" applyProtection="1"/>
    <xf numFmtId="37" fontId="0" fillId="5" borderId="0" xfId="0" applyNumberFormat="1" applyFill="1" applyBorder="1" applyAlignment="1" applyProtection="1">
      <alignment vertical="top"/>
      <protection locked="0"/>
    </xf>
    <xf numFmtId="0" fontId="0" fillId="5" borderId="0" xfId="0" applyFill="1" applyBorder="1" applyAlignment="1" applyProtection="1">
      <alignment vertical="top"/>
      <protection locked="0"/>
    </xf>
    <xf numFmtId="3" fontId="0" fillId="4" borderId="0" xfId="0" applyNumberFormat="1" applyFill="1" applyAlignment="1" applyProtection="1">
      <alignment vertical="top"/>
      <protection locked="0"/>
    </xf>
    <xf numFmtId="0" fontId="4" fillId="4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5" borderId="0" xfId="0" applyFill="1" applyAlignment="1" applyProtection="1">
      <alignment vertical="top" wrapText="1"/>
      <protection locked="0"/>
    </xf>
    <xf numFmtId="0" fontId="0" fillId="4" borderId="0" xfId="0" quotePrefix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172" fontId="0" fillId="0" borderId="0" xfId="0" applyNumberFormat="1" applyAlignment="1" applyProtection="1">
      <alignment vertical="top"/>
      <protection locked="0"/>
    </xf>
    <xf numFmtId="173" fontId="4" fillId="0" borderId="0" xfId="0" quotePrefix="1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/>
      <protection locked="0"/>
    </xf>
    <xf numFmtId="172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center"/>
      <protection locked="0"/>
    </xf>
    <xf numFmtId="173" fontId="4" fillId="0" borderId="0" xfId="0" quotePrefix="1" applyNumberFormat="1" applyFont="1" applyAlignment="1" applyProtection="1">
      <alignment horizontal="center" vertical="center"/>
      <protection locked="0"/>
    </xf>
    <xf numFmtId="174" fontId="7" fillId="0" borderId="0" xfId="3" applyNumberFormat="1" applyFont="1" applyAlignment="1">
      <alignment vertical="center"/>
    </xf>
    <xf numFmtId="174" fontId="7" fillId="2" borderId="5" xfId="3" applyNumberFormat="1" applyFont="1" applyFill="1" applyBorder="1" applyAlignment="1" applyProtection="1">
      <alignment vertical="center"/>
    </xf>
    <xf numFmtId="3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2" fontId="0" fillId="0" borderId="0" xfId="0" applyNumberFormat="1" applyAlignment="1" applyProtection="1">
      <alignment horizontal="center" vertical="center"/>
      <protection locked="0"/>
    </xf>
    <xf numFmtId="171" fontId="7" fillId="0" borderId="0" xfId="2" applyFont="1" applyAlignment="1" applyProtection="1">
      <alignment vertical="center"/>
      <protection locked="0"/>
    </xf>
    <xf numFmtId="172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3" fontId="0" fillId="0" borderId="4" xfId="0" applyNumberFormat="1" applyBorder="1" applyAlignment="1" applyProtection="1">
      <alignment vertical="top"/>
      <protection locked="0"/>
    </xf>
    <xf numFmtId="174" fontId="7" fillId="0" borderId="0" xfId="3" applyNumberFormat="1" applyFont="1" applyAlignment="1" applyProtection="1">
      <alignment vertical="top"/>
      <protection locked="0"/>
    </xf>
    <xf numFmtId="174" fontId="7" fillId="6" borderId="5" xfId="3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/>
    <xf numFmtId="17" fontId="9" fillId="0" borderId="0" xfId="0" applyNumberFormat="1" applyFont="1"/>
    <xf numFmtId="175" fontId="9" fillId="0" borderId="0" xfId="2" applyNumberFormat="1" applyFont="1"/>
    <xf numFmtId="0" fontId="9" fillId="0" borderId="0" xfId="0" applyFont="1" applyAlignment="1">
      <alignment horizontal="right"/>
    </xf>
    <xf numFmtId="175" fontId="9" fillId="0" borderId="4" xfId="2" applyNumberFormat="1" applyFont="1" applyBorder="1"/>
    <xf numFmtId="175" fontId="9" fillId="0" borderId="4" xfId="0" applyNumberFormat="1" applyFont="1" applyBorder="1"/>
    <xf numFmtId="171" fontId="9" fillId="0" borderId="0" xfId="0" applyNumberFormat="1" applyFont="1"/>
    <xf numFmtId="171" fontId="9" fillId="0" borderId="0" xfId="2" applyFont="1"/>
    <xf numFmtId="175" fontId="10" fillId="0" borderId="4" xfId="2" applyNumberFormat="1" applyFont="1" applyBorder="1"/>
    <xf numFmtId="175" fontId="9" fillId="0" borderId="0" xfId="2" applyNumberFormat="1" applyFont="1" applyBorder="1"/>
    <xf numFmtId="175" fontId="9" fillId="0" borderId="0" xfId="0" applyNumberFormat="1" applyFont="1" applyBorder="1"/>
    <xf numFmtId="175" fontId="9" fillId="7" borderId="0" xfId="2" applyNumberFormat="1" applyFont="1" applyFill="1"/>
    <xf numFmtId="175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71" fontId="10" fillId="0" borderId="0" xfId="2" applyFont="1" applyAlignment="1">
      <alignment horizontal="center" vertical="center" wrapText="1"/>
    </xf>
    <xf numFmtId="175" fontId="10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175" fontId="0" fillId="0" borderId="0" xfId="0" applyNumberFormat="1"/>
    <xf numFmtId="175" fontId="11" fillId="0" borderId="0" xfId="2" applyNumberFormat="1" applyFont="1"/>
    <xf numFmtId="0" fontId="11" fillId="7" borderId="0" xfId="0" applyFont="1" applyFill="1"/>
    <xf numFmtId="175" fontId="11" fillId="7" borderId="0" xfId="0" applyNumberFormat="1" applyFont="1" applyFill="1"/>
    <xf numFmtId="175" fontId="12" fillId="7" borderId="0" xfId="1" applyNumberFormat="1" applyFont="1" applyFill="1"/>
    <xf numFmtId="0" fontId="9" fillId="0" borderId="0" xfId="0" quotePrefix="1" applyFont="1"/>
    <xf numFmtId="171" fontId="9" fillId="7" borderId="0" xfId="2" applyFont="1" applyFill="1"/>
    <xf numFmtId="10" fontId="9" fillId="0" borderId="0" xfId="5" applyNumberFormat="1" applyFont="1"/>
    <xf numFmtId="175" fontId="9" fillId="0" borderId="0" xfId="2" applyNumberFormat="1" applyFont="1" applyFill="1"/>
    <xf numFmtId="175" fontId="9" fillId="0" borderId="0" xfId="2" applyNumberFormat="1" applyFont="1" applyFill="1" applyBorder="1"/>
    <xf numFmtId="171" fontId="9" fillId="0" borderId="0" xfId="2" applyFont="1" applyFill="1"/>
    <xf numFmtId="171" fontId="9" fillId="8" borderId="0" xfId="2" applyFont="1" applyFill="1"/>
    <xf numFmtId="17" fontId="9" fillId="0" borderId="0" xfId="0" applyNumberFormat="1" applyFont="1" applyAlignment="1">
      <alignment wrapText="1"/>
    </xf>
    <xf numFmtId="10" fontId="9" fillId="0" borderId="0" xfId="2" applyNumberFormat="1" applyFont="1"/>
    <xf numFmtId="0" fontId="10" fillId="0" borderId="0" xfId="0" applyFont="1"/>
    <xf numFmtId="171" fontId="10" fillId="0" borderId="0" xfId="2" applyFont="1"/>
    <xf numFmtId="175" fontId="10" fillId="0" borderId="0" xfId="2" applyNumberFormat="1" applyFont="1"/>
    <xf numFmtId="174" fontId="10" fillId="0" borderId="0" xfId="3" applyNumberFormat="1" applyFont="1"/>
    <xf numFmtId="3" fontId="15" fillId="9" borderId="1" xfId="4" applyNumberFormat="1" applyFill="1" applyBorder="1" applyAlignment="1" applyProtection="1">
      <protection locked="0"/>
    </xf>
    <xf numFmtId="3" fontId="0" fillId="10" borderId="0" xfId="0" applyNumberFormat="1" applyFill="1" applyAlignment="1" applyProtection="1">
      <protection locked="0"/>
    </xf>
    <xf numFmtId="171" fontId="10" fillId="0" borderId="0" xfId="2" applyFont="1" applyAlignment="1" applyProtection="1">
      <alignment horizontal="center" vertical="center" wrapText="1"/>
      <protection locked="0"/>
    </xf>
    <xf numFmtId="175" fontId="9" fillId="0" borderId="0" xfId="2" applyNumberFormat="1" applyFont="1" applyProtection="1">
      <protection locked="0"/>
    </xf>
    <xf numFmtId="175" fontId="9" fillId="0" borderId="4" xfId="2" applyNumberFormat="1" applyFont="1" applyBorder="1" applyProtection="1">
      <protection locked="0"/>
    </xf>
    <xf numFmtId="171" fontId="9" fillId="0" borderId="0" xfId="2" applyFont="1" applyProtection="1">
      <protection locked="0"/>
    </xf>
    <xf numFmtId="175" fontId="9" fillId="0" borderId="4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175" fontId="9" fillId="9" borderId="0" xfId="2" applyNumberFormat="1" applyFont="1" applyFill="1" applyProtection="1">
      <protection locked="0"/>
    </xf>
    <xf numFmtId="171" fontId="9" fillId="7" borderId="0" xfId="2" applyFont="1" applyFill="1" applyProtection="1">
      <protection locked="0"/>
    </xf>
    <xf numFmtId="175" fontId="10" fillId="0" borderId="4" xfId="2" applyNumberFormat="1" applyFont="1" applyBorder="1" applyProtection="1">
      <protection locked="0"/>
    </xf>
    <xf numFmtId="175" fontId="11" fillId="7" borderId="0" xfId="0" applyNumberFormat="1" applyFont="1" applyFill="1" applyProtection="1">
      <protection locked="0"/>
    </xf>
    <xf numFmtId="171" fontId="9" fillId="8" borderId="0" xfId="2" applyFont="1" applyFill="1" applyProtection="1">
      <protection locked="0"/>
    </xf>
    <xf numFmtId="171" fontId="10" fillId="0" borderId="0" xfId="2" applyFont="1" applyProtection="1">
      <protection locked="0"/>
    </xf>
    <xf numFmtId="175" fontId="9" fillId="0" borderId="0" xfId="2" applyNumberFormat="1" applyFont="1" applyFill="1" applyProtection="1">
      <protection locked="0"/>
    </xf>
    <xf numFmtId="175" fontId="9" fillId="0" borderId="0" xfId="2" applyNumberFormat="1" applyFont="1" applyFill="1" applyBorder="1" applyProtection="1">
      <protection locked="0"/>
    </xf>
    <xf numFmtId="171" fontId="9" fillId="0" borderId="0" xfId="2" applyFont="1" applyFill="1" applyProtection="1">
      <protection locked="0"/>
    </xf>
    <xf numFmtId="175" fontId="12" fillId="7" borderId="0" xfId="1" applyNumberFormat="1" applyFont="1" applyFill="1" applyProtection="1">
      <protection locked="0"/>
    </xf>
    <xf numFmtId="174" fontId="7" fillId="0" borderId="0" xfId="3" applyNumberFormat="1" applyFont="1" applyFill="1" applyBorder="1" applyAlignment="1" applyProtection="1">
      <alignment vertical="center"/>
    </xf>
    <xf numFmtId="171" fontId="9" fillId="0" borderId="0" xfId="2" applyFont="1" applyAlignment="1">
      <alignment horizontal="center" vertical="center" wrapText="1"/>
    </xf>
    <xf numFmtId="171" fontId="10" fillId="0" borderId="4" xfId="2" applyFont="1" applyBorder="1" applyAlignment="1" applyProtection="1">
      <alignment horizontal="center" vertical="center" wrapText="1"/>
      <protection locked="0"/>
    </xf>
    <xf numFmtId="175" fontId="9" fillId="0" borderId="0" xfId="2" applyNumberFormat="1" applyFont="1" applyAlignment="1">
      <alignment horizontal="center" vertical="center" wrapText="1"/>
    </xf>
    <xf numFmtId="175" fontId="10" fillId="0" borderId="0" xfId="0" applyNumberFormat="1" applyFont="1" applyAlignment="1">
      <alignment horizontal="center" vertical="center" wrapText="1"/>
    </xf>
    <xf numFmtId="175" fontId="9" fillId="0" borderId="0" xfId="0" applyNumberFormat="1" applyFont="1" applyAlignment="1">
      <alignment horizontal="center" vertical="center" wrapText="1"/>
    </xf>
    <xf numFmtId="171" fontId="9" fillId="8" borderId="0" xfId="2" applyFont="1" applyFill="1" applyProtection="1"/>
    <xf numFmtId="0" fontId="9" fillId="7" borderId="0" xfId="0" applyFont="1" applyFill="1" applyProtection="1"/>
    <xf numFmtId="171" fontId="9" fillId="0" borderId="0" xfId="2" applyFont="1" applyProtection="1"/>
    <xf numFmtId="175" fontId="7" fillId="0" borderId="0" xfId="2" applyNumberFormat="1" applyFont="1" applyAlignment="1">
      <alignment wrapText="1"/>
    </xf>
    <xf numFmtId="175" fontId="7" fillId="0" borderId="0" xfId="2" applyNumberFormat="1" applyFont="1"/>
    <xf numFmtId="175" fontId="7" fillId="0" borderId="6" xfId="2" applyNumberFormat="1" applyFont="1" applyBorder="1"/>
    <xf numFmtId="175" fontId="13" fillId="0" borderId="0" xfId="2" applyNumberFormat="1" applyFont="1" applyAlignment="1">
      <alignment wrapText="1"/>
    </xf>
    <xf numFmtId="174" fontId="9" fillId="0" borderId="0" xfId="3" applyNumberFormat="1" applyFont="1"/>
    <xf numFmtId="0" fontId="0" fillId="4" borderId="0" xfId="0" applyFill="1" applyAlignment="1" applyProtection="1">
      <alignment vertical="top" wrapText="1"/>
      <protection locked="0"/>
    </xf>
    <xf numFmtId="0" fontId="0" fillId="4" borderId="0" xfId="0" quotePrefix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</cellXfs>
  <cellStyles count="6">
    <cellStyle name="Bad" xfId="1" builtinId="27"/>
    <cellStyle name="Comma" xfId="2" builtinId="3"/>
    <cellStyle name="Currency" xfId="3" builtinId="4"/>
    <cellStyle name="Good" xfId="4" builtinId="26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"/>
  <sheetViews>
    <sheetView tabSelected="1" view="pageBreakPreview" topLeftCell="A4" zoomScaleNormal="100" zoomScaleSheetLayoutView="100" workbookViewId="0">
      <selection activeCell="M20" sqref="M20"/>
    </sheetView>
  </sheetViews>
  <sheetFormatPr defaultRowHeight="15" x14ac:dyDescent="0.25"/>
  <cols>
    <col min="1" max="1" width="51" style="2" customWidth="1"/>
    <col min="2" max="2" width="5.28515625" style="2" customWidth="1"/>
    <col min="3" max="3" width="12.7109375" style="2" customWidth="1"/>
    <col min="4" max="4" width="3.140625" style="2" customWidth="1"/>
    <col min="5" max="5" width="12.7109375" style="2" customWidth="1"/>
    <col min="6" max="6" width="3.7109375" style="2" customWidth="1"/>
    <col min="7" max="7" width="12.7109375" style="2" customWidth="1"/>
    <col min="8" max="8" width="3.28515625" style="2" customWidth="1"/>
    <col min="9" max="9" width="12.7109375" style="2" customWidth="1"/>
    <col min="10" max="10" width="3.28515625" style="2" customWidth="1"/>
    <col min="11" max="11" width="12.7109375" style="2" customWidth="1"/>
    <col min="12" max="12" width="3.5703125" style="2" customWidth="1"/>
    <col min="13" max="13" width="12.7109375" style="2" customWidth="1"/>
    <col min="14" max="14" width="3.28515625" style="2" customWidth="1"/>
    <col min="15" max="15" width="14.42578125" style="2" customWidth="1"/>
    <col min="16" max="16" width="3.7109375" style="2" customWidth="1"/>
    <col min="17" max="17" width="13" style="2" customWidth="1"/>
    <col min="18" max="18" width="3.7109375" style="2" customWidth="1"/>
    <col min="19" max="19" width="12.85546875" style="2" customWidth="1"/>
    <col min="20" max="20" width="3.7109375" style="2" customWidth="1"/>
    <col min="21" max="21" width="13.85546875" style="2" customWidth="1"/>
    <col min="22" max="22" width="3.7109375" style="2" customWidth="1"/>
    <col min="23" max="23" width="12.140625" style="2" customWidth="1"/>
    <col min="24" max="16384" width="9.140625" style="2"/>
  </cols>
  <sheetData>
    <row r="1" spans="1:17" x14ac:dyDescent="0.25">
      <c r="A1" s="1" t="s">
        <v>114</v>
      </c>
    </row>
    <row r="2" spans="1:17" x14ac:dyDescent="0.25">
      <c r="A2" s="3" t="s">
        <v>0</v>
      </c>
      <c r="B2" s="3"/>
    </row>
    <row r="3" spans="1:17" x14ac:dyDescent="0.25">
      <c r="A3" s="3" t="s">
        <v>115</v>
      </c>
      <c r="O3" s="4"/>
    </row>
    <row r="4" spans="1:17" x14ac:dyDescent="0.25">
      <c r="A4" s="3" t="s">
        <v>116</v>
      </c>
      <c r="E4" s="5" t="s">
        <v>1</v>
      </c>
      <c r="F4" s="6"/>
      <c r="G4" s="6"/>
      <c r="H4" s="6"/>
      <c r="I4" s="6"/>
      <c r="O4" s="4"/>
    </row>
    <row r="5" spans="1:17" x14ac:dyDescent="0.25">
      <c r="D5" s="7"/>
      <c r="E5" s="7"/>
      <c r="F5" s="7"/>
      <c r="G5" s="7"/>
    </row>
    <row r="6" spans="1:17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thickTop="1" x14ac:dyDescent="0.25"/>
    <row r="8" spans="1:17" x14ac:dyDescent="0.25">
      <c r="A8" s="3" t="s">
        <v>2</v>
      </c>
      <c r="C8" s="9">
        <v>37165</v>
      </c>
      <c r="E8" s="9">
        <v>37257</v>
      </c>
      <c r="G8" s="9">
        <v>37622</v>
      </c>
      <c r="I8" s="9">
        <v>37987</v>
      </c>
      <c r="K8" s="9">
        <v>38353</v>
      </c>
      <c r="M8" s="9">
        <v>38718</v>
      </c>
    </row>
    <row r="9" spans="1:17" x14ac:dyDescent="0.25">
      <c r="A9" s="3" t="s">
        <v>3</v>
      </c>
      <c r="C9" s="10">
        <v>37256</v>
      </c>
      <c r="E9" s="10">
        <v>37621</v>
      </c>
      <c r="G9" s="10">
        <v>37986</v>
      </c>
      <c r="I9" s="10">
        <v>38352</v>
      </c>
      <c r="K9" s="10">
        <v>38717</v>
      </c>
      <c r="M9" s="10">
        <v>38837</v>
      </c>
      <c r="O9" s="11" t="s">
        <v>4</v>
      </c>
    </row>
    <row r="10" spans="1:17" x14ac:dyDescent="0.25">
      <c r="A10" s="3"/>
      <c r="F10" s="7"/>
      <c r="H10" s="7"/>
    </row>
    <row r="11" spans="1:17" ht="20.25" customHeight="1" x14ac:dyDescent="0.25">
      <c r="A11" s="12" t="s">
        <v>5</v>
      </c>
      <c r="B11" s="13" t="s">
        <v>6</v>
      </c>
      <c r="C11" s="14">
        <v>0</v>
      </c>
      <c r="D11" s="15"/>
      <c r="E11" s="16">
        <f>C22</f>
        <v>67482.256875000006</v>
      </c>
      <c r="F11" s="17"/>
      <c r="G11" s="16">
        <f>E22</f>
        <v>123699.9054166667</v>
      </c>
      <c r="H11" s="17"/>
      <c r="I11" s="16">
        <f>G22</f>
        <v>110166.5235416668</v>
      </c>
      <c r="J11" s="15"/>
      <c r="K11" s="16">
        <f>I22</f>
        <v>109072.54497395846</v>
      </c>
      <c r="L11" s="15"/>
      <c r="M11" s="16">
        <f>K22</f>
        <v>20643.047786458454</v>
      </c>
      <c r="N11" s="15"/>
      <c r="O11" s="16">
        <f>C11</f>
        <v>0</v>
      </c>
    </row>
    <row r="12" spans="1:17" ht="27" customHeight="1" x14ac:dyDescent="0.25">
      <c r="A12" s="12" t="s">
        <v>7</v>
      </c>
      <c r="B12" s="18" t="s">
        <v>8</v>
      </c>
      <c r="C12" s="19">
        <f>'Board Approvals'!G8</f>
        <v>67077</v>
      </c>
      <c r="D12" s="20"/>
      <c r="E12" s="19">
        <f>'Board Approvals'!G10-110948-3</f>
        <v>299304</v>
      </c>
      <c r="F12" s="21"/>
      <c r="G12" s="22">
        <f>'Board Approvals'!G8+'Board Approvals'!G10</f>
        <v>477332</v>
      </c>
      <c r="H12" s="21"/>
      <c r="I12" s="22">
        <f>('Board Approvals'!G10/12*9)+(G12/12*3)</f>
        <v>427024.25</v>
      </c>
      <c r="J12" s="20"/>
      <c r="K12" s="22">
        <f>'Board Approvals'!G10/12*3</f>
        <v>102563.75</v>
      </c>
      <c r="L12" s="20"/>
      <c r="M12" s="19">
        <f>'Board Approvals'!G14/12*4</f>
        <v>96378</v>
      </c>
      <c r="N12" s="20"/>
      <c r="O12" s="16">
        <f t="shared" ref="O12:O20" si="0">SUM(C12:N12)</f>
        <v>1469679</v>
      </c>
      <c r="Q12" s="23"/>
    </row>
    <row r="13" spans="1:17" ht="27" customHeight="1" x14ac:dyDescent="0.25">
      <c r="A13" s="12" t="s">
        <v>9</v>
      </c>
      <c r="B13" s="18"/>
      <c r="C13" s="24"/>
      <c r="D13" s="21"/>
      <c r="E13" s="24"/>
      <c r="F13" s="21"/>
      <c r="G13" s="24"/>
      <c r="H13" s="21"/>
      <c r="I13" s="24"/>
      <c r="J13" s="20"/>
      <c r="K13" s="19">
        <f>'Board Approvals'!G14/12*9</f>
        <v>216850.5</v>
      </c>
      <c r="L13" s="20"/>
      <c r="M13" s="24"/>
      <c r="N13" s="20"/>
      <c r="O13" s="16">
        <f t="shared" si="0"/>
        <v>216850.5</v>
      </c>
    </row>
    <row r="14" spans="1:17" x14ac:dyDescent="0.25">
      <c r="A14" s="12" t="s">
        <v>10</v>
      </c>
      <c r="B14" s="18" t="s">
        <v>8</v>
      </c>
      <c r="C14" s="24"/>
      <c r="D14" s="20"/>
      <c r="E14" s="106">
        <v>37706</v>
      </c>
      <c r="F14" s="21"/>
      <c r="G14" s="25"/>
      <c r="H14" s="21"/>
      <c r="I14" s="25"/>
      <c r="J14" s="20"/>
      <c r="K14" s="24"/>
      <c r="L14" s="20"/>
      <c r="M14" s="24"/>
      <c r="N14" s="20"/>
      <c r="O14" s="16">
        <f t="shared" si="0"/>
        <v>37706</v>
      </c>
    </row>
    <row r="15" spans="1:17" ht="27" customHeight="1" x14ac:dyDescent="0.25">
      <c r="A15" s="12" t="s">
        <v>11</v>
      </c>
      <c r="B15" s="18" t="s">
        <v>8</v>
      </c>
      <c r="C15" s="24"/>
      <c r="D15" s="20"/>
      <c r="E15" s="25"/>
      <c r="F15" s="21"/>
      <c r="G15" s="106">
        <v>40474</v>
      </c>
      <c r="H15" s="21"/>
      <c r="I15" s="106">
        <v>-42132</v>
      </c>
      <c r="J15" s="20"/>
      <c r="K15" s="106">
        <v>-10207</v>
      </c>
      <c r="L15" s="20"/>
      <c r="M15" s="107">
        <v>-12390</v>
      </c>
      <c r="N15" s="20"/>
      <c r="O15" s="16">
        <f t="shared" si="0"/>
        <v>-24255</v>
      </c>
    </row>
    <row r="16" spans="1:17" ht="27" customHeight="1" x14ac:dyDescent="0.25">
      <c r="A16" s="12" t="s">
        <v>12</v>
      </c>
      <c r="B16" s="18"/>
      <c r="C16" s="24"/>
      <c r="D16" s="20"/>
      <c r="E16" s="24"/>
      <c r="F16" s="21"/>
      <c r="G16" s="24"/>
      <c r="H16" s="21"/>
      <c r="I16" s="24"/>
      <c r="J16" s="20"/>
      <c r="K16" s="24"/>
      <c r="L16" s="20"/>
      <c r="M16" s="24"/>
      <c r="N16" s="20"/>
      <c r="O16" s="16">
        <f t="shared" si="0"/>
        <v>0</v>
      </c>
    </row>
    <row r="17" spans="1:17" ht="27.75" customHeight="1" x14ac:dyDescent="0.25">
      <c r="A17" s="12" t="s">
        <v>13</v>
      </c>
      <c r="B17" s="18" t="s">
        <v>8</v>
      </c>
      <c r="C17" s="24"/>
      <c r="D17" s="20"/>
      <c r="E17" s="19">
        <v>-8755</v>
      </c>
      <c r="F17" s="21"/>
      <c r="G17" s="106">
        <v>-69023</v>
      </c>
      <c r="H17" s="21"/>
      <c r="I17" s="106">
        <v>-19321</v>
      </c>
      <c r="J17" s="20"/>
      <c r="K17" s="106">
        <v>-23965</v>
      </c>
      <c r="L17" s="20"/>
      <c r="M17" s="22">
        <v>97345</v>
      </c>
      <c r="N17" s="20"/>
      <c r="O17" s="16">
        <f t="shared" si="0"/>
        <v>-23719</v>
      </c>
    </row>
    <row r="18" spans="1:17" x14ac:dyDescent="0.25">
      <c r="A18" s="12" t="s">
        <v>14</v>
      </c>
      <c r="B18" s="18" t="s">
        <v>8</v>
      </c>
      <c r="C18" s="24"/>
      <c r="D18" s="20"/>
      <c r="E18" s="24"/>
      <c r="F18" s="21"/>
      <c r="G18" s="24"/>
      <c r="H18" s="21"/>
      <c r="I18" s="24"/>
      <c r="J18" s="20"/>
      <c r="K18" s="24"/>
      <c r="L18" s="20"/>
      <c r="M18" s="24"/>
      <c r="N18" s="20"/>
      <c r="O18" s="16">
        <f t="shared" si="0"/>
        <v>0</v>
      </c>
    </row>
    <row r="19" spans="1:17" ht="24" customHeight="1" x14ac:dyDescent="0.25">
      <c r="A19" s="26" t="s">
        <v>15</v>
      </c>
      <c r="B19" s="18" t="s">
        <v>8</v>
      </c>
      <c r="C19" s="24">
        <f>Interest!I7</f>
        <v>405.25687499999998</v>
      </c>
      <c r="D19" s="20"/>
      <c r="E19" s="106">
        <f>Interest!I21</f>
        <v>10217.648541666666</v>
      </c>
      <c r="F19" s="21"/>
      <c r="G19" s="106">
        <f>Interest!I37</f>
        <v>7638.6181249999963</v>
      </c>
      <c r="H19" s="21"/>
      <c r="I19" s="106">
        <f>Interest!I53</f>
        <v>6768.7714322916554</v>
      </c>
      <c r="J19" s="20"/>
      <c r="K19" s="106">
        <f>Interest!I69</f>
        <v>3547.2528124999812</v>
      </c>
      <c r="L19" s="20"/>
      <c r="M19" s="107">
        <f>Interest!I78</f>
        <v>-197.53858333333983</v>
      </c>
      <c r="N19" s="20"/>
      <c r="O19" s="16">
        <f t="shared" si="0"/>
        <v>28380.009203124959</v>
      </c>
      <c r="Q19" s="23"/>
    </row>
    <row r="20" spans="1:17" ht="24.75" customHeight="1" x14ac:dyDescent="0.25">
      <c r="A20" s="12" t="s">
        <v>16</v>
      </c>
      <c r="B20" s="18" t="s">
        <v>17</v>
      </c>
      <c r="C20" s="24">
        <v>0</v>
      </c>
      <c r="D20" s="20"/>
      <c r="E20" s="19">
        <f>Interest!C21</f>
        <v>-282255</v>
      </c>
      <c r="F20" s="21"/>
      <c r="G20" s="19">
        <f>Interest!C37</f>
        <v>-469955</v>
      </c>
      <c r="H20" s="21"/>
      <c r="I20" s="19">
        <f>Interest!C53</f>
        <v>-373434</v>
      </c>
      <c r="J20" s="20"/>
      <c r="K20" s="19">
        <f>Interest!C69</f>
        <v>-377219</v>
      </c>
      <c r="L20" s="20"/>
      <c r="M20" s="24">
        <f>Interest!C78</f>
        <v>-63304</v>
      </c>
      <c r="N20" s="20"/>
      <c r="O20" s="16">
        <f t="shared" si="0"/>
        <v>-1566167</v>
      </c>
      <c r="Q20" s="27"/>
    </row>
    <row r="21" spans="1:17" x14ac:dyDescent="0.25">
      <c r="A21" s="28"/>
      <c r="C21" s="20"/>
      <c r="D21" s="21"/>
      <c r="E21" s="20"/>
      <c r="F21" s="21"/>
      <c r="G21" s="20"/>
      <c r="H21" s="21"/>
      <c r="I21" s="20"/>
      <c r="J21" s="20"/>
      <c r="K21" s="20"/>
      <c r="L21" s="20"/>
      <c r="M21" s="20"/>
      <c r="N21" s="20"/>
      <c r="O21" s="17"/>
    </row>
    <row r="22" spans="1:17" ht="15.75" thickBot="1" x14ac:dyDescent="0.3">
      <c r="A22" s="12" t="s">
        <v>18</v>
      </c>
      <c r="B22" s="7"/>
      <c r="C22" s="29">
        <f>SUM(C11:C20)</f>
        <v>67482.256875000006</v>
      </c>
      <c r="D22" s="17"/>
      <c r="E22" s="29">
        <f>SUM(E11:E20)</f>
        <v>123699.9054166667</v>
      </c>
      <c r="F22" s="17"/>
      <c r="G22" s="29">
        <f>SUM(G11:G20)</f>
        <v>110166.5235416668</v>
      </c>
      <c r="H22" s="17"/>
      <c r="I22" s="29">
        <f>SUM(I11:I20)</f>
        <v>109072.54497395846</v>
      </c>
      <c r="J22" s="15"/>
      <c r="K22" s="29">
        <f>SUM(K11:K20)</f>
        <v>20643.047786458454</v>
      </c>
      <c r="L22" s="15"/>
      <c r="M22" s="29">
        <f>SUM(M11:M21)</f>
        <v>138474.50920312511</v>
      </c>
      <c r="N22" s="15"/>
      <c r="O22" s="29">
        <f>SUM(O11:O21)</f>
        <v>138474.50920312502</v>
      </c>
    </row>
    <row r="23" spans="1:17" ht="15.75" thickTop="1" x14ac:dyDescent="0.25">
      <c r="A23" s="30"/>
      <c r="B23" s="31"/>
      <c r="C23" s="32"/>
      <c r="D23" s="33"/>
      <c r="E23" s="32"/>
      <c r="F23" s="33"/>
      <c r="G23" s="32"/>
      <c r="H23" s="33"/>
      <c r="I23" s="32"/>
      <c r="J23" s="31"/>
      <c r="K23" s="32"/>
      <c r="L23" s="31"/>
      <c r="M23" s="32"/>
      <c r="N23" s="31"/>
      <c r="O23" s="32"/>
    </row>
    <row r="24" spans="1:17" x14ac:dyDescent="0.25">
      <c r="A24" s="34"/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</row>
    <row r="25" spans="1:17" x14ac:dyDescent="0.25">
      <c r="A25" s="30"/>
      <c r="B25" s="31"/>
      <c r="C25" s="38"/>
      <c r="D25" s="38"/>
      <c r="E25" s="38"/>
      <c r="F25" s="38"/>
      <c r="G25" s="38"/>
      <c r="H25" s="38"/>
      <c r="I25" s="38"/>
      <c r="J25" s="39"/>
      <c r="K25" s="38"/>
      <c r="L25" s="39"/>
      <c r="M25" s="38"/>
      <c r="N25" s="39"/>
      <c r="O25" s="38"/>
    </row>
    <row r="26" spans="1:17" x14ac:dyDescent="0.25">
      <c r="A26" s="30" t="s">
        <v>19</v>
      </c>
      <c r="B26" s="31"/>
      <c r="C26" s="38"/>
      <c r="D26" s="38"/>
      <c r="E26" s="38"/>
      <c r="F26" s="38"/>
      <c r="G26" s="38"/>
      <c r="H26" s="38"/>
      <c r="I26" s="38"/>
      <c r="J26" s="39"/>
      <c r="K26" s="38"/>
      <c r="L26" s="39"/>
      <c r="M26" s="38"/>
      <c r="N26" s="39"/>
      <c r="O26" s="38"/>
    </row>
    <row r="27" spans="1:17" ht="9" customHeight="1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40"/>
      <c r="L27" s="31"/>
      <c r="M27" s="31"/>
      <c r="N27" s="31"/>
      <c r="O27" s="31"/>
    </row>
    <row r="28" spans="1:17" x14ac:dyDescent="0.25">
      <c r="A28" s="30" t="s">
        <v>20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7" x14ac:dyDescent="0.25">
      <c r="A29" s="41" t="s">
        <v>21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7" ht="9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7" x14ac:dyDescent="0.25">
      <c r="A31" s="42" t="s">
        <v>22</v>
      </c>
      <c r="B31" s="43"/>
      <c r="C31" s="43"/>
      <c r="D31" s="43"/>
      <c r="E31" s="43"/>
      <c r="F31" s="43"/>
      <c r="G31" s="43"/>
      <c r="H31" s="43"/>
      <c r="I31" s="44"/>
      <c r="J31" s="25" t="s">
        <v>23</v>
      </c>
      <c r="K31" s="44"/>
      <c r="L31" s="44"/>
      <c r="M31" s="44"/>
      <c r="N31" s="44"/>
      <c r="O31" s="44"/>
    </row>
    <row r="32" spans="1:17" ht="9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1:15" x14ac:dyDescent="0.25">
      <c r="A33" s="139" t="s">
        <v>24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</row>
    <row r="34" spans="1:15" x14ac:dyDescent="0.25">
      <c r="A34" s="138" t="s">
        <v>25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</row>
    <row r="35" spans="1:15" x14ac:dyDescent="0.25">
      <c r="A35" s="138" t="s">
        <v>26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</row>
    <row r="36" spans="1:15" x14ac:dyDescent="0.25">
      <c r="A36" s="138" t="s">
        <v>27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</row>
    <row r="37" spans="1:15" x14ac:dyDescent="0.25">
      <c r="A37" s="31" t="s">
        <v>28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x14ac:dyDescent="0.25">
      <c r="A38" s="31" t="s">
        <v>29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x14ac:dyDescent="0.25">
      <c r="A39" s="31" t="s">
        <v>30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x14ac:dyDescent="0.25">
      <c r="A40" s="31" t="s">
        <v>31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ht="9" customHeight="1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x14ac:dyDescent="0.25">
      <c r="A42" s="46" t="s">
        <v>32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x14ac:dyDescent="0.25">
      <c r="A43" s="31" t="s">
        <v>33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ht="9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x14ac:dyDescent="0.25">
      <c r="A45" s="46" t="s">
        <v>34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x14ac:dyDescent="0.25">
      <c r="A46" s="31" t="s">
        <v>35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ht="9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x14ac:dyDescent="0.25">
      <c r="A48" s="46" t="s">
        <v>36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5">
      <c r="A49" s="31" t="s">
        <v>37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ht="9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5">
      <c r="A51" s="46" t="s">
        <v>38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5">
      <c r="A52" s="31" t="s">
        <v>35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ht="9" customHeight="1" x14ac:dyDescent="0.25">
      <c r="A53" s="46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5">
      <c r="A54" s="31" t="s">
        <v>39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ht="9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ht="12.75" customHeight="1" x14ac:dyDescent="0.25">
      <c r="A56" s="46" t="s">
        <v>40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ht="9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5" x14ac:dyDescent="0.25">
      <c r="A58" s="31" t="s">
        <v>41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x14ac:dyDescent="0.25">
      <c r="A59" s="31" t="s">
        <v>42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x14ac:dyDescent="0.25">
      <c r="A60" s="31" t="s">
        <v>43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x14ac:dyDescent="0.25">
      <c r="A61" s="31" t="s">
        <v>44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ht="9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x14ac:dyDescent="0.25">
      <c r="A63" s="31" t="s">
        <v>45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5" x14ac:dyDescent="0.25">
      <c r="A64" s="31" t="s">
        <v>46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7" x14ac:dyDescent="0.25">
      <c r="A65" s="31" t="s">
        <v>47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1:17" ht="3.75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7" x14ac:dyDescent="0.25">
      <c r="A67" s="31" t="s">
        <v>48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7" x14ac:dyDescent="0.25">
      <c r="A68" s="31" t="s">
        <v>49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7" ht="3.75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7" x14ac:dyDescent="0.25">
      <c r="A70" s="31" t="s">
        <v>50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7" x14ac:dyDescent="0.25">
      <c r="A71" s="31" t="s">
        <v>51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1:17" x14ac:dyDescent="0.25">
      <c r="A72" s="31" t="s">
        <v>52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7" ht="9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7" ht="12.75" customHeight="1" x14ac:dyDescent="0.25">
      <c r="A74" s="138" t="s">
        <v>53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</row>
    <row r="75" spans="1:17" x14ac:dyDescent="0.25">
      <c r="A75" s="31" t="s">
        <v>54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7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1:17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1:17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1:17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1:17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1:17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1:17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</row>
    <row r="83" spans="1:17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</row>
    <row r="84" spans="1:17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</row>
    <row r="85" spans="1:17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1:17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1:17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1:17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1:17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17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1:17" x14ac:dyDescent="0.25">
      <c r="A91" s="31"/>
      <c r="B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</row>
    <row r="92" spans="1:17" x14ac:dyDescent="0.25">
      <c r="A92" s="31"/>
      <c r="B92" s="31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</row>
    <row r="93" spans="1:17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1:17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spans="1:17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spans="1:17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pans="1:15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1:15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spans="1:15" x14ac:dyDescent="0.25">
      <c r="A99" s="31"/>
      <c r="B99" s="31"/>
      <c r="C99" s="31"/>
      <c r="D99" s="31"/>
      <c r="E99" s="31" t="s">
        <v>55</v>
      </c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spans="1:15" x14ac:dyDescent="0.25">
      <c r="A100" s="31"/>
      <c r="B100" s="31"/>
      <c r="C100" s="31"/>
      <c r="D100" s="31"/>
      <c r="E100" s="31" t="s">
        <v>55</v>
      </c>
      <c r="F100" s="31"/>
      <c r="G100" s="31"/>
      <c r="H100" s="31"/>
      <c r="I100" s="31"/>
      <c r="J100" s="31"/>
      <c r="K100" s="31"/>
      <c r="L100" s="31"/>
      <c r="M100" s="31"/>
      <c r="N100" s="31"/>
      <c r="O100" s="31"/>
    </row>
    <row r="101" spans="1:15" x14ac:dyDescent="0.25">
      <c r="A101" s="31"/>
      <c r="B101" s="31"/>
      <c r="C101" s="31"/>
      <c r="D101" s="31"/>
      <c r="E101" s="31" t="s">
        <v>55</v>
      </c>
      <c r="F101" s="31"/>
      <c r="G101" s="31"/>
      <c r="H101" s="31"/>
      <c r="I101" s="31"/>
      <c r="J101" s="31"/>
      <c r="K101" s="31"/>
      <c r="L101" s="31"/>
      <c r="M101" s="31"/>
      <c r="N101" s="31"/>
      <c r="O101" s="31"/>
    </row>
    <row r="102" spans="1:15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spans="1:15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1:15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spans="1:15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  <row r="106" spans="1:15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</row>
    <row r="107" spans="1:15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1:15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</row>
  </sheetData>
  <mergeCells count="6">
    <mergeCell ref="C92:Q92"/>
    <mergeCell ref="A33:O33"/>
    <mergeCell ref="A34:O34"/>
    <mergeCell ref="A35:O35"/>
    <mergeCell ref="A36:O36"/>
    <mergeCell ref="A74:O74"/>
  </mergeCells>
  <phoneticPr fontId="0" type="noConversion"/>
  <printOptions headings="1" gridLines="1"/>
  <pageMargins left="0.7" right="0.5" top="0.75" bottom="0.75" header="0.3" footer="0.3"/>
  <pageSetup scale="54" orientation="portrait" r:id="rId1"/>
  <headerFooter>
    <oddHeader>&amp;L&amp;Z&amp;F&amp;A</oddHeader>
    <oddFooter>&amp;L&amp;D&amp;T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view="pageBreakPreview" zoomScaleNormal="100" zoomScaleSheetLayoutView="100" workbookViewId="0">
      <selection activeCell="B8" sqref="B8"/>
    </sheetView>
  </sheetViews>
  <sheetFormatPr defaultRowHeight="15" x14ac:dyDescent="0.25"/>
  <cols>
    <col min="1" max="1" width="31.140625" style="2" customWidth="1"/>
    <col min="2" max="2" width="14.140625" style="2" customWidth="1"/>
    <col min="3" max="3" width="12" style="2" customWidth="1"/>
    <col min="4" max="4" width="12.85546875" style="2" bestFit="1" customWidth="1"/>
    <col min="5" max="6" width="15.85546875" style="2" customWidth="1"/>
    <col min="7" max="7" width="12.7109375" style="2" customWidth="1"/>
    <col min="8" max="8" width="3.7109375" style="2" customWidth="1"/>
    <col min="9" max="15" width="12.7109375" style="2" customWidth="1"/>
    <col min="16" max="16384" width="9.140625" style="2"/>
  </cols>
  <sheetData>
    <row r="1" spans="1:19" x14ac:dyDescent="0.25">
      <c r="A1" s="3" t="s">
        <v>67</v>
      </c>
      <c r="B1" s="3"/>
      <c r="C1" s="3"/>
      <c r="D1" s="3"/>
    </row>
    <row r="2" spans="1:19" ht="15" customHeight="1" x14ac:dyDescent="0.25">
      <c r="A2" s="3" t="s">
        <v>56</v>
      </c>
      <c r="B2" s="47" t="s">
        <v>57</v>
      </c>
      <c r="C2" s="47" t="s">
        <v>58</v>
      </c>
      <c r="D2" s="47" t="s">
        <v>59</v>
      </c>
      <c r="E2" s="47" t="s">
        <v>74</v>
      </c>
      <c r="F2" s="47" t="s">
        <v>71</v>
      </c>
      <c r="G2" s="47" t="s">
        <v>73</v>
      </c>
      <c r="O2" s="47"/>
      <c r="P2" s="47"/>
      <c r="Q2" s="47"/>
      <c r="R2" s="47"/>
      <c r="S2" s="47"/>
    </row>
    <row r="3" spans="1:19" x14ac:dyDescent="0.25">
      <c r="A3" s="3"/>
      <c r="B3" s="47" t="s">
        <v>60</v>
      </c>
      <c r="C3" s="47" t="s">
        <v>61</v>
      </c>
      <c r="D3" s="47" t="s">
        <v>62</v>
      </c>
      <c r="E3" s="47" t="s">
        <v>70</v>
      </c>
      <c r="F3" s="47" t="s">
        <v>72</v>
      </c>
      <c r="G3" s="47" t="s">
        <v>70</v>
      </c>
      <c r="O3" s="47"/>
      <c r="P3" s="47"/>
      <c r="Q3" s="47"/>
      <c r="R3" s="47"/>
      <c r="S3" s="47"/>
    </row>
    <row r="4" spans="1:19" ht="25.5" x14ac:dyDescent="0.25">
      <c r="A4" s="12" t="s">
        <v>68</v>
      </c>
      <c r="B4" s="3"/>
      <c r="C4" s="3"/>
      <c r="D4" s="47" t="s">
        <v>63</v>
      </c>
      <c r="E4" s="47" t="s">
        <v>69</v>
      </c>
      <c r="F4" s="47"/>
      <c r="G4" s="47" t="s">
        <v>69</v>
      </c>
      <c r="O4" s="47"/>
      <c r="P4" s="47"/>
      <c r="Q4" s="47"/>
      <c r="R4" s="47"/>
      <c r="S4" s="47"/>
    </row>
    <row r="5" spans="1:19" x14ac:dyDescent="0.25">
      <c r="A5" s="48"/>
      <c r="G5" s="47"/>
      <c r="Q5" s="47"/>
    </row>
    <row r="6" spans="1:19" x14ac:dyDescent="0.25">
      <c r="D6" s="49"/>
    </row>
    <row r="7" spans="1:19" x14ac:dyDescent="0.25">
      <c r="B7" s="3"/>
      <c r="C7" s="3"/>
      <c r="D7" s="50"/>
    </row>
    <row r="8" spans="1:19" s="58" customFormat="1" ht="25.5" x14ac:dyDescent="0.25">
      <c r="A8" s="53" t="s">
        <v>64</v>
      </c>
      <c r="B8" s="26" t="s">
        <v>112</v>
      </c>
      <c r="C8" s="54">
        <v>37313</v>
      </c>
      <c r="D8" s="54">
        <v>37316</v>
      </c>
      <c r="E8" s="55">
        <v>67077</v>
      </c>
      <c r="F8" s="55">
        <v>0</v>
      </c>
      <c r="G8" s="56">
        <f>F8+E8</f>
        <v>67077</v>
      </c>
      <c r="H8" s="57"/>
      <c r="R8" s="57"/>
      <c r="S8" s="57"/>
    </row>
    <row r="9" spans="1:19" s="58" customFormat="1" x14ac:dyDescent="0.25">
      <c r="B9" s="59"/>
      <c r="C9" s="60"/>
      <c r="D9" s="60"/>
      <c r="E9" s="61"/>
      <c r="F9" s="61"/>
      <c r="G9" s="61"/>
      <c r="H9" s="57"/>
      <c r="R9" s="57"/>
      <c r="S9" s="57"/>
    </row>
    <row r="10" spans="1:19" s="58" customFormat="1" ht="25.5" x14ac:dyDescent="0.25">
      <c r="A10" s="53" t="s">
        <v>65</v>
      </c>
      <c r="B10" s="26" t="s">
        <v>112</v>
      </c>
      <c r="C10" s="54">
        <v>37313</v>
      </c>
      <c r="D10" s="54">
        <v>37316</v>
      </c>
      <c r="E10" s="55">
        <v>410255</v>
      </c>
      <c r="F10" s="55">
        <v>0</v>
      </c>
      <c r="G10" s="56">
        <f>F10+E10</f>
        <v>410255</v>
      </c>
      <c r="H10" s="57"/>
      <c r="R10" s="57"/>
      <c r="S10" s="57"/>
    </row>
    <row r="11" spans="1:19" s="58" customFormat="1" x14ac:dyDescent="0.25">
      <c r="A11" s="53"/>
      <c r="B11" s="26"/>
      <c r="C11" s="54"/>
      <c r="D11" s="54"/>
      <c r="E11" s="55"/>
      <c r="F11" s="55"/>
      <c r="G11" s="124"/>
      <c r="H11" s="57"/>
      <c r="R11" s="57"/>
      <c r="S11" s="57"/>
    </row>
    <row r="12" spans="1:19" s="58" customFormat="1" ht="25.5" x14ac:dyDescent="0.25">
      <c r="A12" s="53" t="s">
        <v>110</v>
      </c>
      <c r="B12" s="26" t="s">
        <v>111</v>
      </c>
      <c r="C12" s="54"/>
      <c r="D12" s="54">
        <v>38047</v>
      </c>
      <c r="E12" s="55">
        <v>410255</v>
      </c>
      <c r="F12" s="55">
        <v>0</v>
      </c>
      <c r="G12" s="56">
        <f>F12+E12</f>
        <v>410255</v>
      </c>
      <c r="H12" s="57"/>
      <c r="R12" s="57"/>
      <c r="S12" s="57"/>
    </row>
    <row r="13" spans="1:19" s="58" customFormat="1" x14ac:dyDescent="0.25">
      <c r="A13" s="53"/>
      <c r="B13" s="59"/>
      <c r="C13" s="62"/>
      <c r="D13" s="54"/>
      <c r="E13" s="61"/>
      <c r="F13" s="61"/>
      <c r="G13" s="63"/>
      <c r="H13" s="57"/>
      <c r="R13" s="57"/>
      <c r="S13" s="57"/>
    </row>
    <row r="14" spans="1:19" s="58" customFormat="1" ht="25.5" x14ac:dyDescent="0.25">
      <c r="A14" s="53" t="s">
        <v>66</v>
      </c>
      <c r="B14" s="26" t="s">
        <v>109</v>
      </c>
      <c r="C14" s="54"/>
      <c r="D14" s="54">
        <v>38443</v>
      </c>
      <c r="E14" s="55">
        <v>289134</v>
      </c>
      <c r="F14" s="55">
        <v>0</v>
      </c>
      <c r="G14" s="56">
        <f>SUM(E14:E14)</f>
        <v>289134</v>
      </c>
      <c r="H14" s="57"/>
      <c r="N14" s="57"/>
      <c r="R14" s="57"/>
      <c r="S14" s="57"/>
    </row>
    <row r="15" spans="1:19" x14ac:dyDescent="0.25">
      <c r="A15" s="51"/>
      <c r="B15" s="51"/>
      <c r="C15" s="52"/>
      <c r="D15" s="50"/>
      <c r="E15" s="23"/>
      <c r="F15" s="23"/>
      <c r="G15" s="23"/>
      <c r="H15" s="23"/>
      <c r="R15" s="23"/>
      <c r="S15" s="23"/>
    </row>
    <row r="16" spans="1:19" x14ac:dyDescent="0.25">
      <c r="A16" s="51"/>
      <c r="B16" s="51"/>
      <c r="C16" s="52"/>
      <c r="D16" s="50"/>
      <c r="E16" s="23"/>
      <c r="F16" s="23"/>
      <c r="G16" s="23"/>
      <c r="H16" s="23"/>
      <c r="R16" s="23"/>
      <c r="S16" s="23"/>
    </row>
    <row r="17" spans="1:19" x14ac:dyDescent="0.25">
      <c r="A17" s="51"/>
      <c r="B17" s="51"/>
      <c r="C17" s="52"/>
      <c r="D17" s="52"/>
      <c r="E17" s="23"/>
      <c r="F17" s="23"/>
      <c r="G17" s="23"/>
      <c r="H17" s="23"/>
      <c r="R17" s="23"/>
      <c r="S17" s="23"/>
    </row>
    <row r="18" spans="1:19" x14ac:dyDescent="0.25">
      <c r="A18" s="51"/>
      <c r="B18" s="51"/>
      <c r="C18" s="52"/>
      <c r="D18" s="52"/>
      <c r="E18" s="23"/>
      <c r="F18" s="23"/>
      <c r="G18" s="23"/>
      <c r="H18" s="23"/>
      <c r="N18" s="23"/>
      <c r="R18" s="23"/>
      <c r="S18" s="23"/>
    </row>
    <row r="19" spans="1:19" x14ac:dyDescent="0.25">
      <c r="A19" s="51"/>
      <c r="B19" s="51"/>
      <c r="C19" s="52"/>
      <c r="D19" s="52"/>
      <c r="E19" s="23"/>
      <c r="F19" s="23"/>
      <c r="G19" s="23"/>
      <c r="H19" s="23"/>
      <c r="R19" s="23"/>
      <c r="S19" s="23"/>
    </row>
    <row r="20" spans="1:19" x14ac:dyDescent="0.25">
      <c r="A20" s="51"/>
      <c r="B20" s="51"/>
      <c r="C20" s="52"/>
      <c r="D20" s="52"/>
      <c r="E20" s="23"/>
      <c r="F20" s="23"/>
      <c r="G20" s="23"/>
      <c r="H20" s="23"/>
      <c r="R20" s="23"/>
      <c r="S20" s="23"/>
    </row>
    <row r="21" spans="1:19" x14ac:dyDescent="0.25">
      <c r="C21" s="52"/>
      <c r="D21" s="52"/>
      <c r="E21" s="23"/>
      <c r="F21" s="23"/>
      <c r="G21" s="23"/>
      <c r="H21" s="23"/>
      <c r="R21" s="23"/>
      <c r="S21" s="23"/>
    </row>
    <row r="22" spans="1:19" x14ac:dyDescent="0.25">
      <c r="A22" s="51"/>
      <c r="B22" s="51"/>
      <c r="C22" s="52"/>
      <c r="D22" s="52"/>
      <c r="E22" s="23"/>
      <c r="F22" s="23"/>
      <c r="G22" s="23"/>
      <c r="H22" s="23"/>
      <c r="R22" s="23"/>
      <c r="S22" s="23"/>
    </row>
    <row r="23" spans="1:19" x14ac:dyDescent="0.25">
      <c r="C23" s="52"/>
      <c r="D23" s="52"/>
      <c r="E23" s="23"/>
      <c r="F23" s="23"/>
      <c r="G23" s="23"/>
      <c r="H23" s="23"/>
      <c r="R23" s="23"/>
      <c r="S23" s="23"/>
    </row>
    <row r="24" spans="1:19" x14ac:dyDescent="0.25">
      <c r="C24" s="13"/>
      <c r="D24" s="13"/>
      <c r="H24" s="23"/>
      <c r="R24" s="23"/>
      <c r="S24" s="23"/>
    </row>
    <row r="25" spans="1:19" x14ac:dyDescent="0.25">
      <c r="A25" s="51"/>
      <c r="B25" s="51"/>
      <c r="C25" s="52"/>
      <c r="D25" s="52"/>
      <c r="E25" s="23"/>
      <c r="F25" s="23"/>
      <c r="G25" s="23"/>
      <c r="H25" s="23"/>
      <c r="R25" s="23"/>
      <c r="S25" s="23"/>
    </row>
    <row r="26" spans="1:19" x14ac:dyDescent="0.25">
      <c r="A26" s="51"/>
      <c r="B26" s="51"/>
      <c r="C26" s="52"/>
      <c r="D26" s="52"/>
      <c r="E26" s="23"/>
      <c r="F26" s="23"/>
      <c r="G26" s="23"/>
      <c r="H26" s="23"/>
      <c r="R26" s="23"/>
      <c r="S26" s="23"/>
    </row>
    <row r="27" spans="1:19" x14ac:dyDescent="0.25">
      <c r="C27" s="49"/>
      <c r="D27" s="49"/>
      <c r="E27" s="23"/>
      <c r="F27" s="23"/>
      <c r="G27" s="23"/>
      <c r="H27" s="23"/>
      <c r="R27" s="23"/>
      <c r="S27" s="23"/>
    </row>
    <row r="28" spans="1:19" x14ac:dyDescent="0.25">
      <c r="C28" s="49"/>
      <c r="D28" s="49"/>
      <c r="E28" s="23"/>
      <c r="F28" s="23"/>
      <c r="G28" s="23"/>
      <c r="H28" s="23"/>
      <c r="R28" s="23"/>
      <c r="S28" s="23"/>
    </row>
    <row r="29" spans="1:19" x14ac:dyDescent="0.25">
      <c r="C29" s="49"/>
      <c r="D29" s="49"/>
      <c r="H29" s="23"/>
      <c r="I29" s="23"/>
      <c r="J29" s="23"/>
      <c r="K29" s="23"/>
      <c r="L29" s="23"/>
      <c r="R29" s="23"/>
      <c r="S29" s="23"/>
    </row>
    <row r="30" spans="1:19" x14ac:dyDescent="0.25">
      <c r="A30" s="141"/>
      <c r="B30" s="141"/>
      <c r="C30" s="141"/>
      <c r="D30" s="141"/>
      <c r="E30" s="142"/>
      <c r="I30" s="23"/>
      <c r="J30" s="23"/>
      <c r="K30" s="23"/>
      <c r="L30" s="23"/>
    </row>
    <row r="31" spans="1:19" x14ac:dyDescent="0.25">
      <c r="A31" s="141"/>
      <c r="B31" s="141"/>
      <c r="C31" s="141"/>
      <c r="D31" s="141"/>
      <c r="E31" s="142"/>
      <c r="F31" s="142"/>
      <c r="G31" s="142"/>
      <c r="I31" s="23"/>
      <c r="J31" s="23"/>
      <c r="K31" s="23"/>
      <c r="L31" s="23"/>
    </row>
    <row r="32" spans="1:19" x14ac:dyDescent="0.25">
      <c r="A32" s="141"/>
      <c r="B32" s="141"/>
      <c r="C32" s="141"/>
      <c r="D32" s="141"/>
      <c r="E32" s="142"/>
      <c r="F32" s="142"/>
      <c r="G32" s="142"/>
      <c r="I32" s="23"/>
      <c r="J32" s="23"/>
      <c r="K32" s="23"/>
      <c r="L32" s="23"/>
    </row>
    <row r="33" spans="1:12" x14ac:dyDescent="0.25">
      <c r="A33" s="51"/>
      <c r="B33" s="51"/>
      <c r="C33" s="51"/>
      <c r="D33" s="51"/>
      <c r="I33" s="23"/>
      <c r="J33" s="23"/>
      <c r="K33" s="23"/>
      <c r="L33" s="23"/>
    </row>
    <row r="34" spans="1:12" x14ac:dyDescent="0.25">
      <c r="A34" s="51"/>
      <c r="B34" s="51"/>
      <c r="C34" s="51"/>
      <c r="D34" s="51"/>
      <c r="I34" s="23"/>
      <c r="J34" s="23"/>
      <c r="K34" s="23"/>
      <c r="L34" s="23"/>
    </row>
    <row r="35" spans="1:12" x14ac:dyDescent="0.25">
      <c r="A35" s="51"/>
      <c r="B35" s="51"/>
      <c r="C35" s="51"/>
      <c r="D35" s="51"/>
      <c r="I35" s="23"/>
      <c r="J35" s="23"/>
      <c r="K35" s="23"/>
      <c r="L35" s="23"/>
    </row>
    <row r="36" spans="1:12" x14ac:dyDescent="0.25">
      <c r="A36" s="51"/>
      <c r="B36" s="51"/>
      <c r="C36" s="51"/>
      <c r="D36" s="51"/>
    </row>
    <row r="37" spans="1:12" x14ac:dyDescent="0.25">
      <c r="A37" s="51"/>
      <c r="B37" s="51"/>
      <c r="C37" s="51"/>
      <c r="D37" s="51"/>
    </row>
    <row r="38" spans="1:12" x14ac:dyDescent="0.25">
      <c r="A38" s="51"/>
      <c r="B38" s="51"/>
      <c r="C38" s="51"/>
      <c r="D38" s="51"/>
    </row>
    <row r="39" spans="1:12" x14ac:dyDescent="0.25">
      <c r="A39" s="51"/>
      <c r="B39" s="51"/>
      <c r="C39" s="51"/>
      <c r="D39" s="51"/>
    </row>
  </sheetData>
  <mergeCells count="3">
    <mergeCell ref="A30:E30"/>
    <mergeCell ref="A31:G31"/>
    <mergeCell ref="A32:G32"/>
  </mergeCells>
  <phoneticPr fontId="0" type="noConversion"/>
  <printOptions headings="1" gridLines="1"/>
  <pageMargins left="0.7" right="0.7" top="0.75" bottom="0.75" header="0.3" footer="0.3"/>
  <pageSetup scale="76" orientation="portrait" r:id="rId1"/>
  <headerFooter>
    <oddHeader>&amp;L&amp;Z&amp;F&amp;A</oddHeader>
    <oddFooter>&amp;L&amp;D&amp;T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4" workbookViewId="0">
      <selection activeCell="D21" sqref="D21"/>
    </sheetView>
  </sheetViews>
  <sheetFormatPr defaultRowHeight="15" x14ac:dyDescent="0.25"/>
  <cols>
    <col min="1" max="1" width="37.140625" style="2" customWidth="1"/>
    <col min="2" max="2" width="12.7109375" style="58" customWidth="1"/>
    <col min="3" max="3" width="12.7109375" style="13" customWidth="1"/>
    <col min="4" max="4" width="14.5703125" style="13" customWidth="1"/>
    <col min="5" max="6" width="12.7109375" style="2" customWidth="1"/>
    <col min="7" max="7" width="6.28515625" style="2" bestFit="1" customWidth="1"/>
    <col min="8" max="16" width="12.7109375" style="2" customWidth="1"/>
    <col min="17" max="16384" width="9.140625" style="2"/>
  </cols>
  <sheetData>
    <row r="1" spans="1:12" s="58" customFormat="1" x14ac:dyDescent="0.25">
      <c r="A1" s="67" t="s">
        <v>67</v>
      </c>
      <c r="C1" s="70"/>
      <c r="D1" s="70"/>
    </row>
    <row r="2" spans="1:12" s="58" customFormat="1" x14ac:dyDescent="0.25">
      <c r="A2" s="67" t="s">
        <v>56</v>
      </c>
      <c r="B2" s="68" t="s">
        <v>75</v>
      </c>
      <c r="C2" s="68" t="s">
        <v>76</v>
      </c>
      <c r="D2" s="68" t="s">
        <v>75</v>
      </c>
      <c r="E2" s="68" t="s">
        <v>69</v>
      </c>
      <c r="F2" s="68" t="s">
        <v>77</v>
      </c>
      <c r="G2" s="68"/>
    </row>
    <row r="3" spans="1:12" s="58" customFormat="1" x14ac:dyDescent="0.25">
      <c r="A3" s="67" t="s">
        <v>78</v>
      </c>
      <c r="B3" s="68" t="s">
        <v>79</v>
      </c>
      <c r="C3" s="68" t="s">
        <v>80</v>
      </c>
      <c r="D3" s="68" t="s">
        <v>79</v>
      </c>
      <c r="E3" s="68" t="s">
        <v>81</v>
      </c>
      <c r="F3" s="68" t="s">
        <v>70</v>
      </c>
      <c r="G3" s="68"/>
      <c r="H3" s="143" t="s">
        <v>91</v>
      </c>
      <c r="I3" s="144"/>
      <c r="J3" s="144"/>
      <c r="K3" s="144"/>
      <c r="L3" s="145"/>
    </row>
    <row r="4" spans="1:12" s="58" customFormat="1" ht="25.5" x14ac:dyDescent="0.25">
      <c r="A4" s="26" t="s">
        <v>68</v>
      </c>
      <c r="B4" s="68" t="s">
        <v>82</v>
      </c>
      <c r="C4" s="70"/>
      <c r="D4" s="68" t="s">
        <v>83</v>
      </c>
      <c r="E4" s="68" t="s">
        <v>84</v>
      </c>
      <c r="F4" s="68" t="s">
        <v>69</v>
      </c>
      <c r="G4" s="68"/>
      <c r="H4" s="69">
        <v>2002</v>
      </c>
      <c r="I4" s="69">
        <v>2003</v>
      </c>
      <c r="J4" s="69">
        <v>2004</v>
      </c>
      <c r="K4" s="69">
        <v>2005</v>
      </c>
      <c r="L4" s="69">
        <v>2006</v>
      </c>
    </row>
    <row r="5" spans="1:12" x14ac:dyDescent="0.25">
      <c r="D5" s="47" t="s">
        <v>85</v>
      </c>
    </row>
    <row r="8" spans="1:12" x14ac:dyDescent="0.25">
      <c r="A8" s="51" t="s">
        <v>86</v>
      </c>
      <c r="B8" s="70">
        <v>3</v>
      </c>
      <c r="C8" s="13">
        <v>2002</v>
      </c>
      <c r="D8" s="13">
        <v>10</v>
      </c>
      <c r="E8" s="56">
        <f>'Board Approvals'!G8</f>
        <v>67077</v>
      </c>
      <c r="F8" s="65">
        <f>E8</f>
        <v>67077</v>
      </c>
      <c r="G8" s="23"/>
      <c r="H8" s="66">
        <f>F8</f>
        <v>67077</v>
      </c>
    </row>
    <row r="9" spans="1:12" x14ac:dyDescent="0.25">
      <c r="A9" s="51"/>
      <c r="B9" s="70"/>
      <c r="E9" s="23"/>
      <c r="F9" s="23"/>
      <c r="G9" s="23"/>
      <c r="H9" s="23"/>
    </row>
    <row r="10" spans="1:12" x14ac:dyDescent="0.25">
      <c r="A10" s="51" t="s">
        <v>86</v>
      </c>
      <c r="B10" s="70">
        <v>3</v>
      </c>
      <c r="C10" s="13">
        <v>2003</v>
      </c>
      <c r="D10" s="13">
        <v>12</v>
      </c>
      <c r="E10" s="56">
        <f>'Board Approvals'!G8</f>
        <v>67077</v>
      </c>
      <c r="F10" s="65">
        <f>E10</f>
        <v>67077</v>
      </c>
      <c r="G10" s="23"/>
      <c r="H10" s="23"/>
      <c r="I10" s="66">
        <f>F10</f>
        <v>67077</v>
      </c>
    </row>
    <row r="11" spans="1:12" x14ac:dyDescent="0.25">
      <c r="B11" s="70"/>
      <c r="E11" s="23"/>
      <c r="F11" s="23"/>
      <c r="G11" s="23"/>
      <c r="H11" s="23"/>
    </row>
    <row r="12" spans="1:12" x14ac:dyDescent="0.25">
      <c r="A12" s="51" t="s">
        <v>86</v>
      </c>
      <c r="B12" s="70">
        <v>3</v>
      </c>
      <c r="C12" s="13">
        <v>2004</v>
      </c>
      <c r="D12" s="13">
        <v>2</v>
      </c>
      <c r="E12" s="56">
        <f>'Board Approvals'!G8</f>
        <v>67077</v>
      </c>
      <c r="F12" s="65">
        <f>D12/12*E12</f>
        <v>11179.5</v>
      </c>
      <c r="G12" s="23"/>
      <c r="H12" s="23"/>
      <c r="J12" s="66">
        <f>F12</f>
        <v>11179.5</v>
      </c>
    </row>
    <row r="13" spans="1:12" x14ac:dyDescent="0.25">
      <c r="B13" s="70"/>
      <c r="E13" s="23"/>
      <c r="F13" s="23"/>
      <c r="G13" s="23"/>
      <c r="H13" s="23"/>
    </row>
    <row r="14" spans="1:12" x14ac:dyDescent="0.25">
      <c r="B14" s="70"/>
      <c r="E14" s="23"/>
      <c r="F14" s="23"/>
      <c r="G14" s="23"/>
      <c r="H14" s="23"/>
    </row>
    <row r="15" spans="1:12" x14ac:dyDescent="0.25">
      <c r="A15" s="51" t="s">
        <v>65</v>
      </c>
      <c r="B15" s="70">
        <v>12</v>
      </c>
      <c r="C15" s="13">
        <v>2002</v>
      </c>
      <c r="D15" s="13">
        <v>10</v>
      </c>
      <c r="E15" s="56">
        <f>'Board Approvals'!G10</f>
        <v>410255</v>
      </c>
      <c r="F15" s="65">
        <f>E15</f>
        <v>410255</v>
      </c>
      <c r="G15" s="23"/>
      <c r="H15" s="66">
        <f>F15</f>
        <v>410255</v>
      </c>
    </row>
    <row r="16" spans="1:12" x14ac:dyDescent="0.25">
      <c r="A16" s="51"/>
      <c r="B16" s="70"/>
      <c r="E16" s="23"/>
      <c r="F16" s="23"/>
      <c r="G16" s="23"/>
      <c r="H16" s="23"/>
    </row>
    <row r="17" spans="1:12" x14ac:dyDescent="0.25">
      <c r="A17" s="51" t="s">
        <v>65</v>
      </c>
      <c r="B17" s="70">
        <v>12</v>
      </c>
      <c r="C17" s="13">
        <v>2003</v>
      </c>
      <c r="D17" s="13">
        <v>12</v>
      </c>
      <c r="E17" s="56">
        <f>'Board Approvals'!G10</f>
        <v>410255</v>
      </c>
      <c r="F17" s="65">
        <f>E17</f>
        <v>410255</v>
      </c>
      <c r="G17" s="23"/>
      <c r="H17" s="23"/>
      <c r="I17" s="66">
        <f>F17</f>
        <v>410255</v>
      </c>
    </row>
    <row r="18" spans="1:12" x14ac:dyDescent="0.25">
      <c r="A18" s="51"/>
      <c r="B18" s="70"/>
      <c r="E18" s="23"/>
      <c r="F18" s="23"/>
      <c r="G18" s="23"/>
      <c r="H18" s="23"/>
    </row>
    <row r="19" spans="1:12" x14ac:dyDescent="0.25">
      <c r="A19" s="51" t="s">
        <v>65</v>
      </c>
      <c r="B19" s="70">
        <v>12</v>
      </c>
      <c r="C19" s="13">
        <v>2004</v>
      </c>
      <c r="D19" s="13">
        <v>12</v>
      </c>
      <c r="E19" s="56">
        <f>'Board Approvals'!G10</f>
        <v>410255</v>
      </c>
      <c r="F19" s="65">
        <f>E19</f>
        <v>410255</v>
      </c>
      <c r="G19" s="23"/>
      <c r="H19" s="23"/>
      <c r="J19" s="66">
        <f>F19</f>
        <v>410255</v>
      </c>
    </row>
    <row r="20" spans="1:12" x14ac:dyDescent="0.25">
      <c r="A20" s="51"/>
      <c r="B20" s="70"/>
      <c r="E20" s="23"/>
      <c r="F20" s="23"/>
      <c r="G20" s="23"/>
      <c r="H20" s="23"/>
    </row>
    <row r="21" spans="1:12" x14ac:dyDescent="0.25">
      <c r="A21" s="51" t="s">
        <v>65</v>
      </c>
      <c r="B21" s="70">
        <v>12</v>
      </c>
      <c r="C21" s="13">
        <v>2005</v>
      </c>
      <c r="D21" s="13">
        <v>3</v>
      </c>
      <c r="E21" s="56">
        <f>'Board Approvals'!G10</f>
        <v>410255</v>
      </c>
      <c r="F21" s="65">
        <f>D21/12*E21</f>
        <v>102563.75</v>
      </c>
      <c r="G21" s="23"/>
      <c r="H21" s="23"/>
      <c r="K21" s="66">
        <f>F21</f>
        <v>102563.75</v>
      </c>
    </row>
    <row r="22" spans="1:12" x14ac:dyDescent="0.25">
      <c r="B22" s="70"/>
      <c r="E22" s="23"/>
      <c r="F22" s="23"/>
      <c r="G22" s="23"/>
      <c r="H22" s="23"/>
    </row>
    <row r="23" spans="1:12" x14ac:dyDescent="0.25">
      <c r="B23" s="70"/>
      <c r="E23" s="23"/>
      <c r="F23" s="23"/>
      <c r="G23" s="23"/>
      <c r="H23" s="23"/>
    </row>
    <row r="24" spans="1:12" x14ac:dyDescent="0.25">
      <c r="A24" s="51" t="s">
        <v>66</v>
      </c>
      <c r="B24" s="70">
        <v>12</v>
      </c>
      <c r="C24" s="13">
        <v>2005</v>
      </c>
      <c r="D24" s="13">
        <v>9</v>
      </c>
      <c r="E24" s="56">
        <f>'Board Approvals'!G14</f>
        <v>289134</v>
      </c>
      <c r="F24" s="65">
        <f>D24/12*E24</f>
        <v>216850.5</v>
      </c>
      <c r="G24" s="23"/>
      <c r="H24" s="23"/>
      <c r="K24" s="66">
        <f>F24</f>
        <v>216850.5</v>
      </c>
    </row>
    <row r="25" spans="1:12" x14ac:dyDescent="0.25">
      <c r="A25" s="51"/>
      <c r="B25" s="70"/>
      <c r="E25" s="23"/>
      <c r="F25" s="23"/>
      <c r="G25" s="23"/>
      <c r="H25" s="23"/>
    </row>
    <row r="26" spans="1:12" x14ac:dyDescent="0.25">
      <c r="A26" s="51" t="s">
        <v>66</v>
      </c>
      <c r="B26" s="70">
        <v>12</v>
      </c>
      <c r="C26" s="13">
        <v>2006</v>
      </c>
      <c r="D26" s="13">
        <v>4</v>
      </c>
      <c r="E26" s="56">
        <f>'Board Approvals'!G14</f>
        <v>289134</v>
      </c>
      <c r="F26" s="65">
        <f>D26/12*E26</f>
        <v>96378</v>
      </c>
      <c r="G26" s="23"/>
      <c r="H26" s="23"/>
      <c r="L26" s="66">
        <f>F26</f>
        <v>96378</v>
      </c>
    </row>
    <row r="27" spans="1:12" ht="15.75" thickBot="1" x14ac:dyDescent="0.3">
      <c r="E27" s="23"/>
      <c r="F27" s="23"/>
      <c r="G27" s="23" t="s">
        <v>90</v>
      </c>
      <c r="H27" s="64">
        <f>SUM(H8:H26)</f>
        <v>477332</v>
      </c>
      <c r="I27" s="64">
        <f>SUM(I8:I26)</f>
        <v>477332</v>
      </c>
      <c r="J27" s="64">
        <f>SUM(J8:J26)</f>
        <v>421434.5</v>
      </c>
      <c r="K27" s="64">
        <f>SUM(K8:K26)</f>
        <v>319414.25</v>
      </c>
      <c r="L27" s="64">
        <f>SUM(L8:L26)</f>
        <v>96378</v>
      </c>
    </row>
    <row r="28" spans="1:12" ht="15.75" thickTop="1" x14ac:dyDescent="0.25">
      <c r="E28" s="23"/>
      <c r="F28" s="23"/>
      <c r="G28" s="23"/>
      <c r="H28" s="23"/>
    </row>
    <row r="29" spans="1:12" x14ac:dyDescent="0.25">
      <c r="E29" s="23"/>
      <c r="F29" s="23"/>
      <c r="G29" s="23"/>
      <c r="H29" s="23"/>
    </row>
    <row r="30" spans="1:12" x14ac:dyDescent="0.25">
      <c r="A30" s="141" t="s">
        <v>87</v>
      </c>
      <c r="B30" s="142"/>
      <c r="C30" s="142"/>
      <c r="D30" s="142"/>
      <c r="E30" s="142"/>
    </row>
    <row r="31" spans="1:12" x14ac:dyDescent="0.25">
      <c r="A31" s="141" t="s">
        <v>92</v>
      </c>
      <c r="B31" s="142"/>
      <c r="C31" s="142"/>
      <c r="D31" s="142"/>
      <c r="E31" s="142"/>
      <c r="F31" s="142"/>
    </row>
    <row r="32" spans="1:12" x14ac:dyDescent="0.25">
      <c r="A32" s="141" t="s">
        <v>88</v>
      </c>
      <c r="B32" s="142"/>
      <c r="C32" s="142"/>
      <c r="D32" s="142"/>
      <c r="E32" s="142"/>
      <c r="F32" s="142"/>
    </row>
    <row r="33" spans="1:1" x14ac:dyDescent="0.25">
      <c r="A33" s="51" t="s">
        <v>89</v>
      </c>
    </row>
    <row r="34" spans="1:1" x14ac:dyDescent="0.25">
      <c r="A34" s="51"/>
    </row>
    <row r="35" spans="1:1" x14ac:dyDescent="0.25">
      <c r="A35" s="51"/>
    </row>
    <row r="36" spans="1:1" x14ac:dyDescent="0.25">
      <c r="A36" s="51"/>
    </row>
    <row r="37" spans="1:1" x14ac:dyDescent="0.25">
      <c r="A37" s="51"/>
    </row>
    <row r="38" spans="1:1" x14ac:dyDescent="0.25">
      <c r="A38" s="51"/>
    </row>
    <row r="39" spans="1:1" x14ac:dyDescent="0.25">
      <c r="A39" s="51"/>
    </row>
  </sheetData>
  <mergeCells count="4">
    <mergeCell ref="A30:E30"/>
    <mergeCell ref="A31:F31"/>
    <mergeCell ref="A32:F32"/>
    <mergeCell ref="H3:L3"/>
  </mergeCells>
  <phoneticPr fontId="0" type="noConversion"/>
  <printOptions headings="1" gridLines="1"/>
  <pageMargins left="0.7" right="0.7" top="0.75" bottom="0.75" header="0.3" footer="0.3"/>
  <pageSetup scale="69" orientation="landscape" r:id="rId1"/>
  <headerFooter>
    <oddHeader>&amp;L&amp;Z&amp;F&amp;A</oddHeader>
    <oddFooter>&amp;L&amp;D&amp;T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10" sqref="B10"/>
    </sheetView>
  </sheetViews>
  <sheetFormatPr defaultRowHeight="15" x14ac:dyDescent="0.25"/>
  <cols>
    <col min="1" max="1" width="33" customWidth="1"/>
    <col min="2" max="2" width="10.5703125" bestFit="1" customWidth="1"/>
  </cols>
  <sheetData>
    <row r="1" spans="1:2" x14ac:dyDescent="0.25">
      <c r="A1" s="133" t="s">
        <v>117</v>
      </c>
      <c r="B1" s="134"/>
    </row>
    <row r="2" spans="1:2" x14ac:dyDescent="0.25">
      <c r="A2" s="133" t="s">
        <v>118</v>
      </c>
      <c r="B2" s="134"/>
    </row>
    <row r="3" spans="1:2" x14ac:dyDescent="0.25">
      <c r="A3" s="133" t="s">
        <v>119</v>
      </c>
      <c r="B3" s="134"/>
    </row>
    <row r="4" spans="1:2" x14ac:dyDescent="0.25">
      <c r="A4" s="133"/>
      <c r="B4" s="134"/>
    </row>
    <row r="5" spans="1:2" x14ac:dyDescent="0.25">
      <c r="A5" s="133" t="s">
        <v>120</v>
      </c>
      <c r="B5" s="134">
        <v>67077</v>
      </c>
    </row>
    <row r="6" spans="1:2" x14ac:dyDescent="0.25">
      <c r="A6" s="133" t="s">
        <v>121</v>
      </c>
      <c r="B6" s="134">
        <v>410255</v>
      </c>
    </row>
    <row r="7" spans="1:2" x14ac:dyDescent="0.25">
      <c r="A7" s="133" t="s">
        <v>122</v>
      </c>
      <c r="B7" s="135">
        <f>SUM(B5:B6)</f>
        <v>477332</v>
      </c>
    </row>
    <row r="8" spans="1:2" x14ac:dyDescent="0.25">
      <c r="A8" s="133"/>
      <c r="B8" s="134"/>
    </row>
    <row r="9" spans="1:2" ht="30" x14ac:dyDescent="0.25">
      <c r="A9" s="136" t="s">
        <v>130</v>
      </c>
      <c r="B9" s="134">
        <f>8+12+3</f>
        <v>23</v>
      </c>
    </row>
    <row r="10" spans="1:2" x14ac:dyDescent="0.25">
      <c r="A10" s="133" t="s">
        <v>123</v>
      </c>
      <c r="B10" s="135">
        <f>B7/12</f>
        <v>39777.666666666664</v>
      </c>
    </row>
    <row r="11" spans="1:2" x14ac:dyDescent="0.25">
      <c r="A11" s="133"/>
      <c r="B11" s="134"/>
    </row>
    <row r="12" spans="1:2" ht="30" x14ac:dyDescent="0.25">
      <c r="A12" s="133" t="s">
        <v>124</v>
      </c>
      <c r="B12" s="135">
        <f>B10*B9</f>
        <v>914886.33333333326</v>
      </c>
    </row>
    <row r="13" spans="1:2" x14ac:dyDescent="0.25">
      <c r="A13" s="133"/>
      <c r="B13" s="134"/>
    </row>
    <row r="14" spans="1:2" ht="30" x14ac:dyDescent="0.25">
      <c r="A14" s="133" t="s">
        <v>125</v>
      </c>
      <c r="B14" s="134">
        <f>67077+410255+477332+(35585*2)</f>
        <v>1025834</v>
      </c>
    </row>
    <row r="15" spans="1:2" x14ac:dyDescent="0.25">
      <c r="A15" s="133"/>
      <c r="B15" s="134"/>
    </row>
    <row r="16" spans="1:2" x14ac:dyDescent="0.25">
      <c r="A16" s="133" t="s">
        <v>126</v>
      </c>
      <c r="B16" s="135">
        <f>B14-B12</f>
        <v>110947.66666666674</v>
      </c>
    </row>
    <row r="17" spans="1:2" x14ac:dyDescent="0.25">
      <c r="A17" s="133" t="s">
        <v>127</v>
      </c>
      <c r="B17" s="134">
        <f>B16/12</f>
        <v>9245.638888888896</v>
      </c>
    </row>
    <row r="18" spans="1:2" x14ac:dyDescent="0.25">
      <c r="A18" s="133" t="s">
        <v>128</v>
      </c>
      <c r="B18" s="134">
        <v>34188</v>
      </c>
    </row>
    <row r="19" spans="1:2" x14ac:dyDescent="0.25">
      <c r="A19" s="133" t="s">
        <v>129</v>
      </c>
      <c r="B19" s="135">
        <f>B18-B17</f>
        <v>24942.361111111102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98"/>
  <sheetViews>
    <sheetView zoomScaleNormal="100" zoomScaleSheetLayoutView="100" workbookViewId="0">
      <pane xSplit="2" ySplit="2" topLeftCell="C180" activePane="bottomRight" state="frozen"/>
      <selection pane="topRight" activeCell="C1" sqref="C1"/>
      <selection pane="bottomLeft" activeCell="A3" sqref="A3"/>
      <selection pane="bottomRight" activeCell="I192" sqref="I192"/>
    </sheetView>
  </sheetViews>
  <sheetFormatPr defaultRowHeight="12.75" x14ac:dyDescent="0.2"/>
  <cols>
    <col min="1" max="1" width="9.42578125" style="71" customWidth="1"/>
    <col min="2" max="2" width="10.5703125" style="71" bestFit="1" customWidth="1"/>
    <col min="3" max="3" width="12.5703125" style="111" bestFit="1" customWidth="1"/>
    <col min="4" max="4" width="10.5703125" style="78" bestFit="1" customWidth="1"/>
    <col min="5" max="5" width="10.42578125" style="111" customWidth="1"/>
    <col min="6" max="6" width="10.28515625" style="111" bestFit="1" customWidth="1"/>
    <col min="7" max="7" width="18.7109375" style="73" bestFit="1" customWidth="1"/>
    <col min="8" max="8" width="11.7109375" style="78" bestFit="1" customWidth="1"/>
    <col min="9" max="9" width="11" style="78" bestFit="1" customWidth="1"/>
    <col min="10" max="10" width="4" style="78" customWidth="1"/>
    <col min="11" max="11" width="11.5703125" style="71" bestFit="1" customWidth="1"/>
    <col min="12" max="13" width="10.5703125" style="71" bestFit="1" customWidth="1"/>
    <col min="14" max="14" width="10.42578125" style="78" bestFit="1" customWidth="1"/>
    <col min="15" max="15" width="10.42578125" style="78" customWidth="1"/>
    <col min="16" max="16" width="10.28515625" style="78" bestFit="1" customWidth="1"/>
    <col min="17" max="17" width="10.5703125" style="73" bestFit="1" customWidth="1"/>
    <col min="18" max="18" width="7.7109375" style="78" bestFit="1" customWidth="1"/>
    <col min="19" max="19" width="9.7109375" style="78" bestFit="1" customWidth="1"/>
    <col min="20" max="16384" width="9.140625" style="71"/>
  </cols>
  <sheetData>
    <row r="2" spans="1:19" s="87" customFormat="1" ht="51" x14ac:dyDescent="0.2">
      <c r="A2" s="84" t="s">
        <v>93</v>
      </c>
      <c r="B2" s="84" t="s">
        <v>105</v>
      </c>
      <c r="C2" s="108" t="s">
        <v>94</v>
      </c>
      <c r="D2" s="85" t="s">
        <v>100</v>
      </c>
      <c r="E2" s="108" t="s">
        <v>101</v>
      </c>
      <c r="F2" s="108" t="s">
        <v>102</v>
      </c>
      <c r="G2" s="86" t="s">
        <v>103</v>
      </c>
      <c r="H2" s="85" t="s">
        <v>97</v>
      </c>
      <c r="I2" s="85" t="s">
        <v>104</v>
      </c>
      <c r="J2" s="85"/>
      <c r="K2" s="84"/>
      <c r="L2" s="84"/>
      <c r="M2" s="85"/>
      <c r="N2" s="85"/>
      <c r="O2" s="85"/>
      <c r="P2" s="85"/>
      <c r="Q2" s="86"/>
      <c r="R2" s="85"/>
      <c r="S2" s="85"/>
    </row>
    <row r="3" spans="1:19" s="87" customFormat="1" x14ac:dyDescent="0.2">
      <c r="A3" s="84"/>
      <c r="B3" s="84"/>
      <c r="C3" s="108"/>
      <c r="D3" s="85"/>
      <c r="E3" s="108"/>
      <c r="F3" s="108"/>
      <c r="G3" s="86"/>
      <c r="H3" s="85"/>
      <c r="I3" s="85"/>
      <c r="J3" s="85"/>
      <c r="K3" s="84"/>
      <c r="L3" s="84"/>
      <c r="M3" s="85"/>
      <c r="N3" s="85"/>
      <c r="O3" s="85"/>
      <c r="P3" s="85"/>
      <c r="Q3" s="86"/>
      <c r="R3" s="85"/>
      <c r="S3" s="85"/>
    </row>
    <row r="4" spans="1:19" s="87" customFormat="1" x14ac:dyDescent="0.2">
      <c r="A4" s="72">
        <v>37165</v>
      </c>
      <c r="B4" s="84"/>
      <c r="C4" s="108"/>
      <c r="D4" s="125">
        <f>'Board Approvals'!G$8/3</f>
        <v>22359</v>
      </c>
      <c r="E4" s="108"/>
      <c r="F4" s="108"/>
      <c r="G4" s="127">
        <f>D4</f>
        <v>22359</v>
      </c>
      <c r="H4" s="95">
        <v>7.2499999999999995E-2</v>
      </c>
      <c r="I4" s="73">
        <f>B4*H4/12</f>
        <v>0</v>
      </c>
      <c r="J4" s="85"/>
      <c r="K4" s="84"/>
      <c r="L4" s="84"/>
      <c r="M4" s="85"/>
      <c r="N4" s="85"/>
      <c r="O4" s="85"/>
      <c r="P4" s="85"/>
      <c r="Q4" s="86"/>
      <c r="R4" s="85"/>
      <c r="S4" s="85"/>
    </row>
    <row r="5" spans="1:19" s="87" customFormat="1" x14ac:dyDescent="0.2">
      <c r="A5" s="72">
        <v>37196</v>
      </c>
      <c r="B5" s="129">
        <f>G4</f>
        <v>22359</v>
      </c>
      <c r="C5" s="108"/>
      <c r="D5" s="125">
        <f>'Board Approvals'!G$8/3</f>
        <v>22359</v>
      </c>
      <c r="E5" s="108"/>
      <c r="F5" s="108"/>
      <c r="G5" s="127">
        <f>G4+D5</f>
        <v>44718</v>
      </c>
      <c r="H5" s="95">
        <f>H4</f>
        <v>7.2499999999999995E-2</v>
      </c>
      <c r="I5" s="73">
        <f>B5*H5/12</f>
        <v>135.08562499999999</v>
      </c>
      <c r="J5" s="85"/>
      <c r="K5" s="84"/>
      <c r="L5" s="84"/>
      <c r="M5" s="85"/>
      <c r="N5" s="85"/>
      <c r="O5" s="85"/>
      <c r="P5" s="85"/>
      <c r="Q5" s="86"/>
      <c r="R5" s="85"/>
      <c r="S5" s="85"/>
    </row>
    <row r="6" spans="1:19" s="87" customFormat="1" x14ac:dyDescent="0.2">
      <c r="A6" s="72">
        <v>37226</v>
      </c>
      <c r="B6" s="129">
        <f>G5</f>
        <v>44718</v>
      </c>
      <c r="C6" s="108"/>
      <c r="D6" s="125">
        <f>'Board Approvals'!G$8/3</f>
        <v>22359</v>
      </c>
      <c r="E6" s="108"/>
      <c r="F6" s="108"/>
      <c r="G6" s="127">
        <f>G5+D6</f>
        <v>67077</v>
      </c>
      <c r="H6" s="95">
        <f>H5</f>
        <v>7.2499999999999995E-2</v>
      </c>
      <c r="I6" s="73">
        <f>B6*H6/12</f>
        <v>270.17124999999999</v>
      </c>
      <c r="J6" s="85"/>
      <c r="K6" s="84"/>
      <c r="L6" s="84"/>
      <c r="M6" s="85"/>
      <c r="N6" s="85"/>
      <c r="O6" s="85"/>
      <c r="P6" s="85"/>
      <c r="Q6" s="86"/>
      <c r="R6" s="85"/>
      <c r="S6" s="85"/>
    </row>
    <row r="7" spans="1:19" s="87" customFormat="1" ht="13.5" thickBot="1" x14ac:dyDescent="0.25">
      <c r="A7" s="72"/>
      <c r="B7" s="84"/>
      <c r="C7" s="126">
        <f>SUM(C4:C6)</f>
        <v>0</v>
      </c>
      <c r="D7" s="126">
        <f>SUM(D4:D6)</f>
        <v>67077</v>
      </c>
      <c r="E7" s="126">
        <f>SUM(E4:E6)</f>
        <v>0</v>
      </c>
      <c r="F7" s="126">
        <f>SUM(F4:F6)</f>
        <v>0</v>
      </c>
      <c r="G7" s="86"/>
      <c r="H7" s="85"/>
      <c r="I7" s="126">
        <f>SUM(I4:I6)</f>
        <v>405.25687499999998</v>
      </c>
      <c r="J7" s="85"/>
      <c r="K7" s="84"/>
      <c r="L7" s="84"/>
      <c r="M7" s="85"/>
      <c r="N7" s="85"/>
      <c r="O7" s="85"/>
      <c r="P7" s="85"/>
      <c r="Q7" s="86"/>
      <c r="R7" s="85"/>
      <c r="S7" s="85"/>
    </row>
    <row r="8" spans="1:19" s="87" customFormat="1" ht="13.5" thickTop="1" x14ac:dyDescent="0.2">
      <c r="A8" s="84"/>
      <c r="B8" s="84"/>
      <c r="C8" s="108"/>
      <c r="D8" s="85"/>
      <c r="E8" s="108"/>
      <c r="F8" s="108"/>
      <c r="G8" s="86"/>
      <c r="H8" s="85"/>
      <c r="I8" s="85"/>
      <c r="J8" s="85"/>
      <c r="K8" s="84"/>
      <c r="L8" s="84"/>
      <c r="M8" s="85"/>
      <c r="N8" s="85"/>
      <c r="O8" s="85"/>
      <c r="P8" s="85"/>
      <c r="Q8" s="86"/>
      <c r="R8" s="85"/>
      <c r="S8" s="85"/>
    </row>
    <row r="9" spans="1:19" s="87" customFormat="1" x14ac:dyDescent="0.2">
      <c r="A9" s="72">
        <v>37257</v>
      </c>
      <c r="B9" s="128">
        <f>G6</f>
        <v>67077</v>
      </c>
      <c r="C9" s="108"/>
      <c r="D9" s="73">
        <v>24942</v>
      </c>
      <c r="E9" s="108"/>
      <c r="F9" s="108"/>
      <c r="G9" s="73">
        <f t="shared" ref="G9:G20" si="0">SUM(B9:F9)</f>
        <v>92019</v>
      </c>
      <c r="H9" s="95">
        <v>7.2499999999999995E-2</v>
      </c>
      <c r="I9" s="73">
        <f>B9*H9/12</f>
        <v>405.25687499999998</v>
      </c>
      <c r="J9" s="85"/>
      <c r="K9" s="84"/>
      <c r="L9" s="84"/>
      <c r="M9" s="85"/>
      <c r="N9" s="85"/>
      <c r="O9" s="85"/>
      <c r="P9" s="85"/>
      <c r="Q9" s="86"/>
      <c r="R9" s="85"/>
      <c r="S9" s="85"/>
    </row>
    <row r="10" spans="1:19" s="87" customFormat="1" x14ac:dyDescent="0.2">
      <c r="A10" s="72">
        <v>37288</v>
      </c>
      <c r="B10" s="128">
        <f>G9</f>
        <v>92019</v>
      </c>
      <c r="C10" s="108"/>
      <c r="D10" s="73">
        <f t="shared" ref="D10:D20" si="1">D9</f>
        <v>24942</v>
      </c>
      <c r="E10" s="108"/>
      <c r="F10" s="108"/>
      <c r="G10" s="73">
        <f t="shared" si="0"/>
        <v>116961</v>
      </c>
      <c r="H10" s="95">
        <v>7.2499999999999995E-2</v>
      </c>
      <c r="I10" s="73">
        <f>B10*H10/12</f>
        <v>555.948125</v>
      </c>
      <c r="J10" s="85"/>
      <c r="K10" s="84"/>
      <c r="L10" s="84"/>
      <c r="M10" s="85"/>
      <c r="N10" s="85"/>
      <c r="O10" s="85"/>
      <c r="P10" s="85"/>
      <c r="Q10" s="86"/>
      <c r="R10" s="85"/>
      <c r="S10" s="85"/>
    </row>
    <row r="11" spans="1:19" s="87" customFormat="1" x14ac:dyDescent="0.2">
      <c r="A11" s="72">
        <v>37316</v>
      </c>
      <c r="B11" s="73">
        <f>G10</f>
        <v>116961</v>
      </c>
      <c r="C11" s="109"/>
      <c r="D11" s="73">
        <f t="shared" si="1"/>
        <v>24942</v>
      </c>
      <c r="E11" s="109"/>
      <c r="F11" s="109"/>
      <c r="G11" s="73">
        <f t="shared" si="0"/>
        <v>141903</v>
      </c>
      <c r="H11" s="95">
        <v>7.2499999999999995E-2</v>
      </c>
      <c r="I11" s="73">
        <f>B11*H11/12</f>
        <v>706.63937499999986</v>
      </c>
      <c r="J11" s="85"/>
    </row>
    <row r="12" spans="1:19" s="87" customFormat="1" x14ac:dyDescent="0.2">
      <c r="A12" s="72">
        <v>37347</v>
      </c>
      <c r="B12" s="83">
        <f t="shared" ref="B12:B20" si="2">G11</f>
        <v>141903</v>
      </c>
      <c r="C12" s="109"/>
      <c r="D12" s="73">
        <f t="shared" si="1"/>
        <v>24942</v>
      </c>
      <c r="E12" s="109"/>
      <c r="F12" s="109"/>
      <c r="G12" s="73">
        <f t="shared" si="0"/>
        <v>166845</v>
      </c>
      <c r="H12" s="95">
        <v>7.2499999999999995E-2</v>
      </c>
      <c r="I12" s="73">
        <f>B12*H12/12</f>
        <v>857.33062499999994</v>
      </c>
      <c r="J12" s="85"/>
    </row>
    <row r="13" spans="1:19" s="87" customFormat="1" x14ac:dyDescent="0.2">
      <c r="A13" s="72">
        <v>37377</v>
      </c>
      <c r="B13" s="83">
        <f t="shared" si="2"/>
        <v>166845</v>
      </c>
      <c r="C13" s="109">
        <v>-26287</v>
      </c>
      <c r="D13" s="73">
        <f t="shared" si="1"/>
        <v>24942</v>
      </c>
      <c r="E13" s="109"/>
      <c r="F13" s="109"/>
      <c r="G13" s="73">
        <f t="shared" si="0"/>
        <v>165500</v>
      </c>
      <c r="H13" s="95">
        <v>7.2499999999999995E-2</v>
      </c>
      <c r="I13" s="73">
        <f t="shared" ref="I13:I20" si="3">B13*H13/12</f>
        <v>1008.0218749999999</v>
      </c>
      <c r="J13" s="85"/>
    </row>
    <row r="14" spans="1:19" s="87" customFormat="1" x14ac:dyDescent="0.2">
      <c r="A14" s="72">
        <v>37408</v>
      </c>
      <c r="B14" s="83">
        <f t="shared" si="2"/>
        <v>165500</v>
      </c>
      <c r="C14" s="109">
        <v>-30129</v>
      </c>
      <c r="D14" s="73">
        <f t="shared" si="1"/>
        <v>24942</v>
      </c>
      <c r="E14" s="114">
        <f>'2001-2006 1562 Summary'!E14</f>
        <v>37706</v>
      </c>
      <c r="F14" s="114">
        <f>'2001-2006 1562 Summary'!E17</f>
        <v>-8755</v>
      </c>
      <c r="G14" s="73">
        <f t="shared" si="0"/>
        <v>189264</v>
      </c>
      <c r="H14" s="95">
        <v>7.2499999999999995E-2</v>
      </c>
      <c r="I14" s="73">
        <f t="shared" si="3"/>
        <v>999.89583333333337</v>
      </c>
      <c r="J14" s="85"/>
    </row>
    <row r="15" spans="1:19" s="87" customFormat="1" x14ac:dyDescent="0.2">
      <c r="A15" s="72">
        <v>37438</v>
      </c>
      <c r="B15" s="83">
        <f t="shared" si="2"/>
        <v>189264</v>
      </c>
      <c r="C15" s="109">
        <v>-36091</v>
      </c>
      <c r="D15" s="73">
        <f t="shared" si="1"/>
        <v>24942</v>
      </c>
      <c r="E15" s="109"/>
      <c r="F15" s="109"/>
      <c r="G15" s="73">
        <f t="shared" si="0"/>
        <v>178115</v>
      </c>
      <c r="H15" s="95">
        <v>7.2499999999999995E-2</v>
      </c>
      <c r="I15" s="73">
        <f t="shared" si="3"/>
        <v>1143.47</v>
      </c>
      <c r="J15" s="85"/>
    </row>
    <row r="16" spans="1:19" s="87" customFormat="1" x14ac:dyDescent="0.2">
      <c r="A16" s="72">
        <v>37469</v>
      </c>
      <c r="B16" s="83">
        <f t="shared" si="2"/>
        <v>178115</v>
      </c>
      <c r="C16" s="109">
        <v>-38318</v>
      </c>
      <c r="D16" s="73">
        <f t="shared" si="1"/>
        <v>24942</v>
      </c>
      <c r="E16" s="109"/>
      <c r="F16" s="109"/>
      <c r="G16" s="73">
        <f t="shared" si="0"/>
        <v>164739</v>
      </c>
      <c r="H16" s="95">
        <v>7.2499999999999995E-2</v>
      </c>
      <c r="I16" s="73">
        <f t="shared" si="3"/>
        <v>1076.1114583333333</v>
      </c>
      <c r="J16" s="85"/>
    </row>
    <row r="17" spans="1:10" s="87" customFormat="1" x14ac:dyDescent="0.2">
      <c r="A17" s="72">
        <v>37500</v>
      </c>
      <c r="B17" s="83">
        <f t="shared" si="2"/>
        <v>164739</v>
      </c>
      <c r="C17" s="109">
        <v>-39997</v>
      </c>
      <c r="D17" s="73">
        <f t="shared" si="1"/>
        <v>24942</v>
      </c>
      <c r="E17" s="109"/>
      <c r="F17" s="109"/>
      <c r="G17" s="73">
        <f t="shared" si="0"/>
        <v>149684</v>
      </c>
      <c r="H17" s="95">
        <v>7.2499999999999995E-2</v>
      </c>
      <c r="I17" s="73">
        <f t="shared" si="3"/>
        <v>995.29812499999991</v>
      </c>
      <c r="J17" s="85"/>
    </row>
    <row r="18" spans="1:10" s="87" customFormat="1" x14ac:dyDescent="0.2">
      <c r="A18" s="72">
        <v>37530</v>
      </c>
      <c r="B18" s="83">
        <f t="shared" si="2"/>
        <v>149684</v>
      </c>
      <c r="C18" s="109">
        <v>-39135</v>
      </c>
      <c r="D18" s="73">
        <f t="shared" si="1"/>
        <v>24942</v>
      </c>
      <c r="E18" s="109"/>
      <c r="F18" s="109"/>
      <c r="G18" s="73">
        <f t="shared" si="0"/>
        <v>135491</v>
      </c>
      <c r="H18" s="95">
        <v>7.2499999999999995E-2</v>
      </c>
      <c r="I18" s="73">
        <f t="shared" si="3"/>
        <v>904.34083333333331</v>
      </c>
      <c r="J18" s="85"/>
    </row>
    <row r="19" spans="1:10" s="87" customFormat="1" x14ac:dyDescent="0.2">
      <c r="A19" s="72">
        <v>37561</v>
      </c>
      <c r="B19" s="83">
        <f t="shared" si="2"/>
        <v>135491</v>
      </c>
      <c r="C19" s="109">
        <v>-36834</v>
      </c>
      <c r="D19" s="73">
        <f t="shared" si="1"/>
        <v>24942</v>
      </c>
      <c r="E19" s="109"/>
      <c r="F19" s="109"/>
      <c r="G19" s="73">
        <f t="shared" si="0"/>
        <v>123599</v>
      </c>
      <c r="H19" s="95">
        <v>7.2499999999999995E-2</v>
      </c>
      <c r="I19" s="73">
        <f t="shared" si="3"/>
        <v>818.59145833333332</v>
      </c>
      <c r="J19" s="85"/>
    </row>
    <row r="20" spans="1:10" s="87" customFormat="1" x14ac:dyDescent="0.2">
      <c r="A20" s="72">
        <v>37591</v>
      </c>
      <c r="B20" s="83">
        <f t="shared" si="2"/>
        <v>123599</v>
      </c>
      <c r="C20" s="109">
        <v>-35464</v>
      </c>
      <c r="D20" s="73">
        <f t="shared" si="1"/>
        <v>24942</v>
      </c>
      <c r="E20" s="109"/>
      <c r="F20" s="109"/>
      <c r="G20" s="73">
        <f t="shared" si="0"/>
        <v>113077</v>
      </c>
      <c r="H20" s="95">
        <v>7.2499999999999995E-2</v>
      </c>
      <c r="I20" s="73">
        <f t="shared" si="3"/>
        <v>746.74395833333335</v>
      </c>
      <c r="J20" s="85"/>
    </row>
    <row r="21" spans="1:10" s="87" customFormat="1" ht="13.5" thickBot="1" x14ac:dyDescent="0.25">
      <c r="A21" s="74" t="s">
        <v>98</v>
      </c>
      <c r="B21" s="74"/>
      <c r="C21" s="110">
        <f>SUM(C11:C20)</f>
        <v>-282255</v>
      </c>
      <c r="D21" s="75">
        <f>SUM(D9:D20)</f>
        <v>299304</v>
      </c>
      <c r="E21" s="110">
        <f>SUM(E11:E20)</f>
        <v>37706</v>
      </c>
      <c r="F21" s="110">
        <f>SUM(F11:F20)</f>
        <v>-8755</v>
      </c>
      <c r="G21" s="80"/>
      <c r="H21" s="80"/>
      <c r="I21" s="75">
        <f>SUM(I9:I20)</f>
        <v>10217.648541666666</v>
      </c>
      <c r="J21" s="85"/>
    </row>
    <row r="22" spans="1:10" ht="13.5" thickTop="1" x14ac:dyDescent="0.2">
      <c r="C22" s="109"/>
      <c r="D22" s="73"/>
      <c r="E22" s="109"/>
      <c r="F22" s="109"/>
      <c r="H22" s="73"/>
      <c r="I22" s="73"/>
      <c r="J22" s="73"/>
    </row>
    <row r="23" spans="1:10" x14ac:dyDescent="0.2">
      <c r="C23" s="109"/>
      <c r="D23" s="73"/>
      <c r="E23" s="109"/>
      <c r="F23" s="109"/>
      <c r="H23" s="73"/>
      <c r="I23" s="73"/>
      <c r="J23" s="73"/>
    </row>
    <row r="24" spans="1:10" x14ac:dyDescent="0.2">
      <c r="C24" s="109"/>
      <c r="D24" s="73"/>
      <c r="E24" s="109"/>
      <c r="F24" s="109"/>
      <c r="H24" s="73"/>
      <c r="I24" s="73"/>
      <c r="J24" s="73"/>
    </row>
    <row r="25" spans="1:10" x14ac:dyDescent="0.2">
      <c r="A25" s="72">
        <v>37622</v>
      </c>
      <c r="B25" s="83">
        <f>G20</f>
        <v>113077</v>
      </c>
      <c r="C25" s="109">
        <v>-33593</v>
      </c>
      <c r="D25" s="73">
        <f>'2001-2006 1562 Summary'!G12/12</f>
        <v>39777.666666666664</v>
      </c>
      <c r="E25" s="109"/>
      <c r="F25" s="109"/>
      <c r="G25" s="73">
        <f t="shared" ref="G25:G36" si="4">SUM(B25:F25)</f>
        <v>119261.66666666666</v>
      </c>
      <c r="H25" s="95">
        <v>7.2499999999999995E-2</v>
      </c>
      <c r="I25" s="73">
        <f t="shared" ref="I25:I36" si="5">B25*H25/12</f>
        <v>683.17354166666655</v>
      </c>
      <c r="J25" s="73"/>
    </row>
    <row r="26" spans="1:10" x14ac:dyDescent="0.2">
      <c r="A26" s="72">
        <v>37653</v>
      </c>
      <c r="B26" s="83">
        <f t="shared" ref="B26:B36" si="6">G25</f>
        <v>119261.66666666666</v>
      </c>
      <c r="C26" s="109">
        <v>-42742</v>
      </c>
      <c r="D26" s="73">
        <f>D25</f>
        <v>39777.666666666664</v>
      </c>
      <c r="E26" s="109"/>
      <c r="F26" s="109"/>
      <c r="G26" s="73">
        <f t="shared" si="4"/>
        <v>116297.33333333331</v>
      </c>
      <c r="H26" s="95">
        <v>7.2499999999999995E-2</v>
      </c>
      <c r="I26" s="73">
        <f t="shared" si="5"/>
        <v>720.53923611111111</v>
      </c>
      <c r="J26" s="73"/>
    </row>
    <row r="27" spans="1:10" x14ac:dyDescent="0.2">
      <c r="A27" s="72">
        <v>37681</v>
      </c>
      <c r="B27" s="83">
        <f t="shared" si="6"/>
        <v>116297.33333333331</v>
      </c>
      <c r="C27" s="109">
        <v>-36834</v>
      </c>
      <c r="D27" s="73">
        <f>'2001-2006 1562 Summary'!G12/12</f>
        <v>39777.666666666664</v>
      </c>
      <c r="E27" s="109"/>
      <c r="F27" s="109"/>
      <c r="G27" s="73">
        <f t="shared" si="4"/>
        <v>119240.99999999997</v>
      </c>
      <c r="H27" s="95">
        <v>7.2499999999999995E-2</v>
      </c>
      <c r="I27" s="73">
        <f t="shared" si="5"/>
        <v>702.62972222222209</v>
      </c>
      <c r="J27" s="73"/>
    </row>
    <row r="28" spans="1:10" x14ac:dyDescent="0.2">
      <c r="A28" s="72">
        <v>37712</v>
      </c>
      <c r="B28" s="83">
        <f t="shared" si="6"/>
        <v>119240.99999999997</v>
      </c>
      <c r="C28" s="109">
        <v>-38309</v>
      </c>
      <c r="D28" s="73">
        <f>D27</f>
        <v>39777.666666666664</v>
      </c>
      <c r="E28" s="109"/>
      <c r="F28" s="109"/>
      <c r="G28" s="73">
        <f t="shared" si="4"/>
        <v>120709.66666666663</v>
      </c>
      <c r="H28" s="95">
        <v>7.2499999999999995E-2</v>
      </c>
      <c r="I28" s="73">
        <f t="shared" si="5"/>
        <v>720.41437499999984</v>
      </c>
      <c r="J28" s="73"/>
    </row>
    <row r="29" spans="1:10" x14ac:dyDescent="0.2">
      <c r="A29" s="72">
        <v>37742</v>
      </c>
      <c r="B29" s="83">
        <f t="shared" si="6"/>
        <v>120709.66666666663</v>
      </c>
      <c r="C29" s="109">
        <v>-40437</v>
      </c>
      <c r="D29" s="73">
        <f t="shared" ref="D29:D36" si="7">D28</f>
        <v>39777.666666666664</v>
      </c>
      <c r="E29" s="109"/>
      <c r="F29" s="109"/>
      <c r="G29" s="73">
        <f t="shared" si="4"/>
        <v>120050.33333333328</v>
      </c>
      <c r="H29" s="95">
        <v>7.2499999999999995E-2</v>
      </c>
      <c r="I29" s="73">
        <f t="shared" si="5"/>
        <v>729.28756944444422</v>
      </c>
      <c r="J29" s="73"/>
    </row>
    <row r="30" spans="1:10" x14ac:dyDescent="0.2">
      <c r="A30" s="72">
        <v>37773</v>
      </c>
      <c r="B30" s="83">
        <f t="shared" si="6"/>
        <v>120050.33333333328</v>
      </c>
      <c r="C30" s="109">
        <v>-40343</v>
      </c>
      <c r="D30" s="73">
        <f t="shared" si="7"/>
        <v>39777.666666666664</v>
      </c>
      <c r="E30" s="114">
        <f>'2001-2006 1562 Summary'!G15</f>
        <v>40474</v>
      </c>
      <c r="F30" s="114">
        <f>'2001-2006 1562 Summary'!G17</f>
        <v>-69023</v>
      </c>
      <c r="G30" s="73">
        <f t="shared" si="4"/>
        <v>90935.999999999942</v>
      </c>
      <c r="H30" s="95">
        <v>7.2499999999999995E-2</v>
      </c>
      <c r="I30" s="73">
        <f t="shared" si="5"/>
        <v>725.30409722222191</v>
      </c>
      <c r="J30" s="73"/>
    </row>
    <row r="31" spans="1:10" x14ac:dyDescent="0.2">
      <c r="A31" s="72">
        <v>37803</v>
      </c>
      <c r="B31" s="83">
        <f t="shared" si="6"/>
        <v>90935.999999999942</v>
      </c>
      <c r="C31" s="109">
        <v>-37655</v>
      </c>
      <c r="D31" s="73">
        <f t="shared" si="7"/>
        <v>39777.666666666664</v>
      </c>
      <c r="E31" s="109"/>
      <c r="F31" s="109"/>
      <c r="G31" s="73">
        <f t="shared" si="4"/>
        <v>93058.666666666599</v>
      </c>
      <c r="H31" s="95">
        <v>7.2499999999999995E-2</v>
      </c>
      <c r="I31" s="73">
        <f t="shared" si="5"/>
        <v>549.40499999999963</v>
      </c>
      <c r="J31" s="73"/>
    </row>
    <row r="32" spans="1:10" x14ac:dyDescent="0.2">
      <c r="A32" s="72">
        <v>37834</v>
      </c>
      <c r="B32" s="83">
        <f t="shared" si="6"/>
        <v>93058.666666666599</v>
      </c>
      <c r="C32" s="109">
        <v>-37875</v>
      </c>
      <c r="D32" s="73">
        <f t="shared" si="7"/>
        <v>39777.666666666664</v>
      </c>
      <c r="E32" s="109"/>
      <c r="F32" s="109"/>
      <c r="G32" s="73">
        <f t="shared" si="4"/>
        <v>94961.333333333256</v>
      </c>
      <c r="H32" s="95">
        <v>7.2499999999999995E-2</v>
      </c>
      <c r="I32" s="73">
        <f t="shared" si="5"/>
        <v>562.22944444444397</v>
      </c>
      <c r="J32" s="80"/>
    </row>
    <row r="33" spans="1:10" x14ac:dyDescent="0.2">
      <c r="A33" s="72">
        <v>37865</v>
      </c>
      <c r="B33" s="83">
        <f t="shared" si="6"/>
        <v>94961.333333333256</v>
      </c>
      <c r="C33" s="109">
        <v>-39126</v>
      </c>
      <c r="D33" s="73">
        <f t="shared" si="7"/>
        <v>39777.666666666664</v>
      </c>
      <c r="E33" s="109"/>
      <c r="F33" s="109"/>
      <c r="G33" s="73">
        <f t="shared" si="4"/>
        <v>95612.999999999913</v>
      </c>
      <c r="H33" s="95">
        <v>7.2499999999999995E-2</v>
      </c>
      <c r="I33" s="73">
        <f t="shared" si="5"/>
        <v>573.72472222222166</v>
      </c>
      <c r="J33" s="73"/>
    </row>
    <row r="34" spans="1:10" x14ac:dyDescent="0.2">
      <c r="A34" s="72">
        <v>37895</v>
      </c>
      <c r="B34" s="83">
        <f t="shared" si="6"/>
        <v>95612.999999999913</v>
      </c>
      <c r="C34" s="109">
        <v>-45999</v>
      </c>
      <c r="D34" s="73">
        <f t="shared" si="7"/>
        <v>39777.666666666664</v>
      </c>
      <c r="E34" s="109"/>
      <c r="F34" s="109"/>
      <c r="G34" s="73">
        <f t="shared" si="4"/>
        <v>89391.66666666657</v>
      </c>
      <c r="H34" s="95">
        <v>7.2499999999999995E-2</v>
      </c>
      <c r="I34" s="73">
        <f t="shared" si="5"/>
        <v>577.66187499999944</v>
      </c>
      <c r="J34" s="73"/>
    </row>
    <row r="35" spans="1:10" x14ac:dyDescent="0.2">
      <c r="A35" s="72">
        <v>37926</v>
      </c>
      <c r="B35" s="83">
        <f t="shared" si="6"/>
        <v>89391.66666666657</v>
      </c>
      <c r="C35" s="109">
        <v>-37444</v>
      </c>
      <c r="D35" s="73">
        <f t="shared" si="7"/>
        <v>39777.666666666664</v>
      </c>
      <c r="E35" s="109"/>
      <c r="F35" s="109"/>
      <c r="G35" s="73">
        <f t="shared" si="4"/>
        <v>91725.333333333227</v>
      </c>
      <c r="H35" s="95">
        <v>7.2499999999999995E-2</v>
      </c>
      <c r="I35" s="73">
        <f t="shared" si="5"/>
        <v>540.07465277777715</v>
      </c>
      <c r="J35" s="73"/>
    </row>
    <row r="36" spans="1:10" x14ac:dyDescent="0.2">
      <c r="A36" s="72">
        <v>37956</v>
      </c>
      <c r="B36" s="83">
        <f t="shared" si="6"/>
        <v>91725.333333333227</v>
      </c>
      <c r="C36" s="109">
        <v>-39598</v>
      </c>
      <c r="D36" s="73">
        <f t="shared" si="7"/>
        <v>39777.666666666664</v>
      </c>
      <c r="E36" s="109"/>
      <c r="F36" s="109"/>
      <c r="G36" s="73">
        <f t="shared" si="4"/>
        <v>91904.999999999884</v>
      </c>
      <c r="H36" s="95">
        <v>7.2499999999999995E-2</v>
      </c>
      <c r="I36" s="73">
        <f t="shared" si="5"/>
        <v>554.1738888888882</v>
      </c>
      <c r="J36" s="73"/>
    </row>
    <row r="37" spans="1:10" ht="13.5" thickBot="1" x14ac:dyDescent="0.25">
      <c r="A37" s="74" t="s">
        <v>98</v>
      </c>
      <c r="B37" s="74"/>
      <c r="C37" s="110">
        <f>SUM(C25:C36)</f>
        <v>-469955</v>
      </c>
      <c r="D37" s="75">
        <f>SUM(D25:D36)</f>
        <v>477332.00000000006</v>
      </c>
      <c r="E37" s="110">
        <f>SUM(E25:E36)</f>
        <v>40474</v>
      </c>
      <c r="F37" s="110">
        <f>SUM(F25:F36)</f>
        <v>-69023</v>
      </c>
      <c r="G37" s="80"/>
      <c r="H37" s="80"/>
      <c r="I37" s="75">
        <f>SUM(I25:I36)</f>
        <v>7638.6181249999963</v>
      </c>
      <c r="J37" s="73"/>
    </row>
    <row r="38" spans="1:10" ht="13.5" thickTop="1" x14ac:dyDescent="0.2">
      <c r="A38" s="93" t="s">
        <v>99</v>
      </c>
      <c r="B38" s="93"/>
      <c r="J38" s="73"/>
    </row>
    <row r="39" spans="1:10" x14ac:dyDescent="0.2">
      <c r="J39" s="73"/>
    </row>
    <row r="40" spans="1:10" x14ac:dyDescent="0.2">
      <c r="J40" s="73"/>
    </row>
    <row r="41" spans="1:10" x14ac:dyDescent="0.2">
      <c r="A41" s="72">
        <v>37987</v>
      </c>
      <c r="B41" s="83">
        <f>G36</f>
        <v>91904.999999999884</v>
      </c>
      <c r="C41" s="109">
        <v>-36652</v>
      </c>
      <c r="D41" s="73">
        <f>'2001-2006 1562 Summary'!I12/12</f>
        <v>35585.354166666664</v>
      </c>
      <c r="E41" s="109"/>
      <c r="F41" s="109"/>
      <c r="G41" s="73">
        <f>SUM(B41:F41)</f>
        <v>90838.354166666541</v>
      </c>
      <c r="H41" s="95">
        <v>7.2499999999999995E-2</v>
      </c>
      <c r="I41" s="73">
        <f t="shared" ref="I41:I46" si="8">B41*H41/12</f>
        <v>555.2593749999993</v>
      </c>
      <c r="J41" s="73"/>
    </row>
    <row r="42" spans="1:10" x14ac:dyDescent="0.2">
      <c r="A42" s="72">
        <v>38018</v>
      </c>
      <c r="B42" s="83">
        <f t="shared" ref="B42:B52" si="9">G41</f>
        <v>90838.354166666541</v>
      </c>
      <c r="C42" s="109">
        <v>-40088</v>
      </c>
      <c r="D42" s="73">
        <f>D41</f>
        <v>35585.354166666664</v>
      </c>
      <c r="E42" s="109"/>
      <c r="F42" s="109"/>
      <c r="G42" s="73">
        <f>SUM(B42:F42)</f>
        <v>86335.708333333198</v>
      </c>
      <c r="H42" s="95">
        <v>7.2499999999999995E-2</v>
      </c>
      <c r="I42" s="73">
        <f t="shared" si="8"/>
        <v>548.81505642361037</v>
      </c>
      <c r="J42" s="73"/>
    </row>
    <row r="43" spans="1:10" x14ac:dyDescent="0.2">
      <c r="A43" s="72">
        <v>38047</v>
      </c>
      <c r="B43" s="83">
        <f t="shared" si="9"/>
        <v>86335.708333333198</v>
      </c>
      <c r="C43" s="109">
        <v>-13385</v>
      </c>
      <c r="D43" s="73">
        <f>'2001-2006 1562 Summary'!I12/12</f>
        <v>35585.354166666664</v>
      </c>
      <c r="E43" s="109"/>
      <c r="F43" s="109"/>
      <c r="G43" s="73">
        <f>SUM(B43:F43)</f>
        <v>108536.06249999985</v>
      </c>
      <c r="H43" s="95">
        <v>7.2499999999999995E-2</v>
      </c>
      <c r="I43" s="73">
        <f t="shared" si="8"/>
        <v>521.61157118055473</v>
      </c>
      <c r="J43" s="73"/>
    </row>
    <row r="44" spans="1:10" x14ac:dyDescent="0.2">
      <c r="A44" s="72">
        <v>38078</v>
      </c>
      <c r="B44" s="83">
        <f t="shared" si="9"/>
        <v>108536.06249999985</v>
      </c>
      <c r="C44" s="109">
        <v>-17710</v>
      </c>
      <c r="D44" s="96">
        <f t="shared" ref="D44:D52" si="10">D43</f>
        <v>35585.354166666664</v>
      </c>
      <c r="E44" s="120"/>
      <c r="F44" s="120"/>
      <c r="G44" s="73">
        <f>SUM(B44:F44)</f>
        <v>126411.41666666651</v>
      </c>
      <c r="H44" s="95">
        <v>7.2499999999999995E-2</v>
      </c>
      <c r="I44" s="73">
        <f t="shared" si="8"/>
        <v>655.73871093749915</v>
      </c>
      <c r="J44" s="73"/>
    </row>
    <row r="45" spans="1:10" x14ac:dyDescent="0.2">
      <c r="A45" s="72">
        <v>38108</v>
      </c>
      <c r="B45" s="83">
        <f t="shared" si="9"/>
        <v>126411.41666666651</v>
      </c>
      <c r="C45" s="109">
        <v>-32758</v>
      </c>
      <c r="D45" s="96">
        <f t="shared" si="10"/>
        <v>35585.354166666664</v>
      </c>
      <c r="E45" s="120"/>
      <c r="F45" s="120"/>
      <c r="G45" s="73">
        <f>SUM(B45:F45)</f>
        <v>129238.77083333317</v>
      </c>
      <c r="H45" s="95">
        <v>7.2499999999999995E-2</v>
      </c>
      <c r="I45" s="73">
        <f t="shared" si="8"/>
        <v>763.73564236111008</v>
      </c>
      <c r="J45" s="73"/>
    </row>
    <row r="46" spans="1:10" x14ac:dyDescent="0.2">
      <c r="A46" s="72">
        <v>38139</v>
      </c>
      <c r="B46" s="83">
        <f t="shared" si="9"/>
        <v>129238.77083333317</v>
      </c>
      <c r="C46" s="109">
        <v>-30899</v>
      </c>
      <c r="D46" s="96">
        <f t="shared" si="10"/>
        <v>35585.354166666664</v>
      </c>
      <c r="E46" s="96">
        <f>'2001-2006 1562 Summary'!I15</f>
        <v>-42132</v>
      </c>
      <c r="F46" s="96">
        <f>'2001-2006 1562 Summary'!I17</f>
        <v>-19321</v>
      </c>
      <c r="G46" s="73">
        <f t="shared" ref="G46:G52" si="11">SUM(B46:F46)</f>
        <v>72472.124999999825</v>
      </c>
      <c r="H46" s="95">
        <v>7.2499999999999995E-2</v>
      </c>
      <c r="I46" s="73">
        <f t="shared" si="8"/>
        <v>780.81757378472128</v>
      </c>
      <c r="J46" s="80"/>
    </row>
    <row r="47" spans="1:10" x14ac:dyDescent="0.2">
      <c r="A47" s="72">
        <v>38169</v>
      </c>
      <c r="B47" s="83">
        <f t="shared" si="9"/>
        <v>72472.124999999825</v>
      </c>
      <c r="C47" s="109">
        <v>-29591</v>
      </c>
      <c r="D47" s="73">
        <f t="shared" si="10"/>
        <v>35585.354166666664</v>
      </c>
      <c r="E47" s="109"/>
      <c r="F47" s="109"/>
      <c r="G47" s="73">
        <f t="shared" si="11"/>
        <v>78466.479166666482</v>
      </c>
      <c r="H47" s="95">
        <v>7.2499999999999995E-2</v>
      </c>
      <c r="I47" s="73">
        <f t="shared" ref="I47:I52" si="12">B47*H47/12</f>
        <v>437.85242187499892</v>
      </c>
    </row>
    <row r="48" spans="1:10" x14ac:dyDescent="0.2">
      <c r="A48" s="72">
        <v>38200</v>
      </c>
      <c r="B48" s="83">
        <f t="shared" si="9"/>
        <v>78466.479166666482</v>
      </c>
      <c r="C48" s="109">
        <v>-33733</v>
      </c>
      <c r="D48" s="73">
        <f t="shared" si="10"/>
        <v>35585.354166666664</v>
      </c>
      <c r="E48" s="109"/>
      <c r="F48" s="109"/>
      <c r="G48" s="73">
        <f t="shared" si="11"/>
        <v>80318.833333333139</v>
      </c>
      <c r="H48" s="95">
        <v>7.2499999999999995E-2</v>
      </c>
      <c r="I48" s="73">
        <f t="shared" si="12"/>
        <v>474.06831163194329</v>
      </c>
    </row>
    <row r="49" spans="1:19" x14ac:dyDescent="0.2">
      <c r="A49" s="72">
        <v>38231</v>
      </c>
      <c r="B49" s="83">
        <f t="shared" si="9"/>
        <v>80318.833333333139</v>
      </c>
      <c r="C49" s="109">
        <v>-30273</v>
      </c>
      <c r="D49" s="73">
        <f t="shared" si="10"/>
        <v>35585.354166666664</v>
      </c>
      <c r="E49" s="109"/>
      <c r="F49" s="109"/>
      <c r="G49" s="73">
        <f t="shared" si="11"/>
        <v>85631.187499999796</v>
      </c>
      <c r="H49" s="95">
        <v>7.2499999999999995E-2</v>
      </c>
      <c r="I49" s="73">
        <f t="shared" si="12"/>
        <v>485.25961805555431</v>
      </c>
      <c r="J49" s="73"/>
    </row>
    <row r="50" spans="1:19" x14ac:dyDescent="0.2">
      <c r="A50" s="72">
        <v>38261</v>
      </c>
      <c r="B50" s="83">
        <f t="shared" si="9"/>
        <v>85631.187499999796</v>
      </c>
      <c r="C50" s="109">
        <v>-35843</v>
      </c>
      <c r="D50" s="73">
        <f t="shared" si="10"/>
        <v>35585.354166666664</v>
      </c>
      <c r="E50" s="109"/>
      <c r="F50" s="109"/>
      <c r="G50" s="73">
        <f t="shared" si="11"/>
        <v>85373.541666666453</v>
      </c>
      <c r="H50" s="95">
        <v>7.2499999999999995E-2</v>
      </c>
      <c r="I50" s="73">
        <f t="shared" si="12"/>
        <v>517.35509114583203</v>
      </c>
      <c r="J50" s="73"/>
    </row>
    <row r="51" spans="1:19" x14ac:dyDescent="0.2">
      <c r="A51" s="72">
        <v>38292</v>
      </c>
      <c r="B51" s="83">
        <f t="shared" si="9"/>
        <v>85373.541666666453</v>
      </c>
      <c r="C51" s="109">
        <v>-36138</v>
      </c>
      <c r="D51" s="73">
        <f t="shared" si="10"/>
        <v>35585.354166666664</v>
      </c>
      <c r="E51" s="109"/>
      <c r="F51" s="109"/>
      <c r="G51" s="73">
        <f t="shared" si="11"/>
        <v>84820.89583333311</v>
      </c>
      <c r="H51" s="95">
        <v>7.2499999999999995E-2</v>
      </c>
      <c r="I51" s="73">
        <f t="shared" si="12"/>
        <v>515.79848090277642</v>
      </c>
      <c r="J51" s="73"/>
    </row>
    <row r="52" spans="1:19" x14ac:dyDescent="0.2">
      <c r="A52" s="72">
        <v>38322</v>
      </c>
      <c r="B52" s="83">
        <f t="shared" si="9"/>
        <v>84820.89583333311</v>
      </c>
      <c r="C52" s="109">
        <v>-36364</v>
      </c>
      <c r="D52" s="73">
        <f t="shared" si="10"/>
        <v>35585.354166666664</v>
      </c>
      <c r="E52" s="109"/>
      <c r="F52" s="109"/>
      <c r="G52" s="73">
        <f t="shared" si="11"/>
        <v>84042.249999999767</v>
      </c>
      <c r="H52" s="95">
        <v>7.2499999999999995E-2</v>
      </c>
      <c r="I52" s="73">
        <f t="shared" si="12"/>
        <v>512.45957899305415</v>
      </c>
      <c r="J52" s="73"/>
      <c r="N52" s="71"/>
      <c r="O52" s="71"/>
      <c r="P52" s="71"/>
      <c r="Q52" s="71"/>
      <c r="R52" s="71"/>
      <c r="S52" s="71"/>
    </row>
    <row r="53" spans="1:19" ht="13.5" thickBot="1" x14ac:dyDescent="0.25">
      <c r="A53" s="74" t="s">
        <v>98</v>
      </c>
      <c r="B53" s="74"/>
      <c r="C53" s="112">
        <f>SUM(C41:C52)</f>
        <v>-373434</v>
      </c>
      <c r="D53" s="76">
        <f>SUM(D41:D52)</f>
        <v>427024.25000000006</v>
      </c>
      <c r="E53" s="112">
        <f>SUM(E41:E52)</f>
        <v>-42132</v>
      </c>
      <c r="F53" s="112">
        <f>SUM(F41:F52)</f>
        <v>-19321</v>
      </c>
      <c r="G53" s="81"/>
      <c r="H53" s="81"/>
      <c r="I53" s="76">
        <f>SUM(I41:I52)</f>
        <v>6768.7714322916554</v>
      </c>
      <c r="J53" s="73"/>
      <c r="N53" s="71"/>
      <c r="O53" s="71"/>
      <c r="P53" s="71"/>
      <c r="Q53" s="71"/>
      <c r="R53" s="71"/>
      <c r="S53" s="71"/>
    </row>
    <row r="54" spans="1:19" ht="13.5" thickTop="1" x14ac:dyDescent="0.2">
      <c r="J54" s="73"/>
      <c r="N54" s="71"/>
      <c r="O54" s="71"/>
      <c r="P54" s="71"/>
      <c r="Q54" s="71"/>
      <c r="R54" s="71"/>
      <c r="S54" s="71"/>
    </row>
    <row r="55" spans="1:19" x14ac:dyDescent="0.2">
      <c r="J55" s="73"/>
      <c r="N55" s="71"/>
      <c r="O55" s="71"/>
      <c r="P55" s="71"/>
      <c r="Q55" s="71"/>
      <c r="R55" s="71"/>
      <c r="S55" s="71"/>
    </row>
    <row r="56" spans="1:19" x14ac:dyDescent="0.2">
      <c r="J56" s="73"/>
      <c r="N56" s="71"/>
      <c r="O56" s="71"/>
      <c r="P56" s="71"/>
      <c r="Q56" s="71"/>
      <c r="R56" s="71"/>
      <c r="S56" s="71"/>
    </row>
    <row r="57" spans="1:19" x14ac:dyDescent="0.2">
      <c r="A57" s="72">
        <v>38353</v>
      </c>
      <c r="B57" s="83">
        <f>G52</f>
        <v>84042.249999999767</v>
      </c>
      <c r="C57" s="109">
        <v>-26733</v>
      </c>
      <c r="D57" s="73">
        <f>'2001-2006 1562 Summary'!K12/3</f>
        <v>34187.916666666664</v>
      </c>
      <c r="E57" s="109"/>
      <c r="F57" s="109"/>
      <c r="G57" s="73">
        <f t="shared" ref="G57:G62" si="13">SUM(B57:F57)</f>
        <v>91497.166666666424</v>
      </c>
      <c r="H57" s="95">
        <v>7.2499999999999995E-2</v>
      </c>
      <c r="I57" s="73">
        <f t="shared" ref="I57:I62" si="14">B57*H57/12</f>
        <v>507.75526041666518</v>
      </c>
      <c r="J57" s="73"/>
      <c r="N57" s="71"/>
      <c r="O57" s="71"/>
      <c r="P57" s="71"/>
      <c r="Q57" s="71"/>
      <c r="R57" s="71"/>
      <c r="S57" s="71"/>
    </row>
    <row r="58" spans="1:19" x14ac:dyDescent="0.2">
      <c r="A58" s="72">
        <v>38384</v>
      </c>
      <c r="B58" s="83">
        <f t="shared" ref="B58:B68" si="15">G57</f>
        <v>91497.166666666424</v>
      </c>
      <c r="C58" s="109">
        <v>-39452</v>
      </c>
      <c r="D58" s="73">
        <f>D57</f>
        <v>34187.916666666664</v>
      </c>
      <c r="E58" s="109"/>
      <c r="F58" s="109"/>
      <c r="G58" s="73">
        <f t="shared" si="13"/>
        <v>86233.083333333081</v>
      </c>
      <c r="H58" s="95">
        <v>7.2499999999999995E-2</v>
      </c>
      <c r="I58" s="73">
        <f t="shared" si="14"/>
        <v>552.79538194444297</v>
      </c>
      <c r="J58" s="73"/>
      <c r="N58" s="71"/>
      <c r="O58" s="71"/>
      <c r="P58" s="71"/>
      <c r="Q58" s="71"/>
      <c r="R58" s="71"/>
      <c r="S58" s="71"/>
    </row>
    <row r="59" spans="1:19" x14ac:dyDescent="0.2">
      <c r="A59" s="72">
        <v>38412</v>
      </c>
      <c r="B59" s="83">
        <f t="shared" si="15"/>
        <v>86233.083333333081</v>
      </c>
      <c r="C59" s="109">
        <v>-36427</v>
      </c>
      <c r="D59" s="73">
        <f>D58</f>
        <v>34187.916666666664</v>
      </c>
      <c r="E59" s="109"/>
      <c r="F59" s="109"/>
      <c r="G59" s="73">
        <f t="shared" si="13"/>
        <v>83993.999999999738</v>
      </c>
      <c r="H59" s="95">
        <v>7.2499999999999995E-2</v>
      </c>
      <c r="I59" s="73">
        <f t="shared" si="14"/>
        <v>520.99154513888732</v>
      </c>
      <c r="J59" s="73"/>
      <c r="N59" s="71"/>
      <c r="O59" s="71"/>
      <c r="P59" s="71"/>
      <c r="Q59" s="71"/>
      <c r="R59" s="71"/>
      <c r="S59" s="71"/>
    </row>
    <row r="60" spans="1:19" x14ac:dyDescent="0.2">
      <c r="A60" s="72">
        <v>38443</v>
      </c>
      <c r="B60" s="83">
        <f t="shared" si="15"/>
        <v>83993.999999999738</v>
      </c>
      <c r="C60" s="109">
        <v>-30147</v>
      </c>
      <c r="D60" s="96">
        <f>'2001-2006 1562 Summary'!K13/9</f>
        <v>24094.5</v>
      </c>
      <c r="E60" s="120"/>
      <c r="F60" s="120"/>
      <c r="G60" s="73">
        <f t="shared" si="13"/>
        <v>77941.499999999738</v>
      </c>
      <c r="H60" s="95">
        <v>7.2499999999999995E-2</v>
      </c>
      <c r="I60" s="73">
        <f t="shared" si="14"/>
        <v>507.46374999999836</v>
      </c>
      <c r="J60" s="73"/>
      <c r="N60" s="71"/>
      <c r="O60" s="71"/>
      <c r="P60" s="71"/>
      <c r="Q60" s="71"/>
      <c r="R60" s="71"/>
      <c r="S60" s="71"/>
    </row>
    <row r="61" spans="1:19" x14ac:dyDescent="0.2">
      <c r="A61" s="72">
        <v>38473</v>
      </c>
      <c r="B61" s="83">
        <f t="shared" si="15"/>
        <v>77941.499999999738</v>
      </c>
      <c r="C61" s="109">
        <v>-32597</v>
      </c>
      <c r="D61" s="96">
        <f>D60</f>
        <v>24094.5</v>
      </c>
      <c r="E61" s="120"/>
      <c r="F61" s="120"/>
      <c r="G61" s="73">
        <f t="shared" si="13"/>
        <v>69438.999999999738</v>
      </c>
      <c r="H61" s="95">
        <v>7.2499999999999995E-2</v>
      </c>
      <c r="I61" s="73">
        <f t="shared" si="14"/>
        <v>470.89656249999842</v>
      </c>
      <c r="J61" s="73"/>
      <c r="N61" s="71"/>
      <c r="O61" s="71"/>
      <c r="P61" s="71"/>
      <c r="Q61" s="71"/>
      <c r="R61" s="71"/>
      <c r="S61" s="71"/>
    </row>
    <row r="62" spans="1:19" ht="15" x14ac:dyDescent="0.25">
      <c r="A62" s="72">
        <v>38504</v>
      </c>
      <c r="B62" s="83">
        <f t="shared" si="15"/>
        <v>69438.999999999738</v>
      </c>
      <c r="C62" s="109">
        <v>-27431</v>
      </c>
      <c r="D62" s="96">
        <f>D61</f>
        <v>24094.5</v>
      </c>
      <c r="E62" s="120">
        <f>'2001-2006 1562 Summary'!K15</f>
        <v>-10207</v>
      </c>
      <c r="F62" s="120">
        <f>'2001-2006 1562 Summary'!K17</f>
        <v>-23965</v>
      </c>
      <c r="G62" s="73">
        <f t="shared" si="13"/>
        <v>31930.499999999738</v>
      </c>
      <c r="H62" s="95">
        <v>7.2499999999999995E-2</v>
      </c>
      <c r="I62" s="73">
        <f t="shared" si="14"/>
        <v>419.52729166666501</v>
      </c>
      <c r="J62" s="81"/>
      <c r="N62" s="81"/>
      <c r="O62" s="81"/>
      <c r="P62" s="81"/>
      <c r="Q62"/>
      <c r="R62" s="81"/>
      <c r="S62" s="81"/>
    </row>
    <row r="63" spans="1:19" x14ac:dyDescent="0.2">
      <c r="A63" s="72">
        <v>38534</v>
      </c>
      <c r="B63" s="83">
        <f t="shared" si="15"/>
        <v>31930.499999999738</v>
      </c>
      <c r="C63" s="109">
        <v>-26348</v>
      </c>
      <c r="D63" s="96">
        <f t="shared" ref="D63:D68" si="16">D62</f>
        <v>24094.5</v>
      </c>
      <c r="E63" s="120"/>
      <c r="F63" s="120"/>
      <c r="G63" s="73">
        <f t="shared" ref="G63:G68" si="17">SUM(B63:F63)</f>
        <v>29676.999999999738</v>
      </c>
      <c r="H63" s="95">
        <v>7.2499999999999995E-2</v>
      </c>
      <c r="I63" s="73">
        <f t="shared" ref="I63:I68" si="18">B63*H63/12</f>
        <v>192.91343749999839</v>
      </c>
      <c r="J63" s="71"/>
      <c r="N63" s="71"/>
      <c r="O63" s="71"/>
      <c r="P63" s="71"/>
      <c r="Q63" s="83"/>
      <c r="R63" s="71"/>
      <c r="S63" s="71"/>
    </row>
    <row r="64" spans="1:19" x14ac:dyDescent="0.2">
      <c r="A64" s="72">
        <v>38565</v>
      </c>
      <c r="B64" s="83">
        <f t="shared" si="15"/>
        <v>29676.999999999738</v>
      </c>
      <c r="C64" s="109">
        <v>-27478</v>
      </c>
      <c r="D64" s="96">
        <f t="shared" si="16"/>
        <v>24094.5</v>
      </c>
      <c r="E64" s="120"/>
      <c r="F64" s="120"/>
      <c r="G64" s="73">
        <f t="shared" si="17"/>
        <v>26293.499999999738</v>
      </c>
      <c r="H64" s="95">
        <v>7.2499999999999995E-2</v>
      </c>
      <c r="I64" s="73">
        <f t="shared" si="18"/>
        <v>179.29854166666507</v>
      </c>
      <c r="J64" s="71"/>
      <c r="K64" s="77"/>
      <c r="L64" s="77"/>
      <c r="N64" s="71"/>
      <c r="O64" s="71"/>
      <c r="P64" s="71"/>
      <c r="Q64" s="83"/>
      <c r="R64" s="71"/>
      <c r="S64" s="71"/>
    </row>
    <row r="65" spans="1:19" x14ac:dyDescent="0.2">
      <c r="A65" s="72">
        <v>38596</v>
      </c>
      <c r="B65" s="83">
        <f t="shared" si="15"/>
        <v>26293.499999999738</v>
      </c>
      <c r="C65" s="109">
        <v>-42819</v>
      </c>
      <c r="D65" s="96">
        <f t="shared" si="16"/>
        <v>24094.5</v>
      </c>
      <c r="E65" s="120"/>
      <c r="F65" s="120"/>
      <c r="G65" s="73">
        <f t="shared" si="17"/>
        <v>7568.9999999997381</v>
      </c>
      <c r="H65" s="95">
        <v>7.2499999999999995E-2</v>
      </c>
      <c r="I65" s="73">
        <f t="shared" si="18"/>
        <v>158.8565624999984</v>
      </c>
      <c r="J65" s="71"/>
      <c r="K65" s="77"/>
      <c r="L65" s="77"/>
      <c r="N65" s="71"/>
      <c r="O65" s="71"/>
      <c r="P65" s="71"/>
      <c r="Q65" s="83"/>
      <c r="R65" s="71"/>
      <c r="S65" s="71"/>
    </row>
    <row r="66" spans="1:19" x14ac:dyDescent="0.2">
      <c r="A66" s="72">
        <v>38626</v>
      </c>
      <c r="B66" s="83">
        <f t="shared" si="15"/>
        <v>7568.9999999997381</v>
      </c>
      <c r="C66" s="109">
        <v>-28644</v>
      </c>
      <c r="D66" s="96">
        <f t="shared" si="16"/>
        <v>24094.5</v>
      </c>
      <c r="E66" s="120"/>
      <c r="F66" s="120"/>
      <c r="G66" s="73">
        <f t="shared" si="17"/>
        <v>3019.4999999997381</v>
      </c>
      <c r="H66" s="95">
        <v>7.2499999999999995E-2</v>
      </c>
      <c r="I66" s="73">
        <f t="shared" si="18"/>
        <v>45.729374999998413</v>
      </c>
      <c r="J66" s="71"/>
      <c r="K66" s="77"/>
      <c r="L66" s="77"/>
      <c r="N66" s="71"/>
      <c r="O66" s="71"/>
      <c r="P66" s="71"/>
      <c r="Q66" s="83"/>
      <c r="R66" s="71"/>
      <c r="S66" s="71"/>
    </row>
    <row r="67" spans="1:19" x14ac:dyDescent="0.2">
      <c r="A67" s="72">
        <v>38657</v>
      </c>
      <c r="B67" s="83">
        <f t="shared" si="15"/>
        <v>3019.4999999997381</v>
      </c>
      <c r="C67" s="109">
        <v>-31619</v>
      </c>
      <c r="D67" s="96">
        <f t="shared" si="16"/>
        <v>24094.5</v>
      </c>
      <c r="E67" s="120"/>
      <c r="F67" s="120"/>
      <c r="G67" s="73">
        <f t="shared" si="17"/>
        <v>-4505.0000000002619</v>
      </c>
      <c r="H67" s="95">
        <v>7.2499999999999995E-2</v>
      </c>
      <c r="I67" s="73">
        <f t="shared" si="18"/>
        <v>18.242812499998418</v>
      </c>
      <c r="J67" s="71"/>
      <c r="K67" s="77"/>
      <c r="L67" s="77"/>
      <c r="N67" s="71"/>
      <c r="O67" s="71"/>
      <c r="P67" s="71"/>
      <c r="Q67" s="83"/>
      <c r="R67" s="71"/>
      <c r="S67" s="71"/>
    </row>
    <row r="68" spans="1:19" x14ac:dyDescent="0.2">
      <c r="A68" s="72">
        <v>38687</v>
      </c>
      <c r="B68" s="83">
        <f t="shared" si="15"/>
        <v>-4505.0000000002619</v>
      </c>
      <c r="C68" s="109">
        <v>-27524</v>
      </c>
      <c r="D68" s="96">
        <f t="shared" si="16"/>
        <v>24094.5</v>
      </c>
      <c r="E68" s="120"/>
      <c r="F68" s="120"/>
      <c r="G68" s="73">
        <f t="shared" si="17"/>
        <v>-7934.5000000002619</v>
      </c>
      <c r="H68" s="95">
        <v>7.2499999999999995E-2</v>
      </c>
      <c r="I68" s="73">
        <f t="shared" si="18"/>
        <v>-27.217708333334912</v>
      </c>
      <c r="J68" s="71"/>
      <c r="N68" s="71"/>
      <c r="O68" s="71"/>
      <c r="P68" s="71"/>
      <c r="Q68" s="83"/>
      <c r="R68" s="71"/>
      <c r="S68" s="71"/>
    </row>
    <row r="69" spans="1:19" ht="15.75" thickBot="1" x14ac:dyDescent="0.3">
      <c r="A69" s="74" t="s">
        <v>98</v>
      </c>
      <c r="B69" s="74"/>
      <c r="C69" s="112">
        <f>SUM(C57:C68)</f>
        <v>-377219</v>
      </c>
      <c r="D69" s="76">
        <f>SUM(D57:D68)</f>
        <v>319414.25</v>
      </c>
      <c r="E69" s="112">
        <f>SUM(E57:E68)</f>
        <v>-10207</v>
      </c>
      <c r="F69" s="112">
        <f>SUM(F57:F68)</f>
        <v>-23965</v>
      </c>
      <c r="G69"/>
      <c r="H69" s="73"/>
      <c r="I69" s="76">
        <f>SUM(I57:I68)</f>
        <v>3547.2528124999812</v>
      </c>
      <c r="J69" s="71"/>
      <c r="K69" s="77"/>
      <c r="L69" s="77"/>
      <c r="N69" s="71"/>
      <c r="O69" s="71"/>
      <c r="P69" s="71"/>
      <c r="Q69" s="83"/>
      <c r="R69" s="71"/>
      <c r="S69" s="71"/>
    </row>
    <row r="70" spans="1:19" ht="15.75" thickTop="1" x14ac:dyDescent="0.25">
      <c r="A70" s="77"/>
      <c r="B70" s="77"/>
      <c r="C70" s="113"/>
      <c r="D70" s="73"/>
      <c r="E70" s="109"/>
      <c r="F70" s="109"/>
      <c r="G70"/>
      <c r="H70" s="73"/>
      <c r="I70" s="73"/>
      <c r="J70" s="71"/>
      <c r="N70" s="71"/>
      <c r="O70" s="71"/>
      <c r="P70" s="71"/>
      <c r="Q70" s="83"/>
      <c r="R70" s="71"/>
      <c r="S70" s="71"/>
    </row>
    <row r="71" spans="1:19" ht="15" x14ac:dyDescent="0.25">
      <c r="A71" s="77"/>
      <c r="B71" s="77"/>
      <c r="C71" s="113"/>
      <c r="D71" s="73"/>
      <c r="E71" s="109"/>
      <c r="F71" s="109"/>
      <c r="G71"/>
      <c r="H71" s="73"/>
      <c r="I71" s="73"/>
      <c r="J71" s="71"/>
      <c r="N71" s="71"/>
      <c r="O71" s="71"/>
      <c r="P71" s="71"/>
      <c r="Q71" s="83"/>
      <c r="R71" s="71"/>
      <c r="S71" s="71"/>
    </row>
    <row r="72" spans="1:19" x14ac:dyDescent="0.2">
      <c r="C72" s="113"/>
      <c r="J72" s="71"/>
      <c r="N72" s="71"/>
      <c r="O72" s="71"/>
      <c r="P72" s="71"/>
      <c r="Q72" s="83"/>
      <c r="R72" s="71"/>
      <c r="S72" s="71"/>
    </row>
    <row r="73" spans="1:19" x14ac:dyDescent="0.2">
      <c r="A73" s="72">
        <v>38718</v>
      </c>
      <c r="B73" s="83">
        <f>G68</f>
        <v>-7934.5000000002619</v>
      </c>
      <c r="C73" s="109">
        <v>-34335</v>
      </c>
      <c r="D73" s="73">
        <f>D68</f>
        <v>24094.5</v>
      </c>
      <c r="E73" s="109"/>
      <c r="F73" s="109"/>
      <c r="G73" s="73">
        <f t="shared" ref="G73:G86" si="19">SUM(B73:F73)</f>
        <v>-18175.000000000262</v>
      </c>
      <c r="H73" s="95">
        <v>7.2499999999999995E-2</v>
      </c>
      <c r="I73" s="73">
        <f t="shared" ref="I73:I86" si="20">B73*H73/12</f>
        <v>-47.937604166668244</v>
      </c>
      <c r="J73" s="71"/>
      <c r="N73" s="71"/>
      <c r="O73" s="71"/>
      <c r="P73" s="71"/>
      <c r="Q73" s="83"/>
      <c r="R73" s="71"/>
      <c r="S73" s="71"/>
    </row>
    <row r="74" spans="1:19" x14ac:dyDescent="0.2">
      <c r="A74" s="72">
        <v>38749</v>
      </c>
      <c r="B74" s="83">
        <f t="shared" ref="B74:B86" si="21">G73</f>
        <v>-18175.000000000262</v>
      </c>
      <c r="C74" s="109">
        <v>-28091</v>
      </c>
      <c r="D74" s="73">
        <f>D73</f>
        <v>24094.5</v>
      </c>
      <c r="E74" s="109"/>
      <c r="F74" s="109"/>
      <c r="G74" s="73">
        <f t="shared" si="19"/>
        <v>-22171.500000000262</v>
      </c>
      <c r="H74" s="95">
        <v>7.2499999999999995E-2</v>
      </c>
      <c r="I74" s="73">
        <f t="shared" si="20"/>
        <v>-109.80729166666823</v>
      </c>
      <c r="J74" s="71"/>
      <c r="N74" s="71"/>
      <c r="O74" s="71"/>
      <c r="P74" s="71"/>
      <c r="Q74" s="83"/>
      <c r="R74" s="71"/>
      <c r="S74" s="71"/>
    </row>
    <row r="75" spans="1:19" x14ac:dyDescent="0.2">
      <c r="A75" s="72">
        <v>38777</v>
      </c>
      <c r="B75" s="83">
        <f t="shared" si="21"/>
        <v>-22171.500000000262</v>
      </c>
      <c r="C75" s="109">
        <v>-249</v>
      </c>
      <c r="D75" s="73">
        <f>D74</f>
        <v>24094.5</v>
      </c>
      <c r="E75" s="109"/>
      <c r="F75" s="109"/>
      <c r="G75" s="73">
        <f t="shared" si="19"/>
        <v>1673.9999999997381</v>
      </c>
      <c r="H75" s="95">
        <v>7.2499999999999995E-2</v>
      </c>
      <c r="I75" s="73">
        <f t="shared" si="20"/>
        <v>-133.95281250000156</v>
      </c>
      <c r="J75" s="71"/>
      <c r="N75" s="71"/>
      <c r="O75" s="71"/>
      <c r="P75" s="71"/>
      <c r="Q75" s="83"/>
      <c r="R75" s="71"/>
      <c r="S75" s="71"/>
    </row>
    <row r="76" spans="1:19" x14ac:dyDescent="0.2">
      <c r="A76" s="72">
        <v>38808</v>
      </c>
      <c r="B76" s="83">
        <f t="shared" si="21"/>
        <v>1673.9999999997381</v>
      </c>
      <c r="C76" s="109">
        <v>-150</v>
      </c>
      <c r="D76" s="73">
        <f>D75</f>
        <v>24094.5</v>
      </c>
      <c r="E76" s="109"/>
      <c r="F76" s="109"/>
      <c r="G76" s="73">
        <f t="shared" si="19"/>
        <v>25618.499999999738</v>
      </c>
      <c r="H76" s="95">
        <v>4.1399999999999999E-2</v>
      </c>
      <c r="I76" s="73">
        <f t="shared" si="20"/>
        <v>5.7752999999990964</v>
      </c>
      <c r="J76" s="71"/>
      <c r="N76" s="71"/>
      <c r="O76" s="71"/>
      <c r="P76" s="71"/>
      <c r="Q76" s="83"/>
      <c r="R76" s="71"/>
      <c r="S76" s="71"/>
    </row>
    <row r="77" spans="1:19" x14ac:dyDescent="0.2">
      <c r="A77" s="72" t="s">
        <v>113</v>
      </c>
      <c r="B77" s="83">
        <f>G76</f>
        <v>25618.499999999738</v>
      </c>
      <c r="C77" s="109">
        <f>-(617-135-3)</f>
        <v>-479</v>
      </c>
      <c r="D77" s="73"/>
      <c r="E77" s="109"/>
      <c r="F77" s="109"/>
      <c r="G77" s="73">
        <f t="shared" si="19"/>
        <v>25139.499999999738</v>
      </c>
      <c r="H77" s="95">
        <f>H76</f>
        <v>4.1399999999999999E-2</v>
      </c>
      <c r="I77" s="73">
        <f t="shared" si="20"/>
        <v>88.383824999999092</v>
      </c>
      <c r="J77" s="71"/>
      <c r="N77" s="71"/>
      <c r="O77" s="71"/>
      <c r="P77" s="71"/>
      <c r="Q77" s="83"/>
      <c r="R77" s="71"/>
      <c r="S77" s="71"/>
    </row>
    <row r="78" spans="1:19" ht="13.5" thickBot="1" x14ac:dyDescent="0.25">
      <c r="A78" s="72"/>
      <c r="B78" s="83"/>
      <c r="C78" s="110">
        <f>SUM(C73:C77)</f>
        <v>-63304</v>
      </c>
      <c r="D78" s="110">
        <f>SUM(D73:D77)</f>
        <v>96378</v>
      </c>
      <c r="E78" s="110">
        <f>SUM(E73:E77)</f>
        <v>0</v>
      </c>
      <c r="F78" s="110">
        <f>SUM(F73:F77)</f>
        <v>0</v>
      </c>
      <c r="H78" s="95"/>
      <c r="I78" s="110">
        <f>SUM(I73:I77)</f>
        <v>-197.53858333333983</v>
      </c>
      <c r="J78" s="71"/>
      <c r="N78" s="71"/>
      <c r="O78" s="71"/>
      <c r="P78" s="71"/>
      <c r="Q78" s="83"/>
      <c r="R78" s="71"/>
      <c r="S78" s="71"/>
    </row>
    <row r="79" spans="1:19" ht="13.5" thickTop="1" x14ac:dyDescent="0.2">
      <c r="A79" s="72"/>
      <c r="B79" s="83"/>
      <c r="C79" s="109"/>
      <c r="D79" s="73"/>
      <c r="E79" s="109"/>
      <c r="F79" s="109"/>
      <c r="H79" s="95"/>
      <c r="I79" s="73"/>
      <c r="J79" s="71"/>
      <c r="N79" s="71"/>
      <c r="O79" s="71"/>
      <c r="P79" s="71"/>
      <c r="Q79" s="83"/>
      <c r="R79" s="71"/>
      <c r="S79" s="71"/>
    </row>
    <row r="80" spans="1:19" x14ac:dyDescent="0.2">
      <c r="A80" s="72"/>
      <c r="B80" s="83"/>
      <c r="C80" s="109"/>
      <c r="D80" s="73"/>
      <c r="E80" s="109"/>
      <c r="F80" s="109"/>
      <c r="H80" s="95"/>
      <c r="I80" s="73"/>
      <c r="J80" s="71"/>
      <c r="N80" s="71"/>
      <c r="O80" s="71"/>
      <c r="P80" s="71"/>
      <c r="Q80" s="83"/>
      <c r="R80" s="71"/>
      <c r="S80" s="71"/>
    </row>
    <row r="81" spans="1:19" x14ac:dyDescent="0.2">
      <c r="A81" s="72"/>
      <c r="B81" s="83"/>
      <c r="C81" s="109"/>
      <c r="D81" s="73"/>
      <c r="E81" s="109"/>
      <c r="F81" s="109"/>
      <c r="H81" s="95"/>
      <c r="I81" s="73"/>
      <c r="J81" s="71"/>
      <c r="N81" s="71"/>
      <c r="O81" s="71"/>
      <c r="P81" s="71"/>
      <c r="Q81" s="83"/>
      <c r="R81" s="71"/>
      <c r="S81" s="71"/>
    </row>
    <row r="82" spans="1:19" x14ac:dyDescent="0.2">
      <c r="A82" s="72">
        <v>38838</v>
      </c>
      <c r="B82" s="83">
        <f>G77</f>
        <v>25139.499999999738</v>
      </c>
      <c r="C82" s="120"/>
      <c r="D82" s="96">
        <v>0</v>
      </c>
      <c r="E82" s="120"/>
      <c r="F82" s="120"/>
      <c r="G82" s="73">
        <f t="shared" si="19"/>
        <v>25139.499999999738</v>
      </c>
      <c r="H82" s="95">
        <v>4.1399999999999999E-2</v>
      </c>
      <c r="I82" s="73">
        <f t="shared" si="20"/>
        <v>86.731274999999087</v>
      </c>
      <c r="J82" s="71"/>
      <c r="N82" s="71"/>
      <c r="O82" s="71"/>
      <c r="P82" s="71"/>
      <c r="Q82" s="83"/>
      <c r="R82" s="71"/>
      <c r="S82" s="71"/>
    </row>
    <row r="83" spans="1:19" x14ac:dyDescent="0.2">
      <c r="A83" s="72">
        <v>38869</v>
      </c>
      <c r="B83" s="83">
        <f t="shared" si="21"/>
        <v>25139.499999999738</v>
      </c>
      <c r="C83" s="120"/>
      <c r="D83" s="96">
        <v>0</v>
      </c>
      <c r="E83" s="114">
        <f>'2001-2006 1562 Summary'!M15</f>
        <v>-12390</v>
      </c>
      <c r="F83" s="114">
        <f>'2001-2006 1562 Summary'!M17</f>
        <v>97345</v>
      </c>
      <c r="G83" s="73">
        <f t="shared" si="19"/>
        <v>110094.49999999974</v>
      </c>
      <c r="H83" s="95">
        <v>4.1399999999999999E-2</v>
      </c>
      <c r="I83" s="73">
        <f t="shared" si="20"/>
        <v>86.731274999999087</v>
      </c>
    </row>
    <row r="84" spans="1:19" x14ac:dyDescent="0.2">
      <c r="A84" s="72">
        <v>38899</v>
      </c>
      <c r="B84" s="83">
        <f t="shared" si="21"/>
        <v>110094.49999999974</v>
      </c>
      <c r="C84" s="120"/>
      <c r="D84" s="96">
        <v>0</v>
      </c>
      <c r="E84" s="120"/>
      <c r="F84" s="120"/>
      <c r="G84" s="73">
        <f t="shared" si="19"/>
        <v>110094.49999999974</v>
      </c>
      <c r="H84" s="95">
        <v>4.5900000000000003E-2</v>
      </c>
      <c r="I84" s="73">
        <f t="shared" si="20"/>
        <v>421.11146249999905</v>
      </c>
    </row>
    <row r="85" spans="1:19" x14ac:dyDescent="0.2">
      <c r="A85" s="72">
        <v>38930</v>
      </c>
      <c r="B85" s="83">
        <f t="shared" si="21"/>
        <v>110094.49999999974</v>
      </c>
      <c r="C85" s="120"/>
      <c r="D85" s="97">
        <v>0</v>
      </c>
      <c r="E85" s="121"/>
      <c r="F85" s="121"/>
      <c r="G85" s="73">
        <f t="shared" si="19"/>
        <v>110094.49999999974</v>
      </c>
      <c r="H85" s="95">
        <v>4.5900000000000003E-2</v>
      </c>
      <c r="I85" s="73">
        <f t="shared" si="20"/>
        <v>421.11146249999905</v>
      </c>
    </row>
    <row r="86" spans="1:19" x14ac:dyDescent="0.2">
      <c r="A86" s="72">
        <v>38961</v>
      </c>
      <c r="B86" s="83">
        <f t="shared" si="21"/>
        <v>110094.49999999974</v>
      </c>
      <c r="C86" s="109"/>
      <c r="D86" s="98">
        <v>0</v>
      </c>
      <c r="E86" s="122"/>
      <c r="F86" s="122"/>
      <c r="G86" s="73">
        <f t="shared" si="19"/>
        <v>110094.49999999974</v>
      </c>
      <c r="H86" s="95">
        <v>4.5900000000000003E-2</v>
      </c>
      <c r="I86" s="73">
        <f t="shared" si="20"/>
        <v>421.11146249999905</v>
      </c>
    </row>
    <row r="87" spans="1:19" x14ac:dyDescent="0.2">
      <c r="A87" s="72">
        <v>38991</v>
      </c>
      <c r="B87" s="83">
        <f>G86</f>
        <v>110094.49999999974</v>
      </c>
      <c r="C87" s="115"/>
      <c r="D87" s="94"/>
      <c r="E87" s="115"/>
      <c r="F87" s="115"/>
      <c r="G87" s="73">
        <f>SUM(B87:F87)</f>
        <v>110094.49999999974</v>
      </c>
      <c r="H87" s="95">
        <v>4.5900000000000003E-2</v>
      </c>
      <c r="I87" s="73">
        <f>B87*H87/12</f>
        <v>421.11146249999905</v>
      </c>
    </row>
    <row r="88" spans="1:19" x14ac:dyDescent="0.2">
      <c r="A88" s="72">
        <v>39022</v>
      </c>
      <c r="B88" s="83">
        <f>G87</f>
        <v>110094.49999999974</v>
      </c>
      <c r="C88" s="115"/>
      <c r="D88" s="94"/>
      <c r="E88" s="115"/>
      <c r="F88" s="115"/>
      <c r="G88" s="73">
        <f>SUM(B88:F88)</f>
        <v>110094.49999999974</v>
      </c>
      <c r="H88" s="95">
        <v>4.5900000000000003E-2</v>
      </c>
      <c r="I88" s="73">
        <f>B88*H88/12</f>
        <v>421.11146249999905</v>
      </c>
    </row>
    <row r="89" spans="1:19" x14ac:dyDescent="0.2">
      <c r="A89" s="72">
        <v>39052</v>
      </c>
      <c r="B89" s="83">
        <f>G88</f>
        <v>110094.49999999974</v>
      </c>
      <c r="C89" s="115"/>
      <c r="D89" s="94"/>
      <c r="E89" s="115"/>
      <c r="F89" s="115"/>
      <c r="G89" s="73">
        <f>SUM(B89:F89)</f>
        <v>110094.49999999974</v>
      </c>
      <c r="H89" s="95">
        <v>4.5900000000000003E-2</v>
      </c>
      <c r="I89" s="73">
        <f>B89*H89/12</f>
        <v>421.11146249999905</v>
      </c>
    </row>
    <row r="90" spans="1:19" ht="13.5" thickBot="1" x14ac:dyDescent="0.25">
      <c r="A90" s="74" t="s">
        <v>96</v>
      </c>
      <c r="B90" s="74"/>
      <c r="C90" s="110">
        <f>SUM(C82:C89)</f>
        <v>0</v>
      </c>
      <c r="D90" s="75">
        <f>SUM(D82:D89)</f>
        <v>0</v>
      </c>
      <c r="E90" s="110">
        <f>SUM(E82:E89)</f>
        <v>-12390</v>
      </c>
      <c r="F90" s="110">
        <f>SUM(F82:F89)</f>
        <v>97345</v>
      </c>
      <c r="I90" s="75">
        <f>SUM(I82:I89)</f>
        <v>2700.1313249999926</v>
      </c>
    </row>
    <row r="91" spans="1:19" ht="13.5" thickTop="1" x14ac:dyDescent="0.2">
      <c r="C91" s="113"/>
    </row>
    <row r="92" spans="1:19" ht="13.5" thickBot="1" x14ac:dyDescent="0.25">
      <c r="A92" s="74" t="s">
        <v>98</v>
      </c>
      <c r="B92" s="74"/>
      <c r="C92" s="110">
        <f>C90+C78</f>
        <v>-63304</v>
      </c>
      <c r="D92" s="75">
        <f>D90+D78</f>
        <v>96378</v>
      </c>
      <c r="E92" s="110">
        <f>E90+E78</f>
        <v>-12390</v>
      </c>
      <c r="F92" s="110">
        <f>F90+F78</f>
        <v>97345</v>
      </c>
      <c r="G92" s="82"/>
      <c r="H92" s="94"/>
      <c r="I92" s="75">
        <f>I90+I78</f>
        <v>2502.5927416666527</v>
      </c>
    </row>
    <row r="93" spans="1:19" ht="15.75" thickTop="1" x14ac:dyDescent="0.25">
      <c r="C93" s="113"/>
      <c r="D93" s="73"/>
      <c r="E93" s="109"/>
      <c r="F93" s="109"/>
      <c r="G93"/>
      <c r="H93" s="73"/>
      <c r="I93" s="73"/>
    </row>
    <row r="94" spans="1:19" ht="15" x14ac:dyDescent="0.25">
      <c r="C94" s="113"/>
      <c r="D94" s="73"/>
      <c r="E94" s="109"/>
      <c r="F94" s="109"/>
      <c r="G94"/>
      <c r="H94" s="73"/>
      <c r="I94" s="73"/>
    </row>
    <row r="95" spans="1:19" ht="40.5" customHeight="1" thickBot="1" x14ac:dyDescent="0.3">
      <c r="A95" s="100" t="s">
        <v>107</v>
      </c>
      <c r="B95" s="72"/>
      <c r="C95" s="116">
        <f>C21+C37+C53+C69+C92</f>
        <v>-1566167</v>
      </c>
      <c r="D95" s="79">
        <f>D21+D37+D53+D69+D92+D7</f>
        <v>1686529.5</v>
      </c>
      <c r="E95" s="116">
        <f>E21+E37+E53+E69+E92</f>
        <v>13451</v>
      </c>
      <c r="F95" s="116">
        <f>F21+F37+F53+F69+F92</f>
        <v>-23719</v>
      </c>
      <c r="G95" s="88"/>
      <c r="H95" s="73"/>
      <c r="I95" s="79">
        <f>I21+I37+I53+I69+I92</f>
        <v>30674.883653124951</v>
      </c>
    </row>
    <row r="96" spans="1:19" ht="15.75" thickTop="1" x14ac:dyDescent="0.25">
      <c r="C96" s="113"/>
      <c r="D96" s="73"/>
      <c r="E96" s="109"/>
      <c r="F96" s="109"/>
      <c r="G96"/>
      <c r="H96" s="73"/>
      <c r="I96" s="73"/>
    </row>
    <row r="97" spans="1:9" ht="15" x14ac:dyDescent="0.25">
      <c r="A97" s="90" t="s">
        <v>95</v>
      </c>
      <c r="B97" s="90"/>
      <c r="C97" s="117">
        <f>C95-'2001-2006 1562 Summary'!O20</f>
        <v>0</v>
      </c>
      <c r="D97" s="91">
        <f>D95-'2001-2006 1562 Summary'!O12-'2001-2006 1562 Summary'!O13</f>
        <v>0</v>
      </c>
      <c r="E97" s="117">
        <f>E95-'2001-2006 1562 Summary'!O14-'2001-2006 1562 Summary'!O15</f>
        <v>0</v>
      </c>
      <c r="F97" s="123">
        <f>F95-'2001-2006 1562 Summary'!O17</f>
        <v>0</v>
      </c>
      <c r="G97" s="92">
        <f>G89-('2001-2006 1562 Summary'!O22-'2001-2006 1562 Summary'!O19)</f>
        <v>-3.2014213502407074E-10</v>
      </c>
      <c r="H97" s="89"/>
      <c r="I97" s="92">
        <f>I95-I90-'2001-2006 1562 Summary'!O19</f>
        <v>-405.25687499999913</v>
      </c>
    </row>
    <row r="101" spans="1:9" x14ac:dyDescent="0.2">
      <c r="A101" s="72">
        <v>39083</v>
      </c>
      <c r="B101" s="83">
        <f>G89</f>
        <v>110094.49999999974</v>
      </c>
      <c r="C101" s="130"/>
      <c r="D101" s="99"/>
      <c r="E101" s="118"/>
      <c r="F101" s="118"/>
      <c r="G101" s="73">
        <f t="shared" ref="G101:G112" si="22">SUM(B101:F101)</f>
        <v>110094.49999999974</v>
      </c>
      <c r="H101" s="95">
        <v>4.5900000000000003E-2</v>
      </c>
      <c r="I101" s="73">
        <f t="shared" ref="I101:I112" si="23">B101*H101/12</f>
        <v>421.11146249999905</v>
      </c>
    </row>
    <row r="102" spans="1:9" x14ac:dyDescent="0.2">
      <c r="A102" s="72">
        <v>39114</v>
      </c>
      <c r="B102" s="83">
        <f>G101</f>
        <v>110094.49999999974</v>
      </c>
      <c r="C102" s="130"/>
      <c r="D102" s="99"/>
      <c r="E102" s="118"/>
      <c r="F102" s="118"/>
      <c r="G102" s="73">
        <f t="shared" si="22"/>
        <v>110094.49999999974</v>
      </c>
      <c r="H102" s="95">
        <v>4.5900000000000003E-2</v>
      </c>
      <c r="I102" s="73">
        <f t="shared" si="23"/>
        <v>421.11146249999905</v>
      </c>
    </row>
    <row r="103" spans="1:9" x14ac:dyDescent="0.2">
      <c r="A103" s="72">
        <v>39142</v>
      </c>
      <c r="B103" s="83">
        <f t="shared" ref="B103:B112" si="24">G102</f>
        <v>110094.49999999974</v>
      </c>
      <c r="C103" s="130"/>
      <c r="D103" s="99"/>
      <c r="E103" s="118"/>
      <c r="F103" s="118"/>
      <c r="G103" s="73">
        <f t="shared" si="22"/>
        <v>110094.49999999974</v>
      </c>
      <c r="H103" s="95">
        <v>4.5900000000000003E-2</v>
      </c>
      <c r="I103" s="73">
        <f t="shared" si="23"/>
        <v>421.11146249999905</v>
      </c>
    </row>
    <row r="104" spans="1:9" x14ac:dyDescent="0.2">
      <c r="A104" s="72">
        <v>39173</v>
      </c>
      <c r="B104" s="83">
        <f t="shared" si="24"/>
        <v>110094.49999999974</v>
      </c>
      <c r="C104" s="130"/>
      <c r="D104" s="99"/>
      <c r="E104" s="118"/>
      <c r="F104" s="118"/>
      <c r="G104" s="73">
        <f t="shared" si="22"/>
        <v>110094.49999999974</v>
      </c>
      <c r="H104" s="95">
        <v>4.5900000000000003E-2</v>
      </c>
      <c r="I104" s="73">
        <f t="shared" si="23"/>
        <v>421.11146249999905</v>
      </c>
    </row>
    <row r="105" spans="1:9" x14ac:dyDescent="0.2">
      <c r="A105" s="72">
        <v>39203</v>
      </c>
      <c r="B105" s="83">
        <f t="shared" si="24"/>
        <v>110094.49999999974</v>
      </c>
      <c r="C105" s="130"/>
      <c r="D105" s="99"/>
      <c r="E105" s="118"/>
      <c r="F105" s="118"/>
      <c r="G105" s="73">
        <f t="shared" si="22"/>
        <v>110094.49999999974</v>
      </c>
      <c r="H105" s="95">
        <v>4.5900000000000003E-2</v>
      </c>
      <c r="I105" s="73">
        <f t="shared" si="23"/>
        <v>421.11146249999905</v>
      </c>
    </row>
    <row r="106" spans="1:9" x14ac:dyDescent="0.2">
      <c r="A106" s="72">
        <v>39234</v>
      </c>
      <c r="B106" s="83">
        <f t="shared" si="24"/>
        <v>110094.49999999974</v>
      </c>
      <c r="C106" s="130"/>
      <c r="D106" s="99"/>
      <c r="E106" s="118"/>
      <c r="F106" s="118"/>
      <c r="G106" s="73">
        <f t="shared" si="22"/>
        <v>110094.49999999974</v>
      </c>
      <c r="H106" s="95">
        <v>4.5900000000000003E-2</v>
      </c>
      <c r="I106" s="73">
        <f t="shared" si="23"/>
        <v>421.11146249999905</v>
      </c>
    </row>
    <row r="107" spans="1:9" x14ac:dyDescent="0.2">
      <c r="A107" s="72">
        <v>39264</v>
      </c>
      <c r="B107" s="83">
        <f t="shared" si="24"/>
        <v>110094.49999999974</v>
      </c>
      <c r="C107" s="130"/>
      <c r="D107" s="99"/>
      <c r="E107" s="118"/>
      <c r="F107" s="118"/>
      <c r="G107" s="73">
        <f t="shared" si="22"/>
        <v>110094.49999999974</v>
      </c>
      <c r="H107" s="95">
        <v>4.5900000000000003E-2</v>
      </c>
      <c r="I107" s="73">
        <f t="shared" si="23"/>
        <v>421.11146249999905</v>
      </c>
    </row>
    <row r="108" spans="1:9" x14ac:dyDescent="0.2">
      <c r="A108" s="72">
        <v>39295</v>
      </c>
      <c r="B108" s="83">
        <f t="shared" si="24"/>
        <v>110094.49999999974</v>
      </c>
      <c r="C108" s="130"/>
      <c r="D108" s="99"/>
      <c r="E108" s="118"/>
      <c r="F108" s="118"/>
      <c r="G108" s="73">
        <f t="shared" si="22"/>
        <v>110094.49999999974</v>
      </c>
      <c r="H108" s="95">
        <v>4.5900000000000003E-2</v>
      </c>
      <c r="I108" s="73">
        <f t="shared" si="23"/>
        <v>421.11146249999905</v>
      </c>
    </row>
    <row r="109" spans="1:9" x14ac:dyDescent="0.2">
      <c r="A109" s="72">
        <v>39326</v>
      </c>
      <c r="B109" s="83">
        <f t="shared" si="24"/>
        <v>110094.49999999974</v>
      </c>
      <c r="C109" s="130"/>
      <c r="D109" s="99"/>
      <c r="E109" s="118"/>
      <c r="F109" s="118"/>
      <c r="G109" s="73">
        <f t="shared" si="22"/>
        <v>110094.49999999974</v>
      </c>
      <c r="H109" s="95">
        <v>4.5900000000000003E-2</v>
      </c>
      <c r="I109" s="73">
        <f t="shared" si="23"/>
        <v>421.11146249999905</v>
      </c>
    </row>
    <row r="110" spans="1:9" x14ac:dyDescent="0.2">
      <c r="A110" s="72">
        <v>39356</v>
      </c>
      <c r="B110" s="83">
        <f t="shared" si="24"/>
        <v>110094.49999999974</v>
      </c>
      <c r="C110" s="130"/>
      <c r="D110" s="99"/>
      <c r="E110" s="118"/>
      <c r="F110" s="118"/>
      <c r="G110" s="73">
        <f t="shared" si="22"/>
        <v>110094.49999999974</v>
      </c>
      <c r="H110" s="95">
        <v>5.1400000000000001E-2</v>
      </c>
      <c r="I110" s="73">
        <f t="shared" si="23"/>
        <v>471.57144166666558</v>
      </c>
    </row>
    <row r="111" spans="1:9" x14ac:dyDescent="0.2">
      <c r="A111" s="72">
        <v>39387</v>
      </c>
      <c r="B111" s="83">
        <f t="shared" si="24"/>
        <v>110094.49999999974</v>
      </c>
      <c r="C111" s="130"/>
      <c r="D111" s="99"/>
      <c r="E111" s="118"/>
      <c r="F111" s="118"/>
      <c r="G111" s="73">
        <f t="shared" si="22"/>
        <v>110094.49999999974</v>
      </c>
      <c r="H111" s="95">
        <v>5.1400000000000001E-2</v>
      </c>
      <c r="I111" s="73">
        <f t="shared" si="23"/>
        <v>471.57144166666558</v>
      </c>
    </row>
    <row r="112" spans="1:9" x14ac:dyDescent="0.2">
      <c r="A112" s="72">
        <v>39417</v>
      </c>
      <c r="B112" s="83">
        <f t="shared" si="24"/>
        <v>110094.49999999974</v>
      </c>
      <c r="C112" s="130"/>
      <c r="D112" s="99"/>
      <c r="E112" s="118"/>
      <c r="F112" s="118"/>
      <c r="G112" s="73">
        <f t="shared" si="22"/>
        <v>110094.49999999974</v>
      </c>
      <c r="H112" s="95">
        <v>5.1400000000000001E-2</v>
      </c>
      <c r="I112" s="73">
        <f t="shared" si="23"/>
        <v>471.57144166666558</v>
      </c>
    </row>
    <row r="113" spans="1:9" ht="13.5" thickBot="1" x14ac:dyDescent="0.25">
      <c r="A113" s="74" t="s">
        <v>98</v>
      </c>
      <c r="B113" s="74"/>
      <c r="C113" s="131"/>
      <c r="D113" s="94"/>
      <c r="E113" s="115"/>
      <c r="F113" s="115"/>
      <c r="G113" s="82"/>
      <c r="H113" s="94"/>
      <c r="I113" s="75">
        <f>SUM(I101:I112)</f>
        <v>5204.7174874999873</v>
      </c>
    </row>
    <row r="114" spans="1:9" ht="13.5" thickTop="1" x14ac:dyDescent="0.2">
      <c r="A114" s="72"/>
      <c r="C114" s="132"/>
    </row>
    <row r="115" spans="1:9" x14ac:dyDescent="0.2">
      <c r="A115" s="72"/>
      <c r="C115" s="132"/>
    </row>
    <row r="116" spans="1:9" x14ac:dyDescent="0.2">
      <c r="A116" s="72"/>
      <c r="C116" s="132"/>
    </row>
    <row r="117" spans="1:9" x14ac:dyDescent="0.2">
      <c r="A117" s="72">
        <v>39448</v>
      </c>
      <c r="B117" s="83">
        <f>G112</f>
        <v>110094.49999999974</v>
      </c>
      <c r="C117" s="130"/>
      <c r="D117" s="99"/>
      <c r="E117" s="118"/>
      <c r="F117" s="118"/>
      <c r="G117" s="73">
        <f t="shared" ref="G117:G128" si="25">SUM(B117:F117)</f>
        <v>110094.49999999974</v>
      </c>
      <c r="H117" s="95">
        <v>5.1400000000000001E-2</v>
      </c>
      <c r="I117" s="73">
        <f t="shared" ref="I117:I128" si="26">B117*H117/12</f>
        <v>471.57144166666558</v>
      </c>
    </row>
    <row r="118" spans="1:9" x14ac:dyDescent="0.2">
      <c r="A118" s="72">
        <v>39479</v>
      </c>
      <c r="B118" s="83">
        <f>G117</f>
        <v>110094.49999999974</v>
      </c>
      <c r="C118" s="130"/>
      <c r="D118" s="99"/>
      <c r="E118" s="118"/>
      <c r="F118" s="118"/>
      <c r="G118" s="73">
        <f t="shared" si="25"/>
        <v>110094.49999999974</v>
      </c>
      <c r="H118" s="95">
        <v>5.1400000000000001E-2</v>
      </c>
      <c r="I118" s="73">
        <f t="shared" si="26"/>
        <v>471.57144166666558</v>
      </c>
    </row>
    <row r="119" spans="1:9" x14ac:dyDescent="0.2">
      <c r="A119" s="72">
        <v>39508</v>
      </c>
      <c r="B119" s="83">
        <f t="shared" ref="B119:B128" si="27">G118</f>
        <v>110094.49999999974</v>
      </c>
      <c r="C119" s="130"/>
      <c r="D119" s="99"/>
      <c r="E119" s="118"/>
      <c r="F119" s="118"/>
      <c r="G119" s="73">
        <f t="shared" si="25"/>
        <v>110094.49999999974</v>
      </c>
      <c r="H119" s="95">
        <v>5.1400000000000001E-2</v>
      </c>
      <c r="I119" s="73">
        <f t="shared" si="26"/>
        <v>471.57144166666558</v>
      </c>
    </row>
    <row r="120" spans="1:9" x14ac:dyDescent="0.2">
      <c r="A120" s="72">
        <v>39539</v>
      </c>
      <c r="B120" s="83">
        <f t="shared" si="27"/>
        <v>110094.49999999974</v>
      </c>
      <c r="C120" s="130"/>
      <c r="D120" s="99"/>
      <c r="E120" s="118"/>
      <c r="F120" s="118"/>
      <c r="G120" s="73">
        <f t="shared" si="25"/>
        <v>110094.49999999974</v>
      </c>
      <c r="H120" s="101">
        <v>4.0800000000000003E-2</v>
      </c>
      <c r="I120" s="73">
        <f t="shared" si="26"/>
        <v>374.32129999999916</v>
      </c>
    </row>
    <row r="121" spans="1:9" x14ac:dyDescent="0.2">
      <c r="A121" s="72">
        <v>39569</v>
      </c>
      <c r="B121" s="83">
        <f t="shared" si="27"/>
        <v>110094.49999999974</v>
      </c>
      <c r="C121" s="130"/>
      <c r="D121" s="99"/>
      <c r="E121" s="118"/>
      <c r="F121" s="118"/>
      <c r="G121" s="73">
        <f t="shared" si="25"/>
        <v>110094.49999999974</v>
      </c>
      <c r="H121" s="101">
        <v>4.0800000000000003E-2</v>
      </c>
      <c r="I121" s="73">
        <f t="shared" si="26"/>
        <v>374.32129999999916</v>
      </c>
    </row>
    <row r="122" spans="1:9" x14ac:dyDescent="0.2">
      <c r="A122" s="72">
        <v>39600</v>
      </c>
      <c r="B122" s="83">
        <f t="shared" si="27"/>
        <v>110094.49999999974</v>
      </c>
      <c r="C122" s="130"/>
      <c r="D122" s="99"/>
      <c r="E122" s="118"/>
      <c r="F122" s="118"/>
      <c r="G122" s="73">
        <f t="shared" si="25"/>
        <v>110094.49999999974</v>
      </c>
      <c r="H122" s="101">
        <v>4.0800000000000003E-2</v>
      </c>
      <c r="I122" s="73">
        <f t="shared" si="26"/>
        <v>374.32129999999916</v>
      </c>
    </row>
    <row r="123" spans="1:9" x14ac:dyDescent="0.2">
      <c r="A123" s="72">
        <v>39630</v>
      </c>
      <c r="B123" s="83">
        <f t="shared" si="27"/>
        <v>110094.49999999974</v>
      </c>
      <c r="C123" s="130"/>
      <c r="D123" s="99"/>
      <c r="E123" s="118"/>
      <c r="F123" s="118"/>
      <c r="G123" s="73">
        <f t="shared" si="25"/>
        <v>110094.49999999974</v>
      </c>
      <c r="H123" s="101">
        <v>3.3500000000000002E-2</v>
      </c>
      <c r="I123" s="73">
        <f t="shared" si="26"/>
        <v>307.3471458333326</v>
      </c>
    </row>
    <row r="124" spans="1:9" x14ac:dyDescent="0.2">
      <c r="A124" s="72">
        <v>39661</v>
      </c>
      <c r="B124" s="83">
        <f t="shared" si="27"/>
        <v>110094.49999999974</v>
      </c>
      <c r="C124" s="130"/>
      <c r="D124" s="99"/>
      <c r="E124" s="118"/>
      <c r="F124" s="118"/>
      <c r="G124" s="73">
        <f t="shared" si="25"/>
        <v>110094.49999999974</v>
      </c>
      <c r="H124" s="101">
        <v>3.3500000000000002E-2</v>
      </c>
      <c r="I124" s="73">
        <f t="shared" si="26"/>
        <v>307.3471458333326</v>
      </c>
    </row>
    <row r="125" spans="1:9" x14ac:dyDescent="0.2">
      <c r="A125" s="72">
        <v>39692</v>
      </c>
      <c r="B125" s="83">
        <f t="shared" si="27"/>
        <v>110094.49999999974</v>
      </c>
      <c r="C125" s="130"/>
      <c r="D125" s="99"/>
      <c r="E125" s="118"/>
      <c r="F125" s="118"/>
      <c r="G125" s="73">
        <f t="shared" si="25"/>
        <v>110094.49999999974</v>
      </c>
      <c r="H125" s="101">
        <v>3.3500000000000002E-2</v>
      </c>
      <c r="I125" s="73">
        <f t="shared" si="26"/>
        <v>307.3471458333326</v>
      </c>
    </row>
    <row r="126" spans="1:9" x14ac:dyDescent="0.2">
      <c r="A126" s="72">
        <v>39722</v>
      </c>
      <c r="B126" s="83">
        <f t="shared" si="27"/>
        <v>110094.49999999974</v>
      </c>
      <c r="C126" s="130"/>
      <c r="D126" s="99"/>
      <c r="E126" s="118"/>
      <c r="F126" s="118"/>
      <c r="G126" s="73">
        <f t="shared" si="25"/>
        <v>110094.49999999974</v>
      </c>
      <c r="H126" s="101">
        <v>3.3500000000000002E-2</v>
      </c>
      <c r="I126" s="73">
        <f t="shared" si="26"/>
        <v>307.3471458333326</v>
      </c>
    </row>
    <row r="127" spans="1:9" x14ac:dyDescent="0.2">
      <c r="A127" s="72">
        <v>39753</v>
      </c>
      <c r="B127" s="83">
        <f t="shared" si="27"/>
        <v>110094.49999999974</v>
      </c>
      <c r="C127" s="130"/>
      <c r="D127" s="99"/>
      <c r="E127" s="118"/>
      <c r="F127" s="118"/>
      <c r="G127" s="73">
        <f t="shared" si="25"/>
        <v>110094.49999999974</v>
      </c>
      <c r="H127" s="101">
        <v>3.3500000000000002E-2</v>
      </c>
      <c r="I127" s="73">
        <f t="shared" si="26"/>
        <v>307.3471458333326</v>
      </c>
    </row>
    <row r="128" spans="1:9" x14ac:dyDescent="0.2">
      <c r="A128" s="72">
        <v>39783</v>
      </c>
      <c r="B128" s="83">
        <f t="shared" si="27"/>
        <v>110094.49999999974</v>
      </c>
      <c r="C128" s="130"/>
      <c r="D128" s="99"/>
      <c r="E128" s="118"/>
      <c r="F128" s="118"/>
      <c r="G128" s="73">
        <f t="shared" si="25"/>
        <v>110094.49999999974</v>
      </c>
      <c r="H128" s="101">
        <v>3.3500000000000002E-2</v>
      </c>
      <c r="I128" s="73">
        <f t="shared" si="26"/>
        <v>307.3471458333326</v>
      </c>
    </row>
    <row r="129" spans="1:9" ht="13.5" thickBot="1" x14ac:dyDescent="0.25">
      <c r="A129" s="74" t="s">
        <v>98</v>
      </c>
      <c r="B129" s="74"/>
      <c r="C129" s="131"/>
      <c r="D129" s="94"/>
      <c r="E129" s="115"/>
      <c r="F129" s="115"/>
      <c r="G129" s="82"/>
      <c r="H129" s="94"/>
      <c r="I129" s="75">
        <f>SUM(I117:I128)</f>
        <v>4381.7610999999888</v>
      </c>
    </row>
    <row r="130" spans="1:9" ht="13.5" thickTop="1" x14ac:dyDescent="0.2">
      <c r="A130" s="72"/>
      <c r="C130" s="132"/>
    </row>
    <row r="131" spans="1:9" x14ac:dyDescent="0.2">
      <c r="A131" s="72"/>
      <c r="C131" s="132"/>
    </row>
    <row r="132" spans="1:9" x14ac:dyDescent="0.2">
      <c r="A132" s="72"/>
      <c r="C132" s="132"/>
    </row>
    <row r="133" spans="1:9" x14ac:dyDescent="0.2">
      <c r="A133" s="72">
        <v>39814</v>
      </c>
      <c r="B133" s="83">
        <f>G128</f>
        <v>110094.49999999974</v>
      </c>
      <c r="C133" s="130"/>
      <c r="D133" s="99"/>
      <c r="E133" s="118"/>
      <c r="F133" s="118"/>
      <c r="G133" s="73">
        <f t="shared" ref="G133:G144" si="28">SUM(B133:F133)</f>
        <v>110094.49999999974</v>
      </c>
      <c r="H133" s="101">
        <v>2.4500000000000001E-2</v>
      </c>
      <c r="I133" s="73">
        <f t="shared" ref="I133:I144" si="29">B133*H133/12</f>
        <v>224.7762708333328</v>
      </c>
    </row>
    <row r="134" spans="1:9" x14ac:dyDescent="0.2">
      <c r="A134" s="72">
        <v>39845</v>
      </c>
      <c r="B134" s="83">
        <f>G133</f>
        <v>110094.49999999974</v>
      </c>
      <c r="C134" s="130"/>
      <c r="D134" s="99"/>
      <c r="E134" s="118"/>
      <c r="F134" s="118"/>
      <c r="G134" s="73">
        <f t="shared" si="28"/>
        <v>110094.49999999974</v>
      </c>
      <c r="H134" s="101">
        <v>2.4500000000000001E-2</v>
      </c>
      <c r="I134" s="73">
        <f t="shared" si="29"/>
        <v>224.7762708333328</v>
      </c>
    </row>
    <row r="135" spans="1:9" x14ac:dyDescent="0.2">
      <c r="A135" s="72">
        <v>39873</v>
      </c>
      <c r="B135" s="83">
        <f t="shared" ref="B135:B144" si="30">G134</f>
        <v>110094.49999999974</v>
      </c>
      <c r="C135" s="130"/>
      <c r="D135" s="99"/>
      <c r="E135" s="118"/>
      <c r="F135" s="118"/>
      <c r="G135" s="73">
        <f t="shared" si="28"/>
        <v>110094.49999999974</v>
      </c>
      <c r="H135" s="101">
        <v>2.4500000000000001E-2</v>
      </c>
      <c r="I135" s="73">
        <f t="shared" si="29"/>
        <v>224.7762708333328</v>
      </c>
    </row>
    <row r="136" spans="1:9" x14ac:dyDescent="0.2">
      <c r="A136" s="72">
        <v>39904</v>
      </c>
      <c r="B136" s="83">
        <f t="shared" si="30"/>
        <v>110094.49999999974</v>
      </c>
      <c r="C136" s="130"/>
      <c r="D136" s="99"/>
      <c r="E136" s="118"/>
      <c r="F136" s="118"/>
      <c r="G136" s="73">
        <f t="shared" si="28"/>
        <v>110094.49999999974</v>
      </c>
      <c r="H136" s="101">
        <v>0.01</v>
      </c>
      <c r="I136" s="73">
        <f t="shared" si="29"/>
        <v>91.745416666666458</v>
      </c>
    </row>
    <row r="137" spans="1:9" x14ac:dyDescent="0.2">
      <c r="A137" s="72">
        <v>39934</v>
      </c>
      <c r="B137" s="83">
        <f t="shared" si="30"/>
        <v>110094.49999999974</v>
      </c>
      <c r="C137" s="130"/>
      <c r="D137" s="99"/>
      <c r="E137" s="118"/>
      <c r="F137" s="118"/>
      <c r="G137" s="73">
        <f t="shared" si="28"/>
        <v>110094.49999999974</v>
      </c>
      <c r="H137" s="101">
        <v>0.01</v>
      </c>
      <c r="I137" s="73">
        <f t="shared" si="29"/>
        <v>91.745416666666458</v>
      </c>
    </row>
    <row r="138" spans="1:9" x14ac:dyDescent="0.2">
      <c r="A138" s="72">
        <v>39965</v>
      </c>
      <c r="B138" s="83">
        <f t="shared" si="30"/>
        <v>110094.49999999974</v>
      </c>
      <c r="C138" s="130"/>
      <c r="D138" s="99"/>
      <c r="E138" s="118"/>
      <c r="F138" s="118"/>
      <c r="G138" s="73">
        <f t="shared" si="28"/>
        <v>110094.49999999974</v>
      </c>
      <c r="H138" s="101">
        <v>0.01</v>
      </c>
      <c r="I138" s="73">
        <f t="shared" si="29"/>
        <v>91.745416666666458</v>
      </c>
    </row>
    <row r="139" spans="1:9" x14ac:dyDescent="0.2">
      <c r="A139" s="72">
        <v>39995</v>
      </c>
      <c r="B139" s="83">
        <f t="shared" si="30"/>
        <v>110094.49999999974</v>
      </c>
      <c r="C139" s="130"/>
      <c r="D139" s="99"/>
      <c r="E139" s="118"/>
      <c r="F139" s="118"/>
      <c r="G139" s="73">
        <f t="shared" si="28"/>
        <v>110094.49999999974</v>
      </c>
      <c r="H139" s="101">
        <v>5.4999999999999997E-3</v>
      </c>
      <c r="I139" s="73">
        <f t="shared" si="29"/>
        <v>50.45997916666655</v>
      </c>
    </row>
    <row r="140" spans="1:9" x14ac:dyDescent="0.2">
      <c r="A140" s="72">
        <v>40026</v>
      </c>
      <c r="B140" s="83">
        <f t="shared" si="30"/>
        <v>110094.49999999974</v>
      </c>
      <c r="C140" s="130"/>
      <c r="D140" s="99"/>
      <c r="E140" s="118"/>
      <c r="F140" s="118"/>
      <c r="G140" s="73">
        <f t="shared" si="28"/>
        <v>110094.49999999974</v>
      </c>
      <c r="H140" s="101">
        <v>5.4999999999999997E-3</v>
      </c>
      <c r="I140" s="73">
        <f t="shared" si="29"/>
        <v>50.45997916666655</v>
      </c>
    </row>
    <row r="141" spans="1:9" x14ac:dyDescent="0.2">
      <c r="A141" s="72">
        <v>40057</v>
      </c>
      <c r="B141" s="83">
        <f t="shared" si="30"/>
        <v>110094.49999999974</v>
      </c>
      <c r="C141" s="130"/>
      <c r="D141" s="99"/>
      <c r="E141" s="118"/>
      <c r="F141" s="118"/>
      <c r="G141" s="73">
        <f t="shared" si="28"/>
        <v>110094.49999999974</v>
      </c>
      <c r="H141" s="101">
        <v>5.4999999999999997E-3</v>
      </c>
      <c r="I141" s="73">
        <f t="shared" si="29"/>
        <v>50.45997916666655</v>
      </c>
    </row>
    <row r="142" spans="1:9" x14ac:dyDescent="0.2">
      <c r="A142" s="72">
        <v>40087</v>
      </c>
      <c r="B142" s="83">
        <f t="shared" si="30"/>
        <v>110094.49999999974</v>
      </c>
      <c r="C142" s="130"/>
      <c r="D142" s="99"/>
      <c r="E142" s="118"/>
      <c r="F142" s="118"/>
      <c r="G142" s="73">
        <f t="shared" si="28"/>
        <v>110094.49999999974</v>
      </c>
      <c r="H142" s="101">
        <v>5.4999999999999997E-3</v>
      </c>
      <c r="I142" s="73">
        <f t="shared" si="29"/>
        <v>50.45997916666655</v>
      </c>
    </row>
    <row r="143" spans="1:9" x14ac:dyDescent="0.2">
      <c r="A143" s="72">
        <v>40118</v>
      </c>
      <c r="B143" s="83">
        <f t="shared" si="30"/>
        <v>110094.49999999974</v>
      </c>
      <c r="C143" s="130"/>
      <c r="D143" s="99"/>
      <c r="E143" s="118"/>
      <c r="F143" s="118"/>
      <c r="G143" s="73">
        <f t="shared" si="28"/>
        <v>110094.49999999974</v>
      </c>
      <c r="H143" s="101">
        <v>5.4999999999999997E-3</v>
      </c>
      <c r="I143" s="73">
        <f t="shared" si="29"/>
        <v>50.45997916666655</v>
      </c>
    </row>
    <row r="144" spans="1:9" x14ac:dyDescent="0.2">
      <c r="A144" s="72">
        <v>40148</v>
      </c>
      <c r="B144" s="83">
        <f t="shared" si="30"/>
        <v>110094.49999999974</v>
      </c>
      <c r="C144" s="130"/>
      <c r="D144" s="99"/>
      <c r="E144" s="118"/>
      <c r="F144" s="118"/>
      <c r="G144" s="73">
        <f t="shared" si="28"/>
        <v>110094.49999999974</v>
      </c>
      <c r="H144" s="101">
        <v>5.4999999999999997E-3</v>
      </c>
      <c r="I144" s="73">
        <f t="shared" si="29"/>
        <v>50.45997916666655</v>
      </c>
    </row>
    <row r="145" spans="1:9" ht="13.5" thickBot="1" x14ac:dyDescent="0.25">
      <c r="A145" s="74" t="s">
        <v>98</v>
      </c>
      <c r="B145" s="74"/>
      <c r="C145" s="131"/>
      <c r="D145" s="94"/>
      <c r="E145" s="115"/>
      <c r="F145" s="115"/>
      <c r="G145" s="82"/>
      <c r="H145" s="94"/>
      <c r="I145" s="75">
        <f>SUM(I133:I144)</f>
        <v>1252.3249374999966</v>
      </c>
    </row>
    <row r="146" spans="1:9" ht="13.5" thickTop="1" x14ac:dyDescent="0.2">
      <c r="A146" s="72"/>
      <c r="C146" s="132"/>
    </row>
    <row r="147" spans="1:9" x14ac:dyDescent="0.2">
      <c r="A147" s="72"/>
      <c r="C147" s="132"/>
    </row>
    <row r="148" spans="1:9" x14ac:dyDescent="0.2">
      <c r="A148" s="72"/>
      <c r="C148" s="132"/>
    </row>
    <row r="149" spans="1:9" x14ac:dyDescent="0.2">
      <c r="A149" s="72">
        <v>40179</v>
      </c>
      <c r="B149" s="83">
        <f>G144</f>
        <v>110094.49999999974</v>
      </c>
      <c r="C149" s="130"/>
      <c r="D149" s="99"/>
      <c r="E149" s="118"/>
      <c r="F149" s="118"/>
      <c r="G149" s="73">
        <f t="shared" ref="G149:G160" si="31">SUM(B149:F149)</f>
        <v>110094.49999999974</v>
      </c>
      <c r="H149" s="101">
        <v>5.4999999999999997E-3</v>
      </c>
      <c r="I149" s="73">
        <f t="shared" ref="I149:I160" si="32">B149*H149/12</f>
        <v>50.45997916666655</v>
      </c>
    </row>
    <row r="150" spans="1:9" x14ac:dyDescent="0.2">
      <c r="A150" s="72">
        <v>40210</v>
      </c>
      <c r="B150" s="83">
        <f>G149</f>
        <v>110094.49999999974</v>
      </c>
      <c r="C150" s="130"/>
      <c r="D150" s="99"/>
      <c r="E150" s="118"/>
      <c r="F150" s="118"/>
      <c r="G150" s="73">
        <f t="shared" si="31"/>
        <v>110094.49999999974</v>
      </c>
      <c r="H150" s="101">
        <v>5.4999999999999997E-3</v>
      </c>
      <c r="I150" s="73">
        <f t="shared" si="32"/>
        <v>50.45997916666655</v>
      </c>
    </row>
    <row r="151" spans="1:9" x14ac:dyDescent="0.2">
      <c r="A151" s="72">
        <v>40238</v>
      </c>
      <c r="B151" s="83">
        <f t="shared" ref="B151:B160" si="33">G150</f>
        <v>110094.49999999974</v>
      </c>
      <c r="C151" s="130"/>
      <c r="D151" s="99"/>
      <c r="E151" s="118"/>
      <c r="F151" s="118"/>
      <c r="G151" s="73">
        <f t="shared" si="31"/>
        <v>110094.49999999974</v>
      </c>
      <c r="H151" s="101">
        <v>5.4999999999999997E-3</v>
      </c>
      <c r="I151" s="73">
        <f t="shared" si="32"/>
        <v>50.45997916666655</v>
      </c>
    </row>
    <row r="152" spans="1:9" x14ac:dyDescent="0.2">
      <c r="A152" s="72">
        <v>40269</v>
      </c>
      <c r="B152" s="83">
        <f t="shared" si="33"/>
        <v>110094.49999999974</v>
      </c>
      <c r="C152" s="130"/>
      <c r="D152" s="99"/>
      <c r="E152" s="118"/>
      <c r="F152" s="118"/>
      <c r="G152" s="73">
        <f t="shared" si="31"/>
        <v>110094.49999999974</v>
      </c>
      <c r="H152" s="101">
        <v>5.4999999999999997E-3</v>
      </c>
      <c r="I152" s="73">
        <f t="shared" si="32"/>
        <v>50.45997916666655</v>
      </c>
    </row>
    <row r="153" spans="1:9" x14ac:dyDescent="0.2">
      <c r="A153" s="72">
        <v>40299</v>
      </c>
      <c r="B153" s="83">
        <f t="shared" si="33"/>
        <v>110094.49999999974</v>
      </c>
      <c r="C153" s="130"/>
      <c r="D153" s="99"/>
      <c r="E153" s="118"/>
      <c r="F153" s="118"/>
      <c r="G153" s="73">
        <f t="shared" si="31"/>
        <v>110094.49999999974</v>
      </c>
      <c r="H153" s="101">
        <v>5.4999999999999997E-3</v>
      </c>
      <c r="I153" s="73">
        <f t="shared" si="32"/>
        <v>50.45997916666655</v>
      </c>
    </row>
    <row r="154" spans="1:9" x14ac:dyDescent="0.2">
      <c r="A154" s="72">
        <v>40330</v>
      </c>
      <c r="B154" s="83">
        <f t="shared" si="33"/>
        <v>110094.49999999974</v>
      </c>
      <c r="C154" s="130"/>
      <c r="D154" s="99"/>
      <c r="E154" s="118"/>
      <c r="F154" s="118"/>
      <c r="G154" s="73">
        <f t="shared" si="31"/>
        <v>110094.49999999974</v>
      </c>
      <c r="H154" s="101">
        <v>5.4999999999999997E-3</v>
      </c>
      <c r="I154" s="73">
        <f t="shared" si="32"/>
        <v>50.45997916666655</v>
      </c>
    </row>
    <row r="155" spans="1:9" x14ac:dyDescent="0.2">
      <c r="A155" s="72">
        <v>40360</v>
      </c>
      <c r="B155" s="83">
        <f t="shared" si="33"/>
        <v>110094.49999999974</v>
      </c>
      <c r="C155" s="130"/>
      <c r="D155" s="99"/>
      <c r="E155" s="118"/>
      <c r="F155" s="118"/>
      <c r="G155" s="73">
        <f t="shared" si="31"/>
        <v>110094.49999999974</v>
      </c>
      <c r="H155" s="101">
        <v>8.8999999999999999E-3</v>
      </c>
      <c r="I155" s="73">
        <f t="shared" si="32"/>
        <v>81.653420833333129</v>
      </c>
    </row>
    <row r="156" spans="1:9" x14ac:dyDescent="0.2">
      <c r="A156" s="72">
        <v>40391</v>
      </c>
      <c r="B156" s="83">
        <f t="shared" si="33"/>
        <v>110094.49999999974</v>
      </c>
      <c r="C156" s="130"/>
      <c r="D156" s="99"/>
      <c r="E156" s="118"/>
      <c r="F156" s="118"/>
      <c r="G156" s="73">
        <f t="shared" si="31"/>
        <v>110094.49999999974</v>
      </c>
      <c r="H156" s="101">
        <v>8.8999999999999999E-3</v>
      </c>
      <c r="I156" s="73">
        <f t="shared" si="32"/>
        <v>81.653420833333129</v>
      </c>
    </row>
    <row r="157" spans="1:9" x14ac:dyDescent="0.2">
      <c r="A157" s="72">
        <v>40422</v>
      </c>
      <c r="B157" s="83">
        <f t="shared" si="33"/>
        <v>110094.49999999974</v>
      </c>
      <c r="C157" s="130"/>
      <c r="D157" s="99"/>
      <c r="E157" s="118"/>
      <c r="F157" s="118"/>
      <c r="G157" s="73">
        <f t="shared" si="31"/>
        <v>110094.49999999974</v>
      </c>
      <c r="H157" s="101">
        <v>8.8999999999999999E-3</v>
      </c>
      <c r="I157" s="73">
        <f t="shared" si="32"/>
        <v>81.653420833333129</v>
      </c>
    </row>
    <row r="158" spans="1:9" x14ac:dyDescent="0.2">
      <c r="A158" s="72">
        <v>40452</v>
      </c>
      <c r="B158" s="83">
        <f t="shared" si="33"/>
        <v>110094.49999999974</v>
      </c>
      <c r="C158" s="130"/>
      <c r="D158" s="99"/>
      <c r="E158" s="118"/>
      <c r="F158" s="118"/>
      <c r="G158" s="73">
        <f t="shared" si="31"/>
        <v>110094.49999999974</v>
      </c>
      <c r="H158" s="101">
        <v>1.2E-2</v>
      </c>
      <c r="I158" s="73">
        <f t="shared" si="32"/>
        <v>110.09449999999974</v>
      </c>
    </row>
    <row r="159" spans="1:9" x14ac:dyDescent="0.2">
      <c r="A159" s="72">
        <v>40483</v>
      </c>
      <c r="B159" s="83">
        <f t="shared" si="33"/>
        <v>110094.49999999974</v>
      </c>
      <c r="C159" s="130"/>
      <c r="D159" s="99"/>
      <c r="E159" s="118"/>
      <c r="F159" s="118"/>
      <c r="G159" s="73">
        <f t="shared" si="31"/>
        <v>110094.49999999974</v>
      </c>
      <c r="H159" s="101">
        <v>1.2E-2</v>
      </c>
      <c r="I159" s="73">
        <f t="shared" si="32"/>
        <v>110.09449999999974</v>
      </c>
    </row>
    <row r="160" spans="1:9" x14ac:dyDescent="0.2">
      <c r="A160" s="72">
        <v>40513</v>
      </c>
      <c r="B160" s="83">
        <f t="shared" si="33"/>
        <v>110094.49999999974</v>
      </c>
      <c r="C160" s="130"/>
      <c r="D160" s="99"/>
      <c r="E160" s="118"/>
      <c r="F160" s="118"/>
      <c r="G160" s="73">
        <f t="shared" si="31"/>
        <v>110094.49999999974</v>
      </c>
      <c r="H160" s="101">
        <v>1.2E-2</v>
      </c>
      <c r="I160" s="73">
        <f t="shared" si="32"/>
        <v>110.09449999999974</v>
      </c>
    </row>
    <row r="161" spans="1:9" ht="13.5" thickBot="1" x14ac:dyDescent="0.25">
      <c r="A161" s="74" t="s">
        <v>98</v>
      </c>
      <c r="B161" s="74"/>
      <c r="C161" s="131"/>
      <c r="D161" s="94"/>
      <c r="E161" s="115"/>
      <c r="F161" s="115"/>
      <c r="G161" s="82"/>
      <c r="H161" s="94"/>
      <c r="I161" s="75">
        <f>SUM(I149:I160)</f>
        <v>878.00363749999781</v>
      </c>
    </row>
    <row r="162" spans="1:9" ht="13.5" thickTop="1" x14ac:dyDescent="0.2">
      <c r="A162" s="72"/>
      <c r="C162" s="132"/>
    </row>
    <row r="163" spans="1:9" x14ac:dyDescent="0.2">
      <c r="C163" s="132"/>
    </row>
    <row r="164" spans="1:9" x14ac:dyDescent="0.2">
      <c r="C164" s="132"/>
    </row>
    <row r="165" spans="1:9" x14ac:dyDescent="0.2">
      <c r="A165" s="72">
        <v>40544</v>
      </c>
      <c r="B165" s="83">
        <f>G160</f>
        <v>110094.49999999974</v>
      </c>
      <c r="C165" s="130"/>
      <c r="D165" s="99"/>
      <c r="E165" s="118"/>
      <c r="F165" s="118"/>
      <c r="G165" s="73">
        <f t="shared" ref="G165:G176" si="34">SUM(B165:F165)</f>
        <v>110094.49999999974</v>
      </c>
      <c r="H165" s="101">
        <v>1.47E-2</v>
      </c>
      <c r="I165" s="73">
        <f t="shared" ref="I165:I176" si="35">B165*H165/12</f>
        <v>134.86576249999968</v>
      </c>
    </row>
    <row r="166" spans="1:9" x14ac:dyDescent="0.2">
      <c r="A166" s="72">
        <v>40575</v>
      </c>
      <c r="B166" s="83">
        <f>G165</f>
        <v>110094.49999999974</v>
      </c>
      <c r="C166" s="130"/>
      <c r="D166" s="99"/>
      <c r="E166" s="118"/>
      <c r="F166" s="118"/>
      <c r="G166" s="73">
        <f t="shared" si="34"/>
        <v>110094.49999999974</v>
      </c>
      <c r="H166" s="101">
        <v>1.47E-2</v>
      </c>
      <c r="I166" s="73">
        <f t="shared" si="35"/>
        <v>134.86576249999968</v>
      </c>
    </row>
    <row r="167" spans="1:9" x14ac:dyDescent="0.2">
      <c r="A167" s="72">
        <v>40603</v>
      </c>
      <c r="B167" s="83">
        <f t="shared" ref="B167:B176" si="36">G166</f>
        <v>110094.49999999974</v>
      </c>
      <c r="C167" s="130"/>
      <c r="D167" s="99"/>
      <c r="E167" s="118"/>
      <c r="F167" s="118"/>
      <c r="G167" s="73">
        <f t="shared" si="34"/>
        <v>110094.49999999974</v>
      </c>
      <c r="H167" s="101">
        <v>1.47E-2</v>
      </c>
      <c r="I167" s="73">
        <f t="shared" si="35"/>
        <v>134.86576249999968</v>
      </c>
    </row>
    <row r="168" spans="1:9" x14ac:dyDescent="0.2">
      <c r="A168" s="72">
        <v>40634</v>
      </c>
      <c r="B168" s="83">
        <f t="shared" si="36"/>
        <v>110094.49999999974</v>
      </c>
      <c r="C168" s="130"/>
      <c r="D168" s="99"/>
      <c r="E168" s="118"/>
      <c r="F168" s="118"/>
      <c r="G168" s="73">
        <f t="shared" si="34"/>
        <v>110094.49999999974</v>
      </c>
      <c r="H168" s="101">
        <v>1.47E-2</v>
      </c>
      <c r="I168" s="73">
        <f t="shared" si="35"/>
        <v>134.86576249999968</v>
      </c>
    </row>
    <row r="169" spans="1:9" x14ac:dyDescent="0.2">
      <c r="A169" s="72">
        <v>40664</v>
      </c>
      <c r="B169" s="83">
        <f t="shared" si="36"/>
        <v>110094.49999999974</v>
      </c>
      <c r="C169" s="130"/>
      <c r="D169" s="99"/>
      <c r="E169" s="118"/>
      <c r="F169" s="118"/>
      <c r="G169" s="73">
        <f t="shared" si="34"/>
        <v>110094.49999999974</v>
      </c>
      <c r="H169" s="101">
        <v>1.47E-2</v>
      </c>
      <c r="I169" s="73">
        <f t="shared" si="35"/>
        <v>134.86576249999968</v>
      </c>
    </row>
    <row r="170" spans="1:9" x14ac:dyDescent="0.2">
      <c r="A170" s="72">
        <v>40695</v>
      </c>
      <c r="B170" s="83">
        <f t="shared" si="36"/>
        <v>110094.49999999974</v>
      </c>
      <c r="C170" s="130"/>
      <c r="D170" s="99"/>
      <c r="E170" s="118"/>
      <c r="F170" s="118"/>
      <c r="G170" s="73">
        <f t="shared" si="34"/>
        <v>110094.49999999974</v>
      </c>
      <c r="H170" s="101">
        <v>1.47E-2</v>
      </c>
      <c r="I170" s="73">
        <f t="shared" si="35"/>
        <v>134.86576249999968</v>
      </c>
    </row>
    <row r="171" spans="1:9" x14ac:dyDescent="0.2">
      <c r="A171" s="72">
        <v>40725</v>
      </c>
      <c r="B171" s="83">
        <f t="shared" si="36"/>
        <v>110094.49999999974</v>
      </c>
      <c r="C171" s="130"/>
      <c r="D171" s="99"/>
      <c r="E171" s="118"/>
      <c r="F171" s="118"/>
      <c r="G171" s="73">
        <f t="shared" si="34"/>
        <v>110094.49999999974</v>
      </c>
      <c r="H171" s="101">
        <v>1.47E-2</v>
      </c>
      <c r="I171" s="73">
        <f t="shared" si="35"/>
        <v>134.86576249999968</v>
      </c>
    </row>
    <row r="172" spans="1:9" x14ac:dyDescent="0.2">
      <c r="A172" s="72">
        <v>40756</v>
      </c>
      <c r="B172" s="83">
        <f t="shared" si="36"/>
        <v>110094.49999999974</v>
      </c>
      <c r="C172" s="130"/>
      <c r="D172" s="99"/>
      <c r="E172" s="118"/>
      <c r="F172" s="118"/>
      <c r="G172" s="73">
        <f t="shared" si="34"/>
        <v>110094.49999999974</v>
      </c>
      <c r="H172" s="101">
        <v>1.47E-2</v>
      </c>
      <c r="I172" s="73">
        <f t="shared" si="35"/>
        <v>134.86576249999968</v>
      </c>
    </row>
    <row r="173" spans="1:9" x14ac:dyDescent="0.2">
      <c r="A173" s="72">
        <v>40787</v>
      </c>
      <c r="B173" s="83">
        <f t="shared" si="36"/>
        <v>110094.49999999974</v>
      </c>
      <c r="C173" s="130"/>
      <c r="D173" s="99"/>
      <c r="E173" s="118"/>
      <c r="F173" s="118"/>
      <c r="G173" s="73">
        <f t="shared" si="34"/>
        <v>110094.49999999974</v>
      </c>
      <c r="H173" s="101">
        <v>1.47E-2</v>
      </c>
      <c r="I173" s="73">
        <f t="shared" si="35"/>
        <v>134.86576249999968</v>
      </c>
    </row>
    <row r="174" spans="1:9" x14ac:dyDescent="0.2">
      <c r="A174" s="72">
        <v>40817</v>
      </c>
      <c r="B174" s="83">
        <f t="shared" si="36"/>
        <v>110094.49999999974</v>
      </c>
      <c r="C174" s="130"/>
      <c r="D174" s="99"/>
      <c r="E174" s="118"/>
      <c r="F174" s="118"/>
      <c r="G174" s="73">
        <f t="shared" si="34"/>
        <v>110094.49999999974</v>
      </c>
      <c r="H174" s="101">
        <v>1.47E-2</v>
      </c>
      <c r="I174" s="73">
        <f t="shared" si="35"/>
        <v>134.86576249999968</v>
      </c>
    </row>
    <row r="175" spans="1:9" x14ac:dyDescent="0.2">
      <c r="A175" s="72">
        <v>40848</v>
      </c>
      <c r="B175" s="83">
        <f t="shared" si="36"/>
        <v>110094.49999999974</v>
      </c>
      <c r="C175" s="130"/>
      <c r="D175" s="99"/>
      <c r="E175" s="118"/>
      <c r="F175" s="118"/>
      <c r="G175" s="73">
        <f t="shared" si="34"/>
        <v>110094.49999999974</v>
      </c>
      <c r="H175" s="101">
        <v>1.47E-2</v>
      </c>
      <c r="I175" s="73">
        <f t="shared" si="35"/>
        <v>134.86576249999968</v>
      </c>
    </row>
    <row r="176" spans="1:9" x14ac:dyDescent="0.2">
      <c r="A176" s="72">
        <v>40878</v>
      </c>
      <c r="B176" s="83">
        <f t="shared" si="36"/>
        <v>110094.49999999974</v>
      </c>
      <c r="C176" s="130"/>
      <c r="D176" s="99"/>
      <c r="E176" s="118"/>
      <c r="F176" s="118"/>
      <c r="G176" s="73">
        <f t="shared" si="34"/>
        <v>110094.49999999974</v>
      </c>
      <c r="H176" s="101">
        <v>1.47E-2</v>
      </c>
      <c r="I176" s="73">
        <f t="shared" si="35"/>
        <v>134.86576249999968</v>
      </c>
    </row>
    <row r="177" spans="1:9" ht="13.5" thickBot="1" x14ac:dyDescent="0.25">
      <c r="A177" s="74" t="s">
        <v>98</v>
      </c>
      <c r="B177" s="74"/>
      <c r="C177" s="131"/>
      <c r="D177" s="94"/>
      <c r="E177" s="115"/>
      <c r="F177" s="115"/>
      <c r="G177" s="82"/>
      <c r="H177" s="94"/>
      <c r="I177" s="75">
        <f>SUM(I165:I176)</f>
        <v>1618.3891499999957</v>
      </c>
    </row>
    <row r="178" spans="1:9" ht="13.5" thickTop="1" x14ac:dyDescent="0.2">
      <c r="C178" s="132"/>
    </row>
    <row r="179" spans="1:9" x14ac:dyDescent="0.2">
      <c r="C179" s="132"/>
    </row>
    <row r="180" spans="1:9" x14ac:dyDescent="0.2">
      <c r="C180" s="132"/>
    </row>
    <row r="181" spans="1:9" x14ac:dyDescent="0.2">
      <c r="A181" s="72">
        <v>40909</v>
      </c>
      <c r="B181" s="83">
        <f>G176</f>
        <v>110094.49999999974</v>
      </c>
      <c r="C181" s="130"/>
      <c r="D181" s="99"/>
      <c r="E181" s="118"/>
      <c r="F181" s="118"/>
      <c r="G181" s="73">
        <f>SUM(B181:F181)</f>
        <v>110094.49999999974</v>
      </c>
      <c r="H181" s="101">
        <v>1.47E-2</v>
      </c>
      <c r="I181" s="73">
        <f>B181*H181/12</f>
        <v>134.86576249999968</v>
      </c>
    </row>
    <row r="182" spans="1:9" x14ac:dyDescent="0.2">
      <c r="A182" s="72">
        <v>40940</v>
      </c>
      <c r="B182" s="83">
        <f>G181</f>
        <v>110094.49999999974</v>
      </c>
      <c r="C182" s="130"/>
      <c r="D182" s="99"/>
      <c r="E182" s="118"/>
      <c r="F182" s="118"/>
      <c r="G182" s="73">
        <f>SUM(B182:F182)</f>
        <v>110094.49999999974</v>
      </c>
      <c r="H182" s="101">
        <v>1.47E-2</v>
      </c>
      <c r="I182" s="73">
        <f>B182*H182/12</f>
        <v>134.86576249999968</v>
      </c>
    </row>
    <row r="183" spans="1:9" x14ac:dyDescent="0.2">
      <c r="A183" s="72">
        <v>40969</v>
      </c>
      <c r="B183" s="83">
        <f>G182</f>
        <v>110094.49999999974</v>
      </c>
      <c r="C183" s="130"/>
      <c r="D183" s="99"/>
      <c r="E183" s="118"/>
      <c r="F183" s="118"/>
      <c r="G183" s="73">
        <f>SUM(B183:F183)</f>
        <v>110094.49999999974</v>
      </c>
      <c r="H183" s="101">
        <v>1.47E-2</v>
      </c>
      <c r="I183" s="73">
        <f>B183*H183/12</f>
        <v>134.86576249999968</v>
      </c>
    </row>
    <row r="184" spans="1:9" x14ac:dyDescent="0.2">
      <c r="A184" s="72">
        <v>41000</v>
      </c>
      <c r="B184" s="83">
        <f>G183</f>
        <v>110094.49999999974</v>
      </c>
      <c r="C184" s="130"/>
      <c r="D184" s="99"/>
      <c r="E184" s="118"/>
      <c r="F184" s="118"/>
      <c r="G184" s="73">
        <f>SUM(B184:F184)</f>
        <v>110094.49999999974</v>
      </c>
      <c r="H184" s="101">
        <v>1.47E-2</v>
      </c>
      <c r="I184" s="73">
        <f>B184*H184/12</f>
        <v>134.86576249999968</v>
      </c>
    </row>
    <row r="185" spans="1:9" x14ac:dyDescent="0.2">
      <c r="A185" s="72">
        <v>41030</v>
      </c>
      <c r="B185" s="83">
        <f t="shared" ref="B185:B190" si="37">G184</f>
        <v>110094.49999999974</v>
      </c>
      <c r="C185" s="130"/>
      <c r="D185" s="99"/>
      <c r="E185" s="118"/>
      <c r="F185" s="118"/>
      <c r="G185" s="73">
        <f t="shared" ref="G185:G190" si="38">SUM(B185:F185)</f>
        <v>110094.49999999974</v>
      </c>
      <c r="H185" s="101">
        <v>1.47E-2</v>
      </c>
      <c r="I185" s="73">
        <f t="shared" ref="I185:I190" si="39">B185*H185/12</f>
        <v>134.86576249999968</v>
      </c>
    </row>
    <row r="186" spans="1:9" x14ac:dyDescent="0.2">
      <c r="A186" s="72">
        <v>41061</v>
      </c>
      <c r="B186" s="83">
        <f t="shared" si="37"/>
        <v>110094.49999999974</v>
      </c>
      <c r="C186" s="130"/>
      <c r="D186" s="99"/>
      <c r="E186" s="118"/>
      <c r="F186" s="118"/>
      <c r="G186" s="73">
        <f t="shared" si="38"/>
        <v>110094.49999999974</v>
      </c>
      <c r="H186" s="101">
        <v>1.47E-2</v>
      </c>
      <c r="I186" s="73">
        <f t="shared" si="39"/>
        <v>134.86576249999968</v>
      </c>
    </row>
    <row r="187" spans="1:9" x14ac:dyDescent="0.2">
      <c r="A187" s="72">
        <v>41091</v>
      </c>
      <c r="B187" s="83">
        <f t="shared" si="37"/>
        <v>110094.49999999974</v>
      </c>
      <c r="C187" s="130"/>
      <c r="D187" s="99"/>
      <c r="E187" s="118"/>
      <c r="F187" s="118"/>
      <c r="G187" s="73">
        <f t="shared" si="38"/>
        <v>110094.49999999974</v>
      </c>
      <c r="H187" s="101">
        <v>1.47E-2</v>
      </c>
      <c r="I187" s="73">
        <f t="shared" si="39"/>
        <v>134.86576249999968</v>
      </c>
    </row>
    <row r="188" spans="1:9" x14ac:dyDescent="0.2">
      <c r="A188" s="72">
        <v>41122</v>
      </c>
      <c r="B188" s="83">
        <f t="shared" si="37"/>
        <v>110094.49999999974</v>
      </c>
      <c r="C188" s="130"/>
      <c r="D188" s="99"/>
      <c r="E188" s="118"/>
      <c r="F188" s="118"/>
      <c r="G188" s="73">
        <f t="shared" si="38"/>
        <v>110094.49999999974</v>
      </c>
      <c r="H188" s="101">
        <v>1.47E-2</v>
      </c>
      <c r="I188" s="73">
        <f t="shared" si="39"/>
        <v>134.86576249999968</v>
      </c>
    </row>
    <row r="189" spans="1:9" x14ac:dyDescent="0.2">
      <c r="A189" s="72">
        <v>41153</v>
      </c>
      <c r="B189" s="83">
        <f t="shared" si="37"/>
        <v>110094.49999999974</v>
      </c>
      <c r="C189" s="130"/>
      <c r="D189" s="99"/>
      <c r="E189" s="118"/>
      <c r="F189" s="118"/>
      <c r="G189" s="73">
        <f t="shared" si="38"/>
        <v>110094.49999999974</v>
      </c>
      <c r="H189" s="101">
        <v>1.47E-2</v>
      </c>
      <c r="I189" s="73">
        <f t="shared" si="39"/>
        <v>134.86576249999968</v>
      </c>
    </row>
    <row r="190" spans="1:9" x14ac:dyDescent="0.2">
      <c r="A190" s="72">
        <v>41183</v>
      </c>
      <c r="B190" s="83">
        <f t="shared" si="37"/>
        <v>110094.49999999974</v>
      </c>
      <c r="C190" s="130"/>
      <c r="D190" s="99"/>
      <c r="E190" s="118"/>
      <c r="F190" s="118"/>
      <c r="G190" s="73">
        <f t="shared" si="38"/>
        <v>110094.49999999974</v>
      </c>
      <c r="H190" s="101">
        <v>1.47E-2</v>
      </c>
      <c r="I190" s="73">
        <f t="shared" si="39"/>
        <v>134.86576249999968</v>
      </c>
    </row>
    <row r="191" spans="1:9" ht="13.5" thickBot="1" x14ac:dyDescent="0.25">
      <c r="A191" s="74" t="s">
        <v>106</v>
      </c>
      <c r="B191" s="74"/>
      <c r="C191" s="131"/>
      <c r="D191" s="94"/>
      <c r="E191" s="115"/>
      <c r="F191" s="115"/>
      <c r="G191" s="82"/>
      <c r="H191" s="94"/>
      <c r="I191" s="75">
        <f>SUM(I181:I190)</f>
        <v>1348.6576249999964</v>
      </c>
    </row>
    <row r="192" spans="1:9" ht="13.5" thickTop="1" x14ac:dyDescent="0.2"/>
    <row r="193" spans="1:19" s="102" customFormat="1" x14ac:dyDescent="0.2">
      <c r="A193" s="102" t="s">
        <v>108</v>
      </c>
      <c r="C193" s="119"/>
      <c r="D193" s="103"/>
      <c r="E193" s="119"/>
      <c r="F193" s="119"/>
      <c r="G193" s="105">
        <f>G184</f>
        <v>110094.49999999974</v>
      </c>
      <c r="H193" s="103"/>
      <c r="I193" s="105">
        <f>+I191+I177+I161+I145+I129+I113+I95</f>
        <v>45358.737590624914</v>
      </c>
      <c r="J193" s="103"/>
      <c r="N193" s="103"/>
      <c r="O193" s="103"/>
      <c r="P193" s="103"/>
      <c r="Q193" s="104"/>
      <c r="R193" s="103"/>
      <c r="S193" s="103"/>
    </row>
    <row r="195" spans="1:19" x14ac:dyDescent="0.2">
      <c r="I195" s="137">
        <f>'2001-2006 1562 Summary'!O22</f>
        <v>138474.50920312502</v>
      </c>
    </row>
    <row r="196" spans="1:19" x14ac:dyDescent="0.2">
      <c r="I196" s="137">
        <f>-'2001-2006 1562 Summary'!O19</f>
        <v>-28380.009203124959</v>
      </c>
    </row>
    <row r="197" spans="1:19" x14ac:dyDescent="0.2">
      <c r="I197" s="137">
        <f>I193</f>
        <v>45358.737590624914</v>
      </c>
    </row>
    <row r="198" spans="1:19" x14ac:dyDescent="0.2">
      <c r="I198" s="137">
        <f>SUM(I195:I197)</f>
        <v>155453.23759062498</v>
      </c>
    </row>
  </sheetData>
  <phoneticPr fontId="0" type="noConversion"/>
  <printOptions headings="1" gridLines="1"/>
  <pageMargins left="0.25" right="0.25" top="0.75" bottom="0.75" header="0.3" footer="0.3"/>
  <pageSetup scale="93" fitToHeight="5" orientation="portrait" r:id="rId1"/>
  <headerFooter>
    <oddHeader>&amp;L&amp;Z&amp;F&amp;A</oddHeader>
    <oddFooter>&amp;L&amp;D&amp;T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2001-2006 1562 Summary</vt:lpstr>
      <vt:lpstr>Board Approvals</vt:lpstr>
      <vt:lpstr>Proxy in Rates</vt:lpstr>
      <vt:lpstr>Pro-rated PILs proxy</vt:lpstr>
      <vt:lpstr>Interest</vt:lpstr>
      <vt:lpstr>'2001-2006 1562 Summary'!Print_Area</vt:lpstr>
      <vt:lpstr>Interest!Print_Area</vt:lpstr>
      <vt:lpstr>Interest!Print_Titles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Wormwell</dc:creator>
  <cp:lastModifiedBy>Bacon, Bruce</cp:lastModifiedBy>
  <cp:lastPrinted>2011-09-15T14:50:10Z</cp:lastPrinted>
  <dcterms:created xsi:type="dcterms:W3CDTF">2011-08-12T13:25:13Z</dcterms:created>
  <dcterms:modified xsi:type="dcterms:W3CDTF">2012-10-05T16:28:11Z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