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5480" windowHeight="11640" tabRatio="892" firstSheet="4" activeTab="8"/>
  </bookViews>
  <sheets>
    <sheet name="Index" sheetId="10" r:id="rId1"/>
    <sheet name="App.2-A_Capital Projects - 2006" sheetId="70" r:id="rId2"/>
    <sheet name="App.2-A_Capital Projects - 2007" sheetId="71" r:id="rId3"/>
    <sheet name="App.2-A_Capital Projects - 2008" sheetId="72" r:id="rId4"/>
    <sheet name="App.2-A_Capital Projects - 2009" sheetId="73" r:id="rId5"/>
    <sheet name="App.2-A_Capital Projects - 2010" sheetId="74" r:id="rId6"/>
    <sheet name="App.2-A_Capital Projects - 2011" sheetId="75" r:id="rId7"/>
    <sheet name="App.2-A_Capital Projects - 2012" sheetId="76" r:id="rId8"/>
    <sheet name="App.2-B1_Depr Rates" sheetId="38" r:id="rId9"/>
    <sheet name="App.2-B_Fixed Asset Cont - 2006" sheetId="1" r:id="rId10"/>
    <sheet name="App.2-B_Fixed Asset Cont - 2007" sheetId="46" r:id="rId11"/>
    <sheet name="App.2-B_Fixed Asset Cont - 2008" sheetId="47" r:id="rId12"/>
    <sheet name="App.2-B_Fixed Asset Cont - 2009" sheetId="48" r:id="rId13"/>
    <sheet name="App.2-B_Fixed Asset Cont - 2010" sheetId="49" r:id="rId14"/>
    <sheet name="App.2-B_Fixed Asset Cont - 2011" sheetId="50" r:id="rId15"/>
    <sheet name="App.2-B_Fixed Asset Cont - 2012" sheetId="45" r:id="rId16"/>
    <sheet name="App.2-C_Other_Oper_Rev" sheetId="14" r:id="rId17"/>
    <sheet name="App.2-D_OM&amp;A_Accts" sheetId="13" r:id="rId18"/>
    <sheet name="App.2-E_OM&amp;A_Exp_Summary" sheetId="17" r:id="rId19"/>
    <sheet name="App.2-F_Detailed_OM&amp;A_Expenses" sheetId="16" r:id="rId20"/>
    <sheet name="App.2-G_OM&amp;A_Cost _Drivers" sheetId="15" r:id="rId21"/>
    <sheet name="App.2-H_Regulatory_Costs" sheetId="12" r:id="rId22"/>
    <sheet name="App.2-I_OM&amp;A_per_Cust_FTEE" sheetId="20" r:id="rId23"/>
    <sheet name="App.2-J_OM&amp;A_Variance_Analysis" sheetId="31" r:id="rId24"/>
    <sheet name="App.2-K Employee Costs" sheetId="5" r:id="rId25"/>
    <sheet name="App.2-L_Corp_Cost_Allocat-2006" sheetId="51" r:id="rId26"/>
    <sheet name="App.2-L_Corp_Cost_Allocat-2007" sheetId="53" r:id="rId27"/>
    <sheet name="App.2-L_Corp_Cost_Allocat-2008" sheetId="52" r:id="rId28"/>
    <sheet name="App.2-L_Corp_Cost_Allocat-2009" sheetId="54" r:id="rId29"/>
    <sheet name="App.2-L_Corp_Cost_Allocat-2010" sheetId="55" r:id="rId30"/>
    <sheet name="App.2-L_Corp_Cost_Allocat-2011" sheetId="56" r:id="rId31"/>
    <sheet name="App.2-L_Corp_Cost_Allocat-2012" sheetId="18" r:id="rId32"/>
    <sheet name="App.2-M_Deprec Expense - 2006" sheetId="7" r:id="rId33"/>
    <sheet name="App.2-M_Deprec Expense - 2007" sheetId="57" r:id="rId34"/>
    <sheet name="App.2-M_Deprec Expense - 2008" sheetId="58" r:id="rId35"/>
    <sheet name="App.2-M_Deprec Expense - 2009" sheetId="59" r:id="rId36"/>
    <sheet name="App.2-M_Deprec Expense - 2010" sheetId="60" r:id="rId37"/>
    <sheet name="App.2-M_Deprec Expense - 2011" sheetId="61" r:id="rId38"/>
    <sheet name="App.2-M_Deprec Expense - 2012" sheetId="62" r:id="rId39"/>
    <sheet name="App.2-N Capitalization" sheetId="6" r:id="rId40"/>
    <sheet name="App.2-O_Cost_Allocation" sheetId="22" r:id="rId41"/>
    <sheet name="App.2-P_Loss Factors" sheetId="21" r:id="rId42"/>
    <sheet name="App.2-Q_Smart_Meters" sheetId="24" r:id="rId43"/>
    <sheet name="App.2-R_Stranded Meters" sheetId="23" r:id="rId44"/>
    <sheet name="App.2-S_Embedded_Dx_LV_rate" sheetId="29" r:id="rId45"/>
    <sheet name="App.2-T_1592_Defer_PILs" sheetId="25" r:id="rId46"/>
    <sheet name="App.2-U_Rev_Reconciliation" sheetId="30" r:id="rId47"/>
    <sheet name="App.2-V Bill Impacts" sheetId="9" r:id="rId48"/>
    <sheet name="App.2-W_CoS_Flowchart" sheetId="26" r:id="rId49"/>
  </sheets>
  <externalReferences>
    <externalReference r:id="rId50"/>
    <externalReference r:id="rId51"/>
    <externalReference r:id="rId52"/>
    <externalReference r:id="rId53"/>
    <externalReference r:id="rId54"/>
    <externalReference r:id="rId55"/>
    <externalReference r:id="rId56"/>
  </externalReferences>
  <definedNames>
    <definedName name="_xlnm.Print_Area" localSheetId="1">'App.2-A_Capital Projects - 2006'!$A$1:$P$39</definedName>
    <definedName name="_xlnm.Print_Area" localSheetId="2">'App.2-A_Capital Projects - 2007'!$A$1:$R$37</definedName>
    <definedName name="_xlnm.Print_Area" localSheetId="3">'App.2-A_Capital Projects - 2008'!$A$1:$N$39</definedName>
    <definedName name="_xlnm.Print_Area" localSheetId="4">'App.2-A_Capital Projects - 2009'!$A$1:$M$37</definedName>
    <definedName name="_xlnm.Print_Area" localSheetId="5">'App.2-A_Capital Projects - 2010'!$A$1:$Q$38</definedName>
    <definedName name="_xlnm.Print_Area" localSheetId="6">'App.2-A_Capital Projects - 2011'!$A$1:$M$37</definedName>
    <definedName name="_xlnm.Print_Area" localSheetId="7">'App.2-A_Capital Projects - 2012'!$A$1:$T$36</definedName>
    <definedName name="_xlnm.Print_Area" localSheetId="9">'App.2-B_Fixed Asset Cont - 2006'!$A$1:$O$67</definedName>
    <definedName name="_xlnm.Print_Area" localSheetId="10">'App.2-B_Fixed Asset Cont - 2007'!$A$1:$O$67</definedName>
    <definedName name="_xlnm.Print_Area" localSheetId="11">'App.2-B_Fixed Asset Cont - 2008'!$A$1:$O$67</definedName>
    <definedName name="_xlnm.Print_Area" localSheetId="12">'App.2-B_Fixed Asset Cont - 2009'!$A$1:$O$67</definedName>
    <definedName name="_xlnm.Print_Area" localSheetId="13">'App.2-B_Fixed Asset Cont - 2010'!$A$1:$O$67</definedName>
    <definedName name="_xlnm.Print_Area" localSheetId="14">'App.2-B_Fixed Asset Cont - 2011'!$A$1:$O$67</definedName>
    <definedName name="_xlnm.Print_Area" localSheetId="15">'App.2-B_Fixed Asset Cont - 2012'!$A$1:$O$68</definedName>
    <definedName name="_xlnm.Print_Area" localSheetId="8">'App.2-B1_Depr Rates'!$A$1:$E$56</definedName>
    <definedName name="_xlnm.Print_Area" localSheetId="16">'App.2-C_Other_Oper_Rev'!$A$1:$J$59</definedName>
    <definedName name="_xlnm.Print_Area" localSheetId="17">'App.2-D_OM&amp;A_Accts'!$A$1:$I$113</definedName>
    <definedName name="_xlnm.Print_Area" localSheetId="18">'App.2-E_OM&amp;A_Exp_Summary'!$A$1:$G$112</definedName>
    <definedName name="_xlnm.Print_Area" localSheetId="19">'App.2-F_Detailed_OM&amp;A_Expenses'!$A$1:$J$109</definedName>
    <definedName name="_xlnm.Print_Area" localSheetId="20">'App.2-G_OM&amp;A_Cost _Drivers'!$A$1:$J$35</definedName>
    <definedName name="_xlnm.Print_Area" localSheetId="21">'App.2-H_Regulatory_Costs'!$A$1:$O$35</definedName>
    <definedName name="_xlnm.Print_Area" localSheetId="22">'App.2-I_OM&amp;A_per_Cust_FTEE'!$A$1:$K$33</definedName>
    <definedName name="_xlnm.Print_Area" localSheetId="23">'App.2-J_OM&amp;A_Variance_Analysis'!$A$1:$J$108</definedName>
    <definedName name="_xlnm.Print_Area" localSheetId="24">'App.2-K Employee Costs'!$B$1:$I$85</definedName>
    <definedName name="_xlnm.Print_Area" localSheetId="25">'App.2-L_Corp_Cost_Allocat-2006'!$A$1:$H$29</definedName>
    <definedName name="_xlnm.Print_Area" localSheetId="26">'App.2-L_Corp_Cost_Allocat-2007'!$A$1:$H$29</definedName>
    <definedName name="_xlnm.Print_Area" localSheetId="27">'App.2-L_Corp_Cost_Allocat-2008'!$A$1:$H$29</definedName>
    <definedName name="_xlnm.Print_Area" localSheetId="28">'App.2-L_Corp_Cost_Allocat-2009'!$A$1:$H$29</definedName>
    <definedName name="_xlnm.Print_Area" localSheetId="29">'App.2-L_Corp_Cost_Allocat-2010'!$A$1:$H$29</definedName>
    <definedName name="_xlnm.Print_Area" localSheetId="30">'App.2-L_Corp_Cost_Allocat-2011'!$A$1:$H$29</definedName>
    <definedName name="_xlnm.Print_Area" localSheetId="31">'App.2-L_Corp_Cost_Allocat-2012'!$A$1:$H$29</definedName>
    <definedName name="_xlnm.Print_Area" localSheetId="32">'App.2-M_Deprec Expense - 2006'!$A$1:$L$60</definedName>
    <definedName name="_xlnm.Print_Area" localSheetId="33">'App.2-M_Deprec Expense - 2007'!$A$1:$L$60</definedName>
    <definedName name="_xlnm.Print_Area" localSheetId="34">'App.2-M_Deprec Expense - 2008'!$A$1:$L$60</definedName>
    <definedName name="_xlnm.Print_Area" localSheetId="35">'App.2-M_Deprec Expense - 2009'!$A$1:$L$60</definedName>
    <definedName name="_xlnm.Print_Area" localSheetId="36">'App.2-M_Deprec Expense - 2010'!$A$1:$L$60</definedName>
    <definedName name="_xlnm.Print_Area" localSheetId="37">'App.2-M_Deprec Expense - 2011'!$A$1:$L$60</definedName>
    <definedName name="_xlnm.Print_Area" localSheetId="38">'App.2-M_Deprec Expense - 2012'!$A$1:$L$61</definedName>
    <definedName name="_xlnm.Print_Area" localSheetId="39">'App.2-N Capitalization'!$A$1:$Q$39</definedName>
    <definedName name="_xlnm.Print_Area" localSheetId="40">'App.2-O_Cost_Allocation'!$A$1:$G$133</definedName>
    <definedName name="_xlnm.Print_Area" localSheetId="41">'App.2-P_Loss Factors'!$A$1:$I$73</definedName>
    <definedName name="_xlnm.Print_Area" localSheetId="42">'App.2-Q_Smart_Meters'!$A$1:$I$37</definedName>
    <definedName name="_xlnm.Print_Area" localSheetId="43">'App.2-R_Stranded Meters'!$A$1:$I$90</definedName>
    <definedName name="_xlnm.Print_Area" localSheetId="44">'App.2-S_Embedded_Dx_LV_rate'!$A$1:$O$47</definedName>
    <definedName name="_xlnm.Print_Area" localSheetId="45">'App.2-T_1592_Defer_PILs'!$A$1:$F$51</definedName>
    <definedName name="_xlnm.Print_Area" localSheetId="46">'App.2-U_Rev_Reconciliation'!$A$1:$N$24</definedName>
    <definedName name="_xlnm.Print_Area" localSheetId="47">'App.2-V Bill Impacts'!$A$1:$Q$68</definedName>
    <definedName name="_xlnm.Print_Area" localSheetId="48">'App.2-W_CoS_Flowchart'!$A$1:$G$38</definedName>
    <definedName name="_xlnm.Print_Area" localSheetId="0">Index!$A$1:$Q$42</definedName>
    <definedName name="_xlnm.Print_Titles" localSheetId="17">'App.2-D_OM&amp;A_Accts'!$1:$10</definedName>
  </definedNames>
  <calcPr calcId="145621" iterate="1"/>
</workbook>
</file>

<file path=xl/calcChain.xml><?xml version="1.0" encoding="utf-8"?>
<calcChain xmlns="http://schemas.openxmlformats.org/spreadsheetml/2006/main">
  <c r="Q31" i="76" l="1"/>
  <c r="J31" i="76"/>
  <c r="H31" i="76"/>
  <c r="G31" i="76"/>
  <c r="E31" i="76"/>
  <c r="T30" i="76"/>
  <c r="T29" i="76"/>
  <c r="I28" i="76"/>
  <c r="T28" i="76" s="1"/>
  <c r="T27" i="76"/>
  <c r="T26" i="76"/>
  <c r="T25" i="76"/>
  <c r="R24" i="76"/>
  <c r="S23" i="76"/>
  <c r="T23" i="76"/>
  <c r="S22" i="76"/>
  <c r="S31" i="76"/>
  <c r="P22" i="76"/>
  <c r="N22" i="76"/>
  <c r="L22" i="76"/>
  <c r="K22" i="76"/>
  <c r="J22" i="76"/>
  <c r="P21" i="76"/>
  <c r="O21" i="76"/>
  <c r="O31" i="76"/>
  <c r="N21" i="76"/>
  <c r="M21" i="76"/>
  <c r="M31" i="76" s="1"/>
  <c r="L21" i="76"/>
  <c r="K21" i="76"/>
  <c r="J21" i="76"/>
  <c r="F21" i="76"/>
  <c r="F31" i="76" s="1"/>
  <c r="P20" i="76"/>
  <c r="N20" i="76"/>
  <c r="L20" i="76"/>
  <c r="L31" i="76"/>
  <c r="K20" i="76"/>
  <c r="K31" i="76"/>
  <c r="J20" i="76"/>
  <c r="T19" i="76"/>
  <c r="T18" i="76"/>
  <c r="T17" i="76"/>
  <c r="L32" i="75"/>
  <c r="K32" i="75"/>
  <c r="J32" i="75"/>
  <c r="I32" i="75"/>
  <c r="H32" i="75"/>
  <c r="G32" i="75"/>
  <c r="F32" i="75"/>
  <c r="E32" i="75"/>
  <c r="M31" i="75"/>
  <c r="M30" i="75"/>
  <c r="M29" i="75"/>
  <c r="M28" i="75"/>
  <c r="M27" i="75"/>
  <c r="M26" i="75"/>
  <c r="M25" i="75"/>
  <c r="M24" i="75"/>
  <c r="M23" i="75"/>
  <c r="M22" i="75"/>
  <c r="M21" i="75"/>
  <c r="M20" i="75"/>
  <c r="M19" i="75"/>
  <c r="M18" i="75"/>
  <c r="M17" i="75"/>
  <c r="P33" i="74"/>
  <c r="O33" i="74"/>
  <c r="N33" i="74"/>
  <c r="M33" i="74"/>
  <c r="L33" i="74"/>
  <c r="K33" i="74"/>
  <c r="J33" i="74"/>
  <c r="I33" i="74"/>
  <c r="H33" i="74"/>
  <c r="G33" i="74"/>
  <c r="F33" i="74"/>
  <c r="E33" i="74"/>
  <c r="Q32" i="74"/>
  <c r="Q31" i="74"/>
  <c r="Q30" i="74"/>
  <c r="Q29" i="74"/>
  <c r="Q28" i="74"/>
  <c r="Q27" i="74"/>
  <c r="Q26" i="74"/>
  <c r="Q25" i="74"/>
  <c r="Q24" i="74"/>
  <c r="Q23" i="74"/>
  <c r="Q22" i="74"/>
  <c r="Q21" i="74"/>
  <c r="Q20" i="74"/>
  <c r="Q19" i="74"/>
  <c r="Q18" i="74"/>
  <c r="Q17" i="74"/>
  <c r="L32" i="73"/>
  <c r="K32" i="73"/>
  <c r="J32" i="73"/>
  <c r="I32" i="73"/>
  <c r="H32" i="73"/>
  <c r="G32" i="73"/>
  <c r="F32" i="73"/>
  <c r="M32" i="73" s="1"/>
  <c r="E32" i="73"/>
  <c r="M31" i="73"/>
  <c r="M30" i="73"/>
  <c r="M29" i="73"/>
  <c r="M28" i="73"/>
  <c r="M27" i="73"/>
  <c r="M26" i="73"/>
  <c r="M25" i="73"/>
  <c r="M24" i="73"/>
  <c r="M23" i="73"/>
  <c r="M22" i="73"/>
  <c r="M21" i="73"/>
  <c r="M20" i="73"/>
  <c r="F19" i="73"/>
  <c r="M19" i="73"/>
  <c r="M18" i="73"/>
  <c r="M17" i="73"/>
  <c r="M34" i="72"/>
  <c r="L34" i="72"/>
  <c r="K34" i="72"/>
  <c r="J34" i="72"/>
  <c r="F34" i="72"/>
  <c r="E34" i="72"/>
  <c r="N33" i="72"/>
  <c r="N32" i="72"/>
  <c r="N31" i="72"/>
  <c r="N30" i="72"/>
  <c r="N29" i="72"/>
  <c r="N28" i="72"/>
  <c r="N27" i="72"/>
  <c r="N26" i="72"/>
  <c r="N25" i="72"/>
  <c r="N24" i="72"/>
  <c r="I23" i="72"/>
  <c r="G23" i="72"/>
  <c r="N23" i="72" s="1"/>
  <c r="I22" i="72"/>
  <c r="H22" i="72"/>
  <c r="N22" i="72" s="1"/>
  <c r="G22" i="72"/>
  <c r="I21" i="72"/>
  <c r="H21" i="72"/>
  <c r="I20" i="72"/>
  <c r="H20" i="72"/>
  <c r="G20" i="72"/>
  <c r="N20" i="72" s="1"/>
  <c r="I19" i="72"/>
  <c r="I34" i="72"/>
  <c r="H19" i="72"/>
  <c r="G19" i="72"/>
  <c r="H18" i="72"/>
  <c r="G18" i="72"/>
  <c r="G17" i="72"/>
  <c r="Q32" i="71"/>
  <c r="P32" i="71"/>
  <c r="O32" i="71"/>
  <c r="N32" i="71"/>
  <c r="M32" i="71"/>
  <c r="K32" i="71"/>
  <c r="G32" i="71"/>
  <c r="F32" i="71"/>
  <c r="E32" i="71"/>
  <c r="R31" i="71"/>
  <c r="R30" i="71"/>
  <c r="R29" i="71"/>
  <c r="R28" i="71"/>
  <c r="R27" i="71"/>
  <c r="R26" i="71"/>
  <c r="R25" i="71"/>
  <c r="R24" i="71"/>
  <c r="H23" i="71"/>
  <c r="R23" i="71" s="1"/>
  <c r="L22" i="71"/>
  <c r="R22" i="71"/>
  <c r="M21" i="71"/>
  <c r="L21" i="71"/>
  <c r="J21" i="71"/>
  <c r="I21" i="71"/>
  <c r="H21" i="71"/>
  <c r="L20" i="71"/>
  <c r="J20" i="71"/>
  <c r="I20" i="71"/>
  <c r="I32" i="71" s="1"/>
  <c r="H20" i="71"/>
  <c r="L19" i="71"/>
  <c r="J19" i="71"/>
  <c r="R19" i="71" s="1"/>
  <c r="H19" i="71"/>
  <c r="J18" i="71"/>
  <c r="H18" i="71"/>
  <c r="R18" i="71" s="1"/>
  <c r="J17" i="71"/>
  <c r="J32" i="71"/>
  <c r="H17" i="71"/>
  <c r="R17" i="71"/>
  <c r="O34" i="70"/>
  <c r="N34" i="70"/>
  <c r="M34" i="70"/>
  <c r="L34" i="70"/>
  <c r="P33" i="70"/>
  <c r="P32" i="70"/>
  <c r="P31" i="70"/>
  <c r="P30" i="70"/>
  <c r="P29" i="70"/>
  <c r="P28" i="70"/>
  <c r="P27" i="70"/>
  <c r="P26" i="70"/>
  <c r="P25" i="70"/>
  <c r="P24" i="70"/>
  <c r="G23" i="70"/>
  <c r="P23" i="70"/>
  <c r="K22" i="70"/>
  <c r="I22" i="70"/>
  <c r="P22" i="70" s="1"/>
  <c r="G22" i="70"/>
  <c r="K21" i="70"/>
  <c r="J21" i="70"/>
  <c r="I21" i="70"/>
  <c r="H21" i="70"/>
  <c r="G21" i="70"/>
  <c r="F21" i="70"/>
  <c r="P21" i="70" s="1"/>
  <c r="E21" i="70"/>
  <c r="K20" i="70"/>
  <c r="I20" i="70"/>
  <c r="H20" i="70"/>
  <c r="G20" i="70"/>
  <c r="F20" i="70"/>
  <c r="E20" i="70"/>
  <c r="P20" i="70" s="1"/>
  <c r="K19" i="70"/>
  <c r="K34" i="70" s="1"/>
  <c r="J19" i="70"/>
  <c r="I19" i="70"/>
  <c r="H19" i="70"/>
  <c r="H34" i="70" s="1"/>
  <c r="G19" i="70"/>
  <c r="F19" i="70"/>
  <c r="E19" i="70"/>
  <c r="P18" i="70"/>
  <c r="F18" i="70"/>
  <c r="F17" i="70"/>
  <c r="J31" i="14"/>
  <c r="I31" i="14"/>
  <c r="H31" i="14"/>
  <c r="G31" i="14"/>
  <c r="F31" i="14"/>
  <c r="J30" i="14"/>
  <c r="J33" i="14" s="1"/>
  <c r="I30" i="14"/>
  <c r="H30" i="14"/>
  <c r="G30" i="14"/>
  <c r="F30" i="14"/>
  <c r="F33" i="14" s="1"/>
  <c r="E30" i="14"/>
  <c r="D30" i="14"/>
  <c r="J29" i="14"/>
  <c r="I29" i="14"/>
  <c r="I33" i="14" s="1"/>
  <c r="H29" i="14"/>
  <c r="G29" i="14"/>
  <c r="F29" i="14"/>
  <c r="E29" i="14"/>
  <c r="E33" i="14" s="1"/>
  <c r="D29" i="14"/>
  <c r="J27" i="14"/>
  <c r="J32" i="14" s="1"/>
  <c r="I27" i="14"/>
  <c r="H27" i="14"/>
  <c r="H32" i="14" s="1"/>
  <c r="G27" i="14"/>
  <c r="F27" i="14"/>
  <c r="F32" i="14"/>
  <c r="D27" i="14"/>
  <c r="D32" i="14" s="1"/>
  <c r="G24" i="14"/>
  <c r="G32" i="14" s="1"/>
  <c r="G33" i="14" s="1"/>
  <c r="F24" i="14"/>
  <c r="E24" i="14"/>
  <c r="E32" i="14" s="1"/>
  <c r="I23" i="14"/>
  <c r="I32" i="14" s="1"/>
  <c r="E15" i="14"/>
  <c r="E13" i="14"/>
  <c r="E31" i="14" s="1"/>
  <c r="D13" i="14"/>
  <c r="D31" i="14" s="1"/>
  <c r="J29" i="62"/>
  <c r="J30" i="62"/>
  <c r="I32" i="62"/>
  <c r="J32" i="62" s="1"/>
  <c r="I34" i="62"/>
  <c r="J34" i="62" s="1"/>
  <c r="I35" i="62"/>
  <c r="J38" i="62"/>
  <c r="J40" i="62"/>
  <c r="J42" i="62"/>
  <c r="J44" i="62"/>
  <c r="F49" i="62"/>
  <c r="H49" i="62" s="1"/>
  <c r="J36" i="61"/>
  <c r="I30" i="61"/>
  <c r="K30" i="61" s="1"/>
  <c r="I31" i="60"/>
  <c r="K49" i="62"/>
  <c r="J49" i="62"/>
  <c r="K48" i="62"/>
  <c r="J48" i="62"/>
  <c r="F48" i="62"/>
  <c r="H48" i="62" s="1"/>
  <c r="K45" i="62"/>
  <c r="J45" i="62"/>
  <c r="K44" i="62"/>
  <c r="K43" i="62"/>
  <c r="J43" i="62"/>
  <c r="K41" i="62"/>
  <c r="J41" i="62"/>
  <c r="K40" i="62"/>
  <c r="K38" i="62"/>
  <c r="K33" i="62"/>
  <c r="J33" i="62"/>
  <c r="K30" i="62"/>
  <c r="K21" i="62"/>
  <c r="J21" i="62"/>
  <c r="K19" i="62"/>
  <c r="J19" i="62"/>
  <c r="K18" i="62"/>
  <c r="J18" i="62"/>
  <c r="K17" i="62"/>
  <c r="J17" i="62"/>
  <c r="K16" i="62"/>
  <c r="J16" i="62"/>
  <c r="E49" i="61"/>
  <c r="K48" i="61"/>
  <c r="J48" i="61"/>
  <c r="F48" i="61"/>
  <c r="H48" i="61" s="1"/>
  <c r="K47" i="61"/>
  <c r="J47" i="61"/>
  <c r="F47" i="61"/>
  <c r="H47" i="61" s="1"/>
  <c r="K44" i="61"/>
  <c r="J44" i="61"/>
  <c r="K43" i="61"/>
  <c r="J43" i="61"/>
  <c r="K42" i="61"/>
  <c r="J42" i="61"/>
  <c r="K40" i="61"/>
  <c r="J40" i="61"/>
  <c r="K39" i="61"/>
  <c r="J39" i="61"/>
  <c r="K37" i="61"/>
  <c r="J37" i="61"/>
  <c r="K32" i="61"/>
  <c r="J32" i="61"/>
  <c r="K29" i="61"/>
  <c r="J29" i="61"/>
  <c r="K21" i="61"/>
  <c r="J21" i="61"/>
  <c r="K19" i="61"/>
  <c r="J19" i="61"/>
  <c r="K18" i="61"/>
  <c r="J18" i="61"/>
  <c r="K17" i="61"/>
  <c r="J17" i="61"/>
  <c r="K16" i="61"/>
  <c r="J16" i="61"/>
  <c r="E49" i="60"/>
  <c r="K48" i="60"/>
  <c r="J48" i="60"/>
  <c r="F48" i="60"/>
  <c r="H48" i="60" s="1"/>
  <c r="K47" i="60"/>
  <c r="J47" i="60"/>
  <c r="F47" i="60"/>
  <c r="H47" i="60" s="1"/>
  <c r="K44" i="60"/>
  <c r="J44" i="60"/>
  <c r="K43" i="60"/>
  <c r="J43" i="60"/>
  <c r="K42" i="60"/>
  <c r="J42" i="60"/>
  <c r="K40" i="60"/>
  <c r="J40" i="60"/>
  <c r="K39" i="60"/>
  <c r="J39" i="60"/>
  <c r="K37" i="60"/>
  <c r="J37" i="60"/>
  <c r="K32" i="60"/>
  <c r="J32" i="60"/>
  <c r="K29" i="60"/>
  <c r="J29" i="60"/>
  <c r="K21" i="60"/>
  <c r="J21" i="60"/>
  <c r="K19" i="60"/>
  <c r="J19" i="60"/>
  <c r="K18" i="60"/>
  <c r="J18" i="60"/>
  <c r="K17" i="60"/>
  <c r="J17" i="60"/>
  <c r="K16" i="60"/>
  <c r="J16" i="60"/>
  <c r="E49" i="59"/>
  <c r="K48" i="59"/>
  <c r="J48" i="59"/>
  <c r="F48" i="59"/>
  <c r="H48" i="59" s="1"/>
  <c r="K47" i="59"/>
  <c r="J47" i="59"/>
  <c r="F47" i="59"/>
  <c r="H47" i="59" s="1"/>
  <c r="K44" i="59"/>
  <c r="J44" i="59"/>
  <c r="K43" i="59"/>
  <c r="J43" i="59"/>
  <c r="K42" i="59"/>
  <c r="J42" i="59"/>
  <c r="K40" i="59"/>
  <c r="J40" i="59"/>
  <c r="K39" i="59"/>
  <c r="J39" i="59"/>
  <c r="K37" i="59"/>
  <c r="J37" i="59"/>
  <c r="K32" i="59"/>
  <c r="J32" i="59"/>
  <c r="K29" i="59"/>
  <c r="J29" i="59"/>
  <c r="K21" i="59"/>
  <c r="J21" i="59"/>
  <c r="K19" i="59"/>
  <c r="J19" i="59"/>
  <c r="K18" i="59"/>
  <c r="J18" i="59"/>
  <c r="K17" i="59"/>
  <c r="J17" i="59"/>
  <c r="K16" i="59"/>
  <c r="J16" i="59"/>
  <c r="I45" i="58"/>
  <c r="J45" i="58" s="1"/>
  <c r="I41" i="58"/>
  <c r="J41" i="58" s="1"/>
  <c r="I20" i="58"/>
  <c r="J20" i="58" s="1"/>
  <c r="E49" i="58"/>
  <c r="K48" i="58"/>
  <c r="J48" i="58"/>
  <c r="F48" i="58"/>
  <c r="H48" i="58" s="1"/>
  <c r="K47" i="58"/>
  <c r="J47" i="58"/>
  <c r="F47" i="58"/>
  <c r="H47" i="58" s="1"/>
  <c r="K44" i="58"/>
  <c r="J44" i="58"/>
  <c r="K43" i="58"/>
  <c r="J43" i="58"/>
  <c r="K42" i="58"/>
  <c r="J42" i="58"/>
  <c r="K40" i="58"/>
  <c r="J40" i="58"/>
  <c r="K39" i="58"/>
  <c r="J39" i="58"/>
  <c r="K37" i="58"/>
  <c r="J37" i="58"/>
  <c r="K32" i="58"/>
  <c r="J32" i="58"/>
  <c r="K29" i="58"/>
  <c r="J29" i="58"/>
  <c r="K21" i="58"/>
  <c r="J21" i="58"/>
  <c r="K19" i="58"/>
  <c r="J19" i="58"/>
  <c r="K18" i="58"/>
  <c r="J18" i="58"/>
  <c r="K17" i="58"/>
  <c r="J17" i="58"/>
  <c r="K16" i="58"/>
  <c r="J16" i="58"/>
  <c r="J45" i="57"/>
  <c r="I38" i="57"/>
  <c r="J38" i="57" s="1"/>
  <c r="I34" i="57"/>
  <c r="E49" i="57"/>
  <c r="K48" i="57"/>
  <c r="J48" i="57"/>
  <c r="H48" i="57"/>
  <c r="F48" i="57"/>
  <c r="K47" i="57"/>
  <c r="J47" i="57"/>
  <c r="H47" i="57"/>
  <c r="F47" i="57"/>
  <c r="K44" i="57"/>
  <c r="J44" i="57"/>
  <c r="K43" i="57"/>
  <c r="J43" i="57"/>
  <c r="K42" i="57"/>
  <c r="J42" i="57"/>
  <c r="K40" i="57"/>
  <c r="J40" i="57"/>
  <c r="K39" i="57"/>
  <c r="J39" i="57"/>
  <c r="K37" i="57"/>
  <c r="J37" i="57"/>
  <c r="K32" i="57"/>
  <c r="J32" i="57"/>
  <c r="K29" i="57"/>
  <c r="J29" i="57"/>
  <c r="K21" i="57"/>
  <c r="J21" i="57"/>
  <c r="K19" i="57"/>
  <c r="J19" i="57"/>
  <c r="K18" i="57"/>
  <c r="J18" i="57"/>
  <c r="K17" i="57"/>
  <c r="J17" i="57"/>
  <c r="K16" i="57"/>
  <c r="J16" i="57"/>
  <c r="J29" i="7"/>
  <c r="K37" i="7"/>
  <c r="K39" i="7"/>
  <c r="I41" i="7"/>
  <c r="J41" i="7" s="1"/>
  <c r="K43" i="7"/>
  <c r="K17" i="7"/>
  <c r="K19" i="7"/>
  <c r="J18" i="7"/>
  <c r="J43" i="7"/>
  <c r="I18" i="15"/>
  <c r="M24" i="12"/>
  <c r="M15" i="12"/>
  <c r="M17" i="12"/>
  <c r="C22" i="30"/>
  <c r="C21" i="30"/>
  <c r="C20" i="30"/>
  <c r="C19" i="30"/>
  <c r="C18" i="30"/>
  <c r="C23" i="30"/>
  <c r="C17" i="30"/>
  <c r="C16" i="30"/>
  <c r="G17" i="21"/>
  <c r="G18" i="21"/>
  <c r="G20" i="21" s="1"/>
  <c r="D21" i="21"/>
  <c r="D23" i="21" s="1"/>
  <c r="D19" i="23"/>
  <c r="D18" i="23"/>
  <c r="G24" i="24"/>
  <c r="G23" i="24"/>
  <c r="G22" i="24"/>
  <c r="G21" i="24"/>
  <c r="G20" i="24"/>
  <c r="G25" i="24" s="1"/>
  <c r="I24" i="24"/>
  <c r="I23" i="24"/>
  <c r="H24" i="24"/>
  <c r="H23" i="24"/>
  <c r="H22" i="24"/>
  <c r="H25" i="24" s="1"/>
  <c r="D24" i="24"/>
  <c r="C24" i="24"/>
  <c r="D23" i="24"/>
  <c r="D25" i="24" s="1"/>
  <c r="C23" i="24"/>
  <c r="F23" i="24" s="1"/>
  <c r="E21" i="21"/>
  <c r="F21" i="21"/>
  <c r="F23" i="21" s="1"/>
  <c r="G21" i="21"/>
  <c r="G23" i="21" s="1"/>
  <c r="H21" i="21"/>
  <c r="H23" i="21" s="1"/>
  <c r="E17" i="21"/>
  <c r="E18" i="21" s="1"/>
  <c r="E20" i="21"/>
  <c r="F17" i="21"/>
  <c r="F18" i="21"/>
  <c r="F20" i="21" s="1"/>
  <c r="H17" i="21"/>
  <c r="H18" i="21" s="1"/>
  <c r="H20" i="21"/>
  <c r="D17" i="21"/>
  <c r="B19" i="22"/>
  <c r="L25" i="6"/>
  <c r="L21" i="6"/>
  <c r="L20" i="6"/>
  <c r="F25" i="6"/>
  <c r="F27" i="6" s="1"/>
  <c r="L27" i="6"/>
  <c r="F21" i="6"/>
  <c r="F20" i="6"/>
  <c r="E88" i="31"/>
  <c r="F88" i="31"/>
  <c r="E89" i="31"/>
  <c r="F89" i="31"/>
  <c r="E90" i="31"/>
  <c r="F90" i="31"/>
  <c r="E91" i="31"/>
  <c r="F91" i="31"/>
  <c r="E92" i="31"/>
  <c r="F92" i="31"/>
  <c r="E93" i="31"/>
  <c r="F93" i="31"/>
  <c r="E94" i="31"/>
  <c r="F94" i="31"/>
  <c r="E95" i="31"/>
  <c r="F95" i="31"/>
  <c r="E96" i="31"/>
  <c r="J96" i="31"/>
  <c r="F96" i="31"/>
  <c r="E97" i="31"/>
  <c r="F97" i="31"/>
  <c r="E98" i="31"/>
  <c r="J98" i="31" s="1"/>
  <c r="F98" i="31"/>
  <c r="E99" i="31"/>
  <c r="F99" i="31"/>
  <c r="E100" i="31"/>
  <c r="F100" i="31"/>
  <c r="G100" i="31" s="1"/>
  <c r="E101" i="31"/>
  <c r="J101" i="31" s="1"/>
  <c r="F101" i="31"/>
  <c r="E102" i="31"/>
  <c r="F102" i="31"/>
  <c r="E103" i="31"/>
  <c r="F103" i="31"/>
  <c r="E104" i="31"/>
  <c r="F104" i="31"/>
  <c r="E105" i="31"/>
  <c r="J105" i="31" s="1"/>
  <c r="F105" i="31"/>
  <c r="F87" i="31"/>
  <c r="E87" i="31"/>
  <c r="J87" i="31" s="1"/>
  <c r="E76" i="31"/>
  <c r="J76" i="31"/>
  <c r="F76" i="31"/>
  <c r="E77" i="31"/>
  <c r="J77" i="31"/>
  <c r="F77" i="31"/>
  <c r="E78" i="31"/>
  <c r="J78" i="31" s="1"/>
  <c r="F78" i="31"/>
  <c r="E79" i="31"/>
  <c r="F79" i="31"/>
  <c r="E80" i="31"/>
  <c r="J80" i="31"/>
  <c r="F80" i="31"/>
  <c r="E81" i="31"/>
  <c r="F81" i="31"/>
  <c r="E82" i="31"/>
  <c r="F82" i="31"/>
  <c r="E83" i="31"/>
  <c r="F83" i="31"/>
  <c r="F75" i="31"/>
  <c r="E75" i="31"/>
  <c r="J75" i="31" s="1"/>
  <c r="E65" i="31"/>
  <c r="E66" i="31"/>
  <c r="F66" i="31"/>
  <c r="E67" i="31"/>
  <c r="F67" i="31"/>
  <c r="E68" i="31"/>
  <c r="F68" i="31"/>
  <c r="E69" i="31"/>
  <c r="F69" i="31"/>
  <c r="E70" i="31"/>
  <c r="F70" i="31"/>
  <c r="E71" i="31"/>
  <c r="F71" i="31"/>
  <c r="F64" i="31"/>
  <c r="E64" i="31"/>
  <c r="E44" i="31"/>
  <c r="F44" i="31"/>
  <c r="E45" i="31"/>
  <c r="J45" i="31" s="1"/>
  <c r="F45" i="31"/>
  <c r="E46" i="31"/>
  <c r="J46" i="31" s="1"/>
  <c r="F46" i="31"/>
  <c r="E47" i="31"/>
  <c r="F47" i="31"/>
  <c r="E48" i="31"/>
  <c r="F48" i="31"/>
  <c r="E49" i="31"/>
  <c r="F49" i="31"/>
  <c r="E50" i="31"/>
  <c r="J50" i="31" s="1"/>
  <c r="F50" i="31"/>
  <c r="E51" i="31"/>
  <c r="F51" i="31"/>
  <c r="E52" i="31"/>
  <c r="F52" i="31"/>
  <c r="E53" i="31"/>
  <c r="F53" i="31"/>
  <c r="E54" i="31"/>
  <c r="F54" i="31"/>
  <c r="E55" i="31"/>
  <c r="I55" i="31"/>
  <c r="F55" i="31"/>
  <c r="E56" i="31"/>
  <c r="F56" i="31"/>
  <c r="E57" i="31"/>
  <c r="F57" i="31"/>
  <c r="E58" i="31"/>
  <c r="F58" i="31"/>
  <c r="E59" i="31"/>
  <c r="J59" i="31" s="1"/>
  <c r="F59" i="31"/>
  <c r="I59" i="31"/>
  <c r="E60" i="31"/>
  <c r="F60" i="31"/>
  <c r="F43" i="31"/>
  <c r="E43" i="31"/>
  <c r="J43" i="31" s="1"/>
  <c r="E18" i="31"/>
  <c r="F18" i="31"/>
  <c r="E19" i="31"/>
  <c r="F19" i="31"/>
  <c r="E20" i="31"/>
  <c r="J20" i="31"/>
  <c r="F20" i="31"/>
  <c r="E21" i="31"/>
  <c r="F21" i="31"/>
  <c r="E22" i="31"/>
  <c r="F22" i="31"/>
  <c r="E23" i="31"/>
  <c r="F23" i="31"/>
  <c r="E24" i="31"/>
  <c r="F24" i="31"/>
  <c r="E25" i="31"/>
  <c r="F25" i="31"/>
  <c r="I25" i="31"/>
  <c r="E26" i="31"/>
  <c r="J26" i="31" s="1"/>
  <c r="F26" i="31"/>
  <c r="E27" i="31"/>
  <c r="F27" i="31"/>
  <c r="E28" i="31"/>
  <c r="F28" i="31"/>
  <c r="E29" i="31"/>
  <c r="I29" i="31" s="1"/>
  <c r="J29" i="31"/>
  <c r="F29" i="31"/>
  <c r="E30" i="31"/>
  <c r="J30" i="31" s="1"/>
  <c r="F30" i="31"/>
  <c r="E31" i="31"/>
  <c r="F31" i="31"/>
  <c r="E32" i="31"/>
  <c r="F32" i="31"/>
  <c r="E33" i="31"/>
  <c r="F33" i="31"/>
  <c r="I33" i="31" s="1"/>
  <c r="E34" i="31"/>
  <c r="F34" i="31"/>
  <c r="E35" i="31"/>
  <c r="F35" i="31"/>
  <c r="E36" i="31"/>
  <c r="F36" i="31"/>
  <c r="E37" i="31"/>
  <c r="J37" i="31"/>
  <c r="F37" i="31"/>
  <c r="I37" i="31" s="1"/>
  <c r="E38" i="31"/>
  <c r="F38" i="31"/>
  <c r="E39" i="31"/>
  <c r="F39" i="31"/>
  <c r="G39" i="31" s="1"/>
  <c r="F17" i="31"/>
  <c r="I17" i="31" s="1"/>
  <c r="E17" i="31"/>
  <c r="D103" i="31"/>
  <c r="D104" i="31"/>
  <c r="D88" i="31"/>
  <c r="D89" i="31"/>
  <c r="D90" i="31"/>
  <c r="D91" i="31"/>
  <c r="H91" i="31" s="1"/>
  <c r="D92" i="31"/>
  <c r="D93" i="31"/>
  <c r="D94" i="31"/>
  <c r="D95" i="31"/>
  <c r="D96" i="31"/>
  <c r="H96" i="31"/>
  <c r="D97" i="31"/>
  <c r="H97" i="31" s="1"/>
  <c r="D98" i="31"/>
  <c r="D99" i="31"/>
  <c r="D100" i="31"/>
  <c r="D101" i="31"/>
  <c r="H101" i="31" s="1"/>
  <c r="D102" i="31"/>
  <c r="D105" i="31"/>
  <c r="H105" i="31" s="1"/>
  <c r="D106" i="31"/>
  <c r="H106" i="31"/>
  <c r="D87" i="31"/>
  <c r="D76" i="31"/>
  <c r="H76" i="31"/>
  <c r="D77" i="31"/>
  <c r="D78" i="31"/>
  <c r="D79" i="31"/>
  <c r="H79" i="31"/>
  <c r="D80" i="31"/>
  <c r="H80" i="31" s="1"/>
  <c r="D81" i="31"/>
  <c r="D82" i="31"/>
  <c r="H82" i="31"/>
  <c r="D83" i="31"/>
  <c r="H83" i="31" s="1"/>
  <c r="D75" i="31"/>
  <c r="H75" i="31" s="1"/>
  <c r="D65" i="31"/>
  <c r="D66" i="31"/>
  <c r="D67" i="31"/>
  <c r="D68" i="31"/>
  <c r="D69" i="31"/>
  <c r="H69" i="31" s="1"/>
  <c r="D70" i="31"/>
  <c r="D71" i="31"/>
  <c r="D64" i="31"/>
  <c r="D44" i="31"/>
  <c r="D45" i="31"/>
  <c r="D46" i="31"/>
  <c r="D47" i="31"/>
  <c r="D48" i="31"/>
  <c r="D49" i="31"/>
  <c r="D50" i="31"/>
  <c r="D51" i="31"/>
  <c r="D52" i="31"/>
  <c r="D53" i="31"/>
  <c r="H53" i="31"/>
  <c r="D54" i="31"/>
  <c r="D55" i="31"/>
  <c r="H55" i="31" s="1"/>
  <c r="D56" i="31"/>
  <c r="H56" i="31"/>
  <c r="D57" i="31"/>
  <c r="D58" i="31"/>
  <c r="D59" i="31"/>
  <c r="D60" i="31"/>
  <c r="D43" i="31"/>
  <c r="H43" i="31"/>
  <c r="D18" i="31"/>
  <c r="H18" i="31" s="1"/>
  <c r="D19" i="31"/>
  <c r="D20" i="31"/>
  <c r="H20" i="31"/>
  <c r="D21" i="31"/>
  <c r="D22" i="31"/>
  <c r="D23" i="31"/>
  <c r="D24" i="31"/>
  <c r="D25" i="31"/>
  <c r="D26" i="31"/>
  <c r="H26" i="31"/>
  <c r="D27" i="31"/>
  <c r="D28" i="31"/>
  <c r="D29" i="31"/>
  <c r="D30" i="31"/>
  <c r="D31" i="31"/>
  <c r="D32" i="31"/>
  <c r="D33" i="31"/>
  <c r="D34" i="31"/>
  <c r="D35" i="31"/>
  <c r="H35" i="31" s="1"/>
  <c r="D36" i="31"/>
  <c r="D37" i="31"/>
  <c r="H37" i="31" s="1"/>
  <c r="D38" i="31"/>
  <c r="D39" i="31"/>
  <c r="D17" i="31"/>
  <c r="D15" i="20"/>
  <c r="D17" i="20"/>
  <c r="D85" i="17"/>
  <c r="D45" i="17"/>
  <c r="D102" i="16"/>
  <c r="E102" i="16"/>
  <c r="F102" i="16"/>
  <c r="G102" i="16"/>
  <c r="H102" i="16"/>
  <c r="I102" i="16"/>
  <c r="J102" i="16"/>
  <c r="D87" i="16"/>
  <c r="E87" i="16"/>
  <c r="F87" i="16"/>
  <c r="G87" i="16"/>
  <c r="H87" i="16"/>
  <c r="I87" i="16"/>
  <c r="J87" i="16"/>
  <c r="D88" i="16"/>
  <c r="E88" i="16"/>
  <c r="F88" i="16"/>
  <c r="G88" i="16"/>
  <c r="H88" i="16"/>
  <c r="I88" i="16"/>
  <c r="J88" i="16"/>
  <c r="D89" i="16"/>
  <c r="E89" i="16"/>
  <c r="F89" i="16"/>
  <c r="G89" i="16"/>
  <c r="H89" i="16"/>
  <c r="I89" i="16"/>
  <c r="J89" i="16"/>
  <c r="D90" i="16"/>
  <c r="E90" i="16"/>
  <c r="F90" i="16"/>
  <c r="G90" i="16"/>
  <c r="H90" i="16"/>
  <c r="I90" i="16"/>
  <c r="J90" i="16"/>
  <c r="D91" i="16"/>
  <c r="E91" i="16"/>
  <c r="F91" i="16"/>
  <c r="G91" i="16"/>
  <c r="H91" i="16"/>
  <c r="I91" i="16"/>
  <c r="J91" i="16"/>
  <c r="D92" i="16"/>
  <c r="E92" i="16"/>
  <c r="F92" i="16"/>
  <c r="G92" i="16"/>
  <c r="H92" i="16"/>
  <c r="I92" i="16"/>
  <c r="J92" i="16"/>
  <c r="D93" i="16"/>
  <c r="E93" i="16"/>
  <c r="F93" i="16"/>
  <c r="G93" i="16"/>
  <c r="H93" i="16"/>
  <c r="I93" i="16"/>
  <c r="J93" i="16"/>
  <c r="D94" i="16"/>
  <c r="E94" i="16"/>
  <c r="F94" i="16"/>
  <c r="G94" i="16"/>
  <c r="H94" i="16"/>
  <c r="I94" i="16"/>
  <c r="J94" i="16"/>
  <c r="D95" i="16"/>
  <c r="E95" i="16"/>
  <c r="F95" i="16"/>
  <c r="G95" i="16"/>
  <c r="H95" i="16"/>
  <c r="I95" i="16"/>
  <c r="J95" i="16"/>
  <c r="D96" i="16"/>
  <c r="E96" i="16"/>
  <c r="F96" i="16"/>
  <c r="G96" i="16"/>
  <c r="H96" i="16"/>
  <c r="I96" i="16"/>
  <c r="J96" i="16"/>
  <c r="D97" i="16"/>
  <c r="E97" i="16"/>
  <c r="F97" i="16"/>
  <c r="G97" i="16"/>
  <c r="H97" i="16"/>
  <c r="I97" i="16"/>
  <c r="J97" i="16"/>
  <c r="D98" i="16"/>
  <c r="E98" i="16"/>
  <c r="F98" i="16"/>
  <c r="G98" i="16"/>
  <c r="H98" i="16"/>
  <c r="I98" i="16"/>
  <c r="J98" i="16"/>
  <c r="D99" i="16"/>
  <c r="E99" i="16"/>
  <c r="F99" i="16"/>
  <c r="G99" i="16"/>
  <c r="H99" i="16"/>
  <c r="I99" i="16"/>
  <c r="J99" i="16"/>
  <c r="D100" i="16"/>
  <c r="E100" i="16"/>
  <c r="F100" i="16"/>
  <c r="G100" i="16"/>
  <c r="H100" i="16"/>
  <c r="I100" i="16"/>
  <c r="J100" i="16"/>
  <c r="D101" i="16"/>
  <c r="E101" i="16"/>
  <c r="F101" i="16"/>
  <c r="G101" i="16"/>
  <c r="H101" i="16"/>
  <c r="I101" i="16"/>
  <c r="J101" i="16"/>
  <c r="D103" i="16"/>
  <c r="E103" i="16"/>
  <c r="F103" i="16"/>
  <c r="G103" i="16"/>
  <c r="H103" i="16"/>
  <c r="I103" i="16"/>
  <c r="J103" i="16"/>
  <c r="D104" i="16"/>
  <c r="E104" i="16"/>
  <c r="F104" i="16"/>
  <c r="G104" i="16"/>
  <c r="H104" i="16"/>
  <c r="I104" i="16"/>
  <c r="J104" i="16"/>
  <c r="D105" i="16"/>
  <c r="E105" i="16"/>
  <c r="F105" i="16"/>
  <c r="G105" i="16"/>
  <c r="H105" i="16"/>
  <c r="I105" i="16"/>
  <c r="E106" i="31"/>
  <c r="J105" i="16"/>
  <c r="F106" i="31"/>
  <c r="J86" i="16"/>
  <c r="I86" i="16"/>
  <c r="H86" i="16"/>
  <c r="G86" i="16"/>
  <c r="F86" i="16"/>
  <c r="E86" i="16"/>
  <c r="D86" i="16"/>
  <c r="D75" i="16"/>
  <c r="E75" i="16"/>
  <c r="F75" i="16"/>
  <c r="G75" i="16"/>
  <c r="H75" i="16"/>
  <c r="I75" i="16"/>
  <c r="J75" i="16"/>
  <c r="D76" i="16"/>
  <c r="E76" i="16"/>
  <c r="F76" i="16"/>
  <c r="G76" i="16"/>
  <c r="H76" i="16"/>
  <c r="I76" i="16"/>
  <c r="J76" i="16"/>
  <c r="D77" i="16"/>
  <c r="E77" i="16"/>
  <c r="F77" i="16"/>
  <c r="G77" i="16"/>
  <c r="H77" i="16"/>
  <c r="I77" i="16"/>
  <c r="J77" i="16"/>
  <c r="D78" i="16"/>
  <c r="E78" i="16"/>
  <c r="F78" i="16"/>
  <c r="G78" i="16"/>
  <c r="H78" i="16"/>
  <c r="I78" i="16"/>
  <c r="J78" i="16"/>
  <c r="D79" i="16"/>
  <c r="E79" i="16"/>
  <c r="F79" i="16"/>
  <c r="G79" i="16"/>
  <c r="H79" i="16"/>
  <c r="I79" i="16"/>
  <c r="J79" i="16"/>
  <c r="D80" i="16"/>
  <c r="E80" i="16"/>
  <c r="F80" i="16"/>
  <c r="G80" i="16"/>
  <c r="H80" i="16"/>
  <c r="I80" i="16"/>
  <c r="J80" i="16"/>
  <c r="D81" i="16"/>
  <c r="E81" i="16"/>
  <c r="F81" i="16"/>
  <c r="G81" i="16"/>
  <c r="H81" i="16"/>
  <c r="I81" i="16"/>
  <c r="J81" i="16"/>
  <c r="D82" i="16"/>
  <c r="E82" i="16"/>
  <c r="F82" i="16"/>
  <c r="G82" i="16"/>
  <c r="H82" i="16"/>
  <c r="I82" i="16"/>
  <c r="J82" i="16"/>
  <c r="J74" i="16"/>
  <c r="I74" i="16"/>
  <c r="H74" i="16"/>
  <c r="G74" i="16"/>
  <c r="G83" i="16" s="1"/>
  <c r="E60" i="17" s="1"/>
  <c r="F74" i="16"/>
  <c r="E74" i="16"/>
  <c r="D74" i="16"/>
  <c r="D64" i="16"/>
  <c r="E64" i="16"/>
  <c r="F64" i="16"/>
  <c r="G64" i="16"/>
  <c r="H64" i="16"/>
  <c r="I64" i="16"/>
  <c r="D65" i="16"/>
  <c r="E65" i="16"/>
  <c r="F65" i="16"/>
  <c r="G65" i="16"/>
  <c r="H65" i="16"/>
  <c r="I65" i="16"/>
  <c r="J65" i="16"/>
  <c r="D66" i="16"/>
  <c r="E66" i="16"/>
  <c r="F66" i="16"/>
  <c r="G66" i="16"/>
  <c r="H66" i="16"/>
  <c r="I66" i="16"/>
  <c r="J66" i="16"/>
  <c r="D67" i="16"/>
  <c r="E67" i="16"/>
  <c r="F67" i="16"/>
  <c r="G67" i="16"/>
  <c r="H67" i="16"/>
  <c r="I67" i="16"/>
  <c r="J67" i="16"/>
  <c r="D68" i="16"/>
  <c r="E68" i="16"/>
  <c r="E71" i="16" s="1"/>
  <c r="E39" i="17" s="1"/>
  <c r="F68" i="16"/>
  <c r="G68" i="16"/>
  <c r="H68" i="16"/>
  <c r="H71" i="16" s="1"/>
  <c r="E69" i="17" s="1"/>
  <c r="I68" i="16"/>
  <c r="E79" i="17"/>
  <c r="J68" i="16"/>
  <c r="D69" i="16"/>
  <c r="E69" i="16"/>
  <c r="F69" i="16"/>
  <c r="G69" i="16"/>
  <c r="H69" i="16"/>
  <c r="I69" i="16"/>
  <c r="J69" i="16"/>
  <c r="D70" i="16"/>
  <c r="E70" i="16"/>
  <c r="F70" i="16"/>
  <c r="G70" i="16"/>
  <c r="H70" i="16"/>
  <c r="I70" i="16"/>
  <c r="J70" i="16"/>
  <c r="J63" i="16"/>
  <c r="I63" i="16"/>
  <c r="I71" i="16" s="1"/>
  <c r="H63" i="16"/>
  <c r="G63" i="16"/>
  <c r="F63" i="16"/>
  <c r="E63" i="16"/>
  <c r="D63" i="16"/>
  <c r="D43" i="16"/>
  <c r="E43" i="16"/>
  <c r="F43" i="16"/>
  <c r="G43" i="16"/>
  <c r="H43" i="16"/>
  <c r="I43" i="16"/>
  <c r="J43" i="16"/>
  <c r="D44" i="16"/>
  <c r="E44" i="16"/>
  <c r="F44" i="16"/>
  <c r="G44" i="16"/>
  <c r="H44" i="16"/>
  <c r="I44" i="16"/>
  <c r="J44" i="16"/>
  <c r="D45" i="16"/>
  <c r="E45" i="16"/>
  <c r="F45" i="16"/>
  <c r="G45" i="16"/>
  <c r="H45" i="16"/>
  <c r="I45" i="16"/>
  <c r="J45" i="16"/>
  <c r="D46" i="16"/>
  <c r="E46" i="16"/>
  <c r="F46" i="16"/>
  <c r="G46" i="16"/>
  <c r="H46" i="16"/>
  <c r="I46" i="16"/>
  <c r="J46" i="16"/>
  <c r="D47" i="16"/>
  <c r="E47" i="16"/>
  <c r="F47" i="16"/>
  <c r="G47" i="16"/>
  <c r="H47" i="16"/>
  <c r="I47" i="16"/>
  <c r="J47" i="16"/>
  <c r="D48" i="16"/>
  <c r="E48" i="16"/>
  <c r="F48" i="16"/>
  <c r="G48" i="16"/>
  <c r="H48" i="16"/>
  <c r="I48" i="16"/>
  <c r="J48" i="16"/>
  <c r="D49" i="16"/>
  <c r="E49" i="16"/>
  <c r="F49" i="16"/>
  <c r="G49" i="16"/>
  <c r="H49" i="16"/>
  <c r="I49" i="16"/>
  <c r="J49" i="16"/>
  <c r="D50" i="16"/>
  <c r="E50" i="16"/>
  <c r="F50" i="16"/>
  <c r="G50" i="16"/>
  <c r="H50" i="16"/>
  <c r="I50" i="16"/>
  <c r="J50" i="16"/>
  <c r="D51" i="16"/>
  <c r="E51" i="16"/>
  <c r="F51" i="16"/>
  <c r="G51" i="16"/>
  <c r="H51" i="16"/>
  <c r="I51" i="16"/>
  <c r="J51" i="16"/>
  <c r="D52" i="16"/>
  <c r="E52" i="16"/>
  <c r="F52" i="16"/>
  <c r="G52" i="16"/>
  <c r="H52" i="16"/>
  <c r="I52" i="16"/>
  <c r="J52" i="16"/>
  <c r="D53" i="16"/>
  <c r="E53" i="16"/>
  <c r="F53" i="16"/>
  <c r="G53" i="16"/>
  <c r="H53" i="16"/>
  <c r="I53" i="16"/>
  <c r="J53" i="16"/>
  <c r="D54" i="16"/>
  <c r="E54" i="16"/>
  <c r="F54" i="16"/>
  <c r="G54" i="16"/>
  <c r="H54" i="16"/>
  <c r="I54" i="16"/>
  <c r="J54" i="16"/>
  <c r="D55" i="16"/>
  <c r="E55" i="16"/>
  <c r="F55" i="16"/>
  <c r="G55" i="16"/>
  <c r="H55" i="16"/>
  <c r="I55" i="16"/>
  <c r="J55" i="16"/>
  <c r="D56" i="16"/>
  <c r="E56" i="16"/>
  <c r="F56" i="16"/>
  <c r="G56" i="16"/>
  <c r="H56" i="16"/>
  <c r="I56" i="16"/>
  <c r="J56" i="16"/>
  <c r="D57" i="16"/>
  <c r="E57" i="16"/>
  <c r="F57" i="16"/>
  <c r="G57" i="16"/>
  <c r="H57" i="16"/>
  <c r="I57" i="16"/>
  <c r="J57" i="16"/>
  <c r="D58" i="16"/>
  <c r="E58" i="16"/>
  <c r="F58" i="16"/>
  <c r="G58" i="16"/>
  <c r="H58" i="16"/>
  <c r="I58" i="16"/>
  <c r="J58" i="16"/>
  <c r="J42" i="16"/>
  <c r="I42" i="16"/>
  <c r="H42" i="16"/>
  <c r="G42" i="16"/>
  <c r="F42" i="16"/>
  <c r="E42" i="16"/>
  <c r="D42" i="16"/>
  <c r="F40" i="16"/>
  <c r="F61" i="16"/>
  <c r="F72" i="16" s="1"/>
  <c r="F84" i="16" s="1"/>
  <c r="G40" i="16"/>
  <c r="G61" i="16"/>
  <c r="G72" i="16" s="1"/>
  <c r="G84" i="16" s="1"/>
  <c r="D17" i="16"/>
  <c r="E17" i="16"/>
  <c r="F17" i="16"/>
  <c r="G17" i="16"/>
  <c r="H17" i="16"/>
  <c r="I17" i="16"/>
  <c r="J17" i="16"/>
  <c r="D18" i="16"/>
  <c r="E18" i="16"/>
  <c r="F18" i="16"/>
  <c r="G18" i="16"/>
  <c r="H18" i="16"/>
  <c r="I18" i="16"/>
  <c r="J18" i="16"/>
  <c r="D19" i="16"/>
  <c r="E19" i="16"/>
  <c r="F19" i="16"/>
  <c r="G19" i="16"/>
  <c r="H19" i="16"/>
  <c r="H39" i="16"/>
  <c r="I19" i="16"/>
  <c r="J19" i="16"/>
  <c r="D20" i="16"/>
  <c r="E20" i="16"/>
  <c r="F20" i="16"/>
  <c r="G20" i="16"/>
  <c r="H20" i="16"/>
  <c r="I20" i="16"/>
  <c r="J20" i="16"/>
  <c r="D21" i="16"/>
  <c r="E21" i="16"/>
  <c r="F21" i="16"/>
  <c r="G21" i="16"/>
  <c r="H21" i="16"/>
  <c r="I21" i="16"/>
  <c r="J21" i="16"/>
  <c r="D22" i="16"/>
  <c r="E22" i="16"/>
  <c r="F22" i="16"/>
  <c r="G22" i="16"/>
  <c r="H22" i="16"/>
  <c r="I22" i="16"/>
  <c r="J22" i="16"/>
  <c r="D23" i="16"/>
  <c r="E23" i="16"/>
  <c r="F23" i="16"/>
  <c r="G23" i="16"/>
  <c r="H23" i="16"/>
  <c r="I23" i="16"/>
  <c r="J23" i="16"/>
  <c r="D24" i="16"/>
  <c r="E24" i="16"/>
  <c r="F24" i="16"/>
  <c r="G24" i="16"/>
  <c r="H24" i="16"/>
  <c r="I24" i="16"/>
  <c r="J24" i="16"/>
  <c r="D25" i="16"/>
  <c r="E25" i="16"/>
  <c r="F25" i="16"/>
  <c r="G25" i="16"/>
  <c r="H25" i="16"/>
  <c r="I25" i="16"/>
  <c r="J25" i="16"/>
  <c r="D26" i="16"/>
  <c r="E26" i="16"/>
  <c r="F26" i="16"/>
  <c r="G26" i="16"/>
  <c r="H26" i="16"/>
  <c r="I26" i="16"/>
  <c r="J26" i="16"/>
  <c r="D27" i="16"/>
  <c r="E27" i="16"/>
  <c r="F27" i="16"/>
  <c r="G27" i="16"/>
  <c r="H27" i="16"/>
  <c r="I27" i="16"/>
  <c r="J27" i="16"/>
  <c r="D28" i="16"/>
  <c r="E28" i="16"/>
  <c r="F28" i="16"/>
  <c r="G28" i="16"/>
  <c r="H28" i="16"/>
  <c r="I28" i="16"/>
  <c r="J28" i="16"/>
  <c r="D29" i="16"/>
  <c r="E29" i="16"/>
  <c r="F29" i="16"/>
  <c r="G29" i="16"/>
  <c r="H29" i="16"/>
  <c r="I29" i="16"/>
  <c r="J29" i="16"/>
  <c r="D30" i="16"/>
  <c r="E30" i="16"/>
  <c r="F30" i="16"/>
  <c r="G30" i="16"/>
  <c r="H30" i="16"/>
  <c r="I30" i="16"/>
  <c r="J30" i="16"/>
  <c r="D31" i="16"/>
  <c r="E31" i="16"/>
  <c r="F31" i="16"/>
  <c r="G31" i="16"/>
  <c r="H31" i="16"/>
  <c r="I31" i="16"/>
  <c r="J31" i="16"/>
  <c r="D32" i="16"/>
  <c r="E32" i="16"/>
  <c r="F32" i="16"/>
  <c r="G32" i="16"/>
  <c r="H32" i="16"/>
  <c r="I32" i="16"/>
  <c r="J32" i="16"/>
  <c r="D33" i="16"/>
  <c r="E33" i="16"/>
  <c r="F33" i="16"/>
  <c r="G33" i="16"/>
  <c r="H33" i="16"/>
  <c r="I33" i="16"/>
  <c r="J33" i="16"/>
  <c r="D34" i="16"/>
  <c r="E34" i="16"/>
  <c r="F34" i="16"/>
  <c r="G34" i="16"/>
  <c r="H34" i="16"/>
  <c r="I34" i="16"/>
  <c r="J34" i="16"/>
  <c r="D35" i="16"/>
  <c r="E35" i="16"/>
  <c r="F35" i="16"/>
  <c r="G35" i="16"/>
  <c r="H35" i="16"/>
  <c r="I35" i="16"/>
  <c r="J35" i="16"/>
  <c r="D36" i="16"/>
  <c r="E36" i="16"/>
  <c r="F36" i="16"/>
  <c r="G36" i="16"/>
  <c r="H36" i="16"/>
  <c r="I36" i="16"/>
  <c r="J36" i="16"/>
  <c r="D37" i="16"/>
  <c r="E37" i="16"/>
  <c r="F37" i="16"/>
  <c r="G37" i="16"/>
  <c r="H37" i="16"/>
  <c r="I37" i="16"/>
  <c r="J37" i="16"/>
  <c r="D38" i="16"/>
  <c r="E38" i="16"/>
  <c r="F38" i="16"/>
  <c r="G38" i="16"/>
  <c r="H38" i="16"/>
  <c r="I38" i="16"/>
  <c r="J38" i="16"/>
  <c r="J16" i="16"/>
  <c r="I16" i="16"/>
  <c r="I39" i="16" s="1"/>
  <c r="H16" i="16"/>
  <c r="G16" i="16"/>
  <c r="G39" i="16" s="1"/>
  <c r="F16" i="16"/>
  <c r="F39" i="16"/>
  <c r="E47" i="17" s="1"/>
  <c r="E16" i="16"/>
  <c r="D16" i="16"/>
  <c r="D32" i="17"/>
  <c r="D104" i="17" s="1"/>
  <c r="E25" i="17"/>
  <c r="L28" i="45"/>
  <c r="K28" i="45"/>
  <c r="L42" i="45"/>
  <c r="K42" i="45"/>
  <c r="N42" i="45" s="1"/>
  <c r="K17" i="45"/>
  <c r="L17" i="45"/>
  <c r="M17" i="62"/>
  <c r="M17" i="45"/>
  <c r="K18" i="45"/>
  <c r="L18" i="45"/>
  <c r="M18" i="45"/>
  <c r="K19" i="45"/>
  <c r="L19" i="45"/>
  <c r="M19" i="45"/>
  <c r="K20" i="45"/>
  <c r="L20" i="45"/>
  <c r="M20" i="45"/>
  <c r="K21" i="45"/>
  <c r="L21" i="45"/>
  <c r="M21" i="62" s="1"/>
  <c r="M21" i="45"/>
  <c r="K22" i="45"/>
  <c r="L22" i="45"/>
  <c r="M22" i="45"/>
  <c r="K23" i="45"/>
  <c r="L23" i="45"/>
  <c r="M23" i="45"/>
  <c r="K24" i="45"/>
  <c r="L24" i="45"/>
  <c r="M24" i="62" s="1"/>
  <c r="M24" i="45"/>
  <c r="K25" i="45"/>
  <c r="N25" i="45" s="1"/>
  <c r="L25" i="45"/>
  <c r="M25" i="62"/>
  <c r="M25" i="45"/>
  <c r="K26" i="45"/>
  <c r="L26" i="45"/>
  <c r="M26" i="62"/>
  <c r="M26" i="45"/>
  <c r="K27" i="45"/>
  <c r="L27" i="45"/>
  <c r="M27" i="45"/>
  <c r="M28" i="45"/>
  <c r="M29" i="45"/>
  <c r="K30" i="45"/>
  <c r="L30" i="45"/>
  <c r="M30" i="45"/>
  <c r="K31" i="45"/>
  <c r="N31" i="45"/>
  <c r="L31" i="45"/>
  <c r="M31" i="45"/>
  <c r="K32" i="45"/>
  <c r="L32" i="45"/>
  <c r="M32" i="62" s="1"/>
  <c r="M32" i="45"/>
  <c r="K33" i="45"/>
  <c r="L33" i="45"/>
  <c r="M33" i="62" s="1"/>
  <c r="M33" i="45"/>
  <c r="K34" i="45"/>
  <c r="L34" i="45"/>
  <c r="M34" i="45"/>
  <c r="K35" i="45"/>
  <c r="L35" i="45"/>
  <c r="M35" i="45"/>
  <c r="M36" i="45"/>
  <c r="K37" i="45"/>
  <c r="L37" i="45"/>
  <c r="M37" i="45"/>
  <c r="K38" i="45"/>
  <c r="L38" i="45"/>
  <c r="M38" i="62" s="1"/>
  <c r="M38" i="45"/>
  <c r="K39" i="45"/>
  <c r="L39" i="45"/>
  <c r="M39" i="62" s="1"/>
  <c r="M39" i="45"/>
  <c r="K40" i="45"/>
  <c r="L40" i="45"/>
  <c r="M40" i="45"/>
  <c r="K41" i="45"/>
  <c r="L41" i="45"/>
  <c r="M41" i="45"/>
  <c r="M42" i="45"/>
  <c r="K43" i="45"/>
  <c r="N43" i="45" s="1"/>
  <c r="L43" i="45"/>
  <c r="M43" i="62" s="1"/>
  <c r="M43" i="45"/>
  <c r="K44" i="45"/>
  <c r="L44" i="45"/>
  <c r="M44" i="45"/>
  <c r="K45" i="45"/>
  <c r="N45" i="45" s="1"/>
  <c r="L45" i="45"/>
  <c r="M45" i="62" s="1"/>
  <c r="M45" i="45"/>
  <c r="K46" i="45"/>
  <c r="L46" i="45"/>
  <c r="M46" i="62"/>
  <c r="M46" i="45"/>
  <c r="M50" i="45" s="1"/>
  <c r="K47" i="45"/>
  <c r="L47" i="45"/>
  <c r="M47" i="62"/>
  <c r="M47" i="45"/>
  <c r="N47" i="45" s="1"/>
  <c r="N48" i="45"/>
  <c r="M16" i="45"/>
  <c r="L16" i="45"/>
  <c r="K16" i="45"/>
  <c r="N16" i="45" s="1"/>
  <c r="F42" i="45"/>
  <c r="E39" i="45"/>
  <c r="I39" i="62" s="1"/>
  <c r="J39" i="62" s="1"/>
  <c r="G28" i="45"/>
  <c r="G28" i="62"/>
  <c r="F28" i="45"/>
  <c r="F17" i="45"/>
  <c r="G17" i="45"/>
  <c r="H17" i="45"/>
  <c r="F18" i="45"/>
  <c r="G18" i="45"/>
  <c r="G18" i="62"/>
  <c r="H18" i="45"/>
  <c r="I18" i="45" s="1"/>
  <c r="F19" i="45"/>
  <c r="G19" i="45"/>
  <c r="G19" i="62"/>
  <c r="H19" i="45"/>
  <c r="F20" i="45"/>
  <c r="D20" i="62"/>
  <c r="F20" i="62"/>
  <c r="H20" i="62"/>
  <c r="G20" i="45"/>
  <c r="G20" i="62"/>
  <c r="H20" i="45"/>
  <c r="F21" i="45"/>
  <c r="D21" i="62" s="1"/>
  <c r="F21" i="62" s="1"/>
  <c r="G21" i="45"/>
  <c r="H21" i="45"/>
  <c r="F22" i="45"/>
  <c r="G22" i="45"/>
  <c r="H22" i="45"/>
  <c r="F23" i="45"/>
  <c r="G23" i="45"/>
  <c r="G23" i="62"/>
  <c r="H23" i="45"/>
  <c r="I23" i="45"/>
  <c r="F24" i="45"/>
  <c r="G24" i="45"/>
  <c r="G24" i="62"/>
  <c r="H24" i="45"/>
  <c r="F25" i="45"/>
  <c r="G25" i="45"/>
  <c r="G25" i="62"/>
  <c r="H25" i="45"/>
  <c r="F26" i="45"/>
  <c r="D26" i="62"/>
  <c r="F26" i="62"/>
  <c r="G26" i="45"/>
  <c r="H26" i="45"/>
  <c r="F27" i="45"/>
  <c r="G27" i="45"/>
  <c r="H27" i="45"/>
  <c r="H28" i="45"/>
  <c r="G29" i="45"/>
  <c r="G29" i="62"/>
  <c r="H29" i="45"/>
  <c r="F30" i="45"/>
  <c r="G30" i="45"/>
  <c r="G30" i="62"/>
  <c r="H30" i="45"/>
  <c r="F31" i="45"/>
  <c r="D31" i="62"/>
  <c r="F31" i="62"/>
  <c r="G31" i="45"/>
  <c r="G31" i="62" s="1"/>
  <c r="H31" i="45"/>
  <c r="F32" i="45"/>
  <c r="D32" i="62" s="1"/>
  <c r="F32" i="62" s="1"/>
  <c r="H32" i="62" s="1"/>
  <c r="K32" i="62" s="1"/>
  <c r="G32" i="45"/>
  <c r="G32" i="62"/>
  <c r="H32" i="45"/>
  <c r="F33" i="45"/>
  <c r="G33" i="45"/>
  <c r="H33" i="45"/>
  <c r="F34" i="45"/>
  <c r="G34" i="45"/>
  <c r="G34" i="62"/>
  <c r="H34" i="45"/>
  <c r="F35" i="45"/>
  <c r="G35" i="45"/>
  <c r="G35" i="62"/>
  <c r="H35" i="45"/>
  <c r="G36" i="45"/>
  <c r="G36" i="62" s="1"/>
  <c r="H36" i="45"/>
  <c r="F37" i="45"/>
  <c r="G37" i="45"/>
  <c r="H37" i="45"/>
  <c r="F38" i="45"/>
  <c r="G38" i="45"/>
  <c r="H38" i="45"/>
  <c r="F39" i="45"/>
  <c r="G39" i="45"/>
  <c r="H39" i="45"/>
  <c r="I39" i="45" s="1"/>
  <c r="F40" i="45"/>
  <c r="G40" i="45"/>
  <c r="G40" i="62"/>
  <c r="H40" i="45"/>
  <c r="F41" i="45"/>
  <c r="D41" i="62"/>
  <c r="F41" i="62"/>
  <c r="H41" i="62" s="1"/>
  <c r="G41" i="45"/>
  <c r="H41" i="45"/>
  <c r="G42" i="45"/>
  <c r="H42" i="45"/>
  <c r="F43" i="45"/>
  <c r="G43" i="45"/>
  <c r="G43" i="62"/>
  <c r="H43" i="45"/>
  <c r="F44" i="45"/>
  <c r="G44" i="45"/>
  <c r="H44" i="45"/>
  <c r="F45" i="45"/>
  <c r="I45" i="45" s="1"/>
  <c r="O45" i="45" s="1"/>
  <c r="G45" i="45"/>
  <c r="H45" i="45"/>
  <c r="F46" i="45"/>
  <c r="D46" i="62" s="1"/>
  <c r="F46" i="62" s="1"/>
  <c r="H46" i="62" s="1"/>
  <c r="G46" i="45"/>
  <c r="G46" i="62" s="1"/>
  <c r="H46" i="45"/>
  <c r="F47" i="45"/>
  <c r="D47" i="62"/>
  <c r="F47" i="62" s="1"/>
  <c r="G47" i="45"/>
  <c r="G47" i="62"/>
  <c r="H47" i="45"/>
  <c r="H16" i="45"/>
  <c r="G16" i="45"/>
  <c r="G16" i="62"/>
  <c r="F16" i="45"/>
  <c r="E46" i="45"/>
  <c r="I46" i="62" s="1"/>
  <c r="J46" i="62" s="1"/>
  <c r="E47" i="45"/>
  <c r="I47" i="62" s="1"/>
  <c r="E36" i="45"/>
  <c r="I36" i="62" s="1"/>
  <c r="J36" i="62" s="1"/>
  <c r="E32" i="45"/>
  <c r="E34" i="45"/>
  <c r="E29" i="45"/>
  <c r="I29" i="62" s="1"/>
  <c r="E31" i="45"/>
  <c r="I31" i="62" s="1"/>
  <c r="J31" i="62" s="1"/>
  <c r="E30" i="45"/>
  <c r="E21" i="45"/>
  <c r="E16" i="45"/>
  <c r="E46" i="50"/>
  <c r="I46" i="61" s="1"/>
  <c r="E45" i="50"/>
  <c r="I45" i="61" s="1"/>
  <c r="E41" i="50"/>
  <c r="I41" i="61" s="1"/>
  <c r="J41" i="61" s="1"/>
  <c r="E38" i="50"/>
  <c r="I38" i="61" s="1"/>
  <c r="E31" i="50"/>
  <c r="E30" i="50"/>
  <c r="E29" i="50"/>
  <c r="E16" i="50"/>
  <c r="E46" i="49"/>
  <c r="I46" i="60" s="1"/>
  <c r="J46" i="60" s="1"/>
  <c r="E45" i="49"/>
  <c r="I45" i="60" s="1"/>
  <c r="J45" i="60" s="1"/>
  <c r="E41" i="49"/>
  <c r="I41" i="60" s="1"/>
  <c r="J41" i="60" s="1"/>
  <c r="E38" i="49"/>
  <c r="I38" i="60" s="1"/>
  <c r="E31" i="49"/>
  <c r="E33" i="49"/>
  <c r="I33" i="60" s="1"/>
  <c r="E30" i="49"/>
  <c r="I30" i="60" s="1"/>
  <c r="E29" i="49"/>
  <c r="E16" i="49"/>
  <c r="E46" i="48"/>
  <c r="I46" i="59" s="1"/>
  <c r="E45" i="48"/>
  <c r="I45" i="59" s="1"/>
  <c r="K45" i="59" s="1"/>
  <c r="E41" i="48"/>
  <c r="I41" i="59" s="1"/>
  <c r="E38" i="48"/>
  <c r="I38" i="59" s="1"/>
  <c r="E31" i="48"/>
  <c r="E30" i="48"/>
  <c r="I30" i="59" s="1"/>
  <c r="E29" i="48"/>
  <c r="E26" i="48"/>
  <c r="I26" i="59" s="1"/>
  <c r="J26" i="59" s="1"/>
  <c r="E16" i="48"/>
  <c r="E46" i="47"/>
  <c r="I46" i="58" s="1"/>
  <c r="E45" i="47"/>
  <c r="E41" i="47"/>
  <c r="E38" i="47"/>
  <c r="I38" i="58" s="1"/>
  <c r="E31" i="47"/>
  <c r="I31" i="58" s="1"/>
  <c r="J31" i="58" s="1"/>
  <c r="E30" i="47"/>
  <c r="I30" i="58" s="1"/>
  <c r="E29" i="47"/>
  <c r="E16" i="47"/>
  <c r="E46" i="46"/>
  <c r="I46" i="57" s="1"/>
  <c r="J46" i="57" s="1"/>
  <c r="E45" i="46"/>
  <c r="I45" i="57" s="1"/>
  <c r="E41" i="46"/>
  <c r="I41" i="57" s="1"/>
  <c r="E38" i="46"/>
  <c r="E31" i="46"/>
  <c r="E30" i="46"/>
  <c r="I30" i="57" s="1"/>
  <c r="J30" i="57" s="1"/>
  <c r="E29" i="46"/>
  <c r="E16" i="46"/>
  <c r="E46" i="38"/>
  <c r="E41" i="1"/>
  <c r="L41" i="50"/>
  <c r="M41" i="61"/>
  <c r="K41" i="50"/>
  <c r="F41" i="50"/>
  <c r="L28" i="50"/>
  <c r="M28" i="61"/>
  <c r="K28" i="50"/>
  <c r="G28" i="50"/>
  <c r="G28" i="61"/>
  <c r="F28" i="50"/>
  <c r="K17" i="50"/>
  <c r="L17" i="50"/>
  <c r="M17" i="50"/>
  <c r="K18" i="50"/>
  <c r="L18" i="50"/>
  <c r="M18" i="50"/>
  <c r="K19" i="50"/>
  <c r="L19" i="50"/>
  <c r="M19" i="50"/>
  <c r="K20" i="50"/>
  <c r="N20" i="50" s="1"/>
  <c r="L20" i="50"/>
  <c r="M20" i="50"/>
  <c r="K21" i="50"/>
  <c r="K49" i="50" s="1"/>
  <c r="L21" i="50"/>
  <c r="M21" i="50"/>
  <c r="K22" i="50"/>
  <c r="L22" i="50"/>
  <c r="M22" i="61" s="1"/>
  <c r="M22" i="50"/>
  <c r="K23" i="50"/>
  <c r="N23" i="50" s="1"/>
  <c r="L23" i="50"/>
  <c r="M23" i="61" s="1"/>
  <c r="M23" i="50"/>
  <c r="K24" i="50"/>
  <c r="L24" i="50"/>
  <c r="M24" i="61" s="1"/>
  <c r="M24" i="50"/>
  <c r="K25" i="50"/>
  <c r="L25" i="50"/>
  <c r="M25" i="61" s="1"/>
  <c r="M25" i="50"/>
  <c r="K26" i="50"/>
  <c r="L26" i="50"/>
  <c r="M26" i="50"/>
  <c r="K27" i="50"/>
  <c r="L27" i="50"/>
  <c r="M27" i="61" s="1"/>
  <c r="M27" i="50"/>
  <c r="M28" i="50"/>
  <c r="N28" i="50" s="1"/>
  <c r="K29" i="50"/>
  <c r="L29" i="50"/>
  <c r="M29" i="50"/>
  <c r="N29" i="50" s="1"/>
  <c r="O29" i="50" s="1"/>
  <c r="K30" i="50"/>
  <c r="L30" i="50"/>
  <c r="M30" i="50"/>
  <c r="K31" i="50"/>
  <c r="N31" i="50" s="1"/>
  <c r="O31" i="50" s="1"/>
  <c r="L31" i="50"/>
  <c r="M31" i="61"/>
  <c r="M31" i="50"/>
  <c r="K32" i="50"/>
  <c r="N32" i="50" s="1"/>
  <c r="L32" i="50"/>
  <c r="M32" i="61"/>
  <c r="M32" i="50"/>
  <c r="K33" i="50"/>
  <c r="L33" i="50"/>
  <c r="N33" i="50" s="1"/>
  <c r="M33" i="61"/>
  <c r="M33" i="50"/>
  <c r="K34" i="50"/>
  <c r="L34" i="50"/>
  <c r="M34" i="61"/>
  <c r="M34" i="50"/>
  <c r="K35" i="50"/>
  <c r="L35" i="50"/>
  <c r="M35" i="50"/>
  <c r="K36" i="50"/>
  <c r="L36" i="50"/>
  <c r="M36" i="50"/>
  <c r="K37" i="50"/>
  <c r="L37" i="50"/>
  <c r="M37" i="50"/>
  <c r="K38" i="50"/>
  <c r="N38" i="50"/>
  <c r="L38" i="50"/>
  <c r="M38" i="50"/>
  <c r="K39" i="50"/>
  <c r="L39" i="50"/>
  <c r="M39" i="50"/>
  <c r="K40" i="50"/>
  <c r="L40" i="50"/>
  <c r="N40" i="50"/>
  <c r="M40" i="50"/>
  <c r="M41" i="50"/>
  <c r="K42" i="50"/>
  <c r="L42" i="50"/>
  <c r="M42" i="50"/>
  <c r="K43" i="50"/>
  <c r="L43" i="50"/>
  <c r="M43" i="50"/>
  <c r="K44" i="50"/>
  <c r="L44" i="50"/>
  <c r="M44" i="61"/>
  <c r="M44" i="50"/>
  <c r="K45" i="50"/>
  <c r="L45" i="50"/>
  <c r="M45" i="61"/>
  <c r="M45" i="50"/>
  <c r="K46" i="50"/>
  <c r="L46" i="50"/>
  <c r="M46" i="50"/>
  <c r="N46" i="50"/>
  <c r="F17" i="50"/>
  <c r="G17" i="50"/>
  <c r="H17" i="50"/>
  <c r="F18" i="50"/>
  <c r="D18" i="61" s="1"/>
  <c r="F18" i="61" s="1"/>
  <c r="G18" i="50"/>
  <c r="H18" i="50"/>
  <c r="H49" i="50" s="1"/>
  <c r="F19" i="50"/>
  <c r="G19" i="50"/>
  <c r="G19" i="61"/>
  <c r="H19" i="50"/>
  <c r="F20" i="50"/>
  <c r="G20" i="50"/>
  <c r="G20" i="61"/>
  <c r="H20" i="50"/>
  <c r="F21" i="50"/>
  <c r="G21" i="50"/>
  <c r="H21" i="50"/>
  <c r="F22" i="50"/>
  <c r="F49" i="50" s="1"/>
  <c r="G22" i="50"/>
  <c r="G22" i="61" s="1"/>
  <c r="H22" i="50"/>
  <c r="F23" i="50"/>
  <c r="D23" i="61" s="1"/>
  <c r="F23" i="61" s="1"/>
  <c r="G23" i="50"/>
  <c r="G23" i="61" s="1"/>
  <c r="H23" i="61" s="1"/>
  <c r="H23" i="50"/>
  <c r="F24" i="50"/>
  <c r="G24" i="50"/>
  <c r="G24" i="61" s="1"/>
  <c r="H24" i="50"/>
  <c r="F25" i="50"/>
  <c r="G25" i="50"/>
  <c r="G25" i="61" s="1"/>
  <c r="H25" i="50"/>
  <c r="F26" i="50"/>
  <c r="D26" i="61"/>
  <c r="F26" i="61" s="1"/>
  <c r="H26" i="61" s="1"/>
  <c r="G26" i="50"/>
  <c r="G26" i="61"/>
  <c r="H26" i="50"/>
  <c r="I26" i="50" s="1"/>
  <c r="O26" i="50" s="1"/>
  <c r="F27" i="50"/>
  <c r="D27" i="61"/>
  <c r="F27" i="61" s="1"/>
  <c r="G27" i="50"/>
  <c r="G27" i="61"/>
  <c r="H27" i="50"/>
  <c r="H28" i="50"/>
  <c r="F29" i="50"/>
  <c r="D29" i="61" s="1"/>
  <c r="F29" i="61" s="1"/>
  <c r="G29" i="50"/>
  <c r="G29" i="61"/>
  <c r="H29" i="50"/>
  <c r="F30" i="50"/>
  <c r="G30" i="50"/>
  <c r="H30" i="50"/>
  <c r="F31" i="50"/>
  <c r="G31" i="50"/>
  <c r="G31" i="61"/>
  <c r="H31" i="50"/>
  <c r="I31" i="50"/>
  <c r="F32" i="50"/>
  <c r="G32" i="50"/>
  <c r="G32" i="61"/>
  <c r="H32" i="50"/>
  <c r="F33" i="50"/>
  <c r="D33" i="61"/>
  <c r="F33" i="61"/>
  <c r="G33" i="50"/>
  <c r="G33" i="61"/>
  <c r="H33" i="61" s="1"/>
  <c r="H33" i="50"/>
  <c r="F34" i="50"/>
  <c r="G34" i="50"/>
  <c r="H34" i="50"/>
  <c r="F35" i="50"/>
  <c r="G35" i="50"/>
  <c r="H35" i="50"/>
  <c r="F36" i="50"/>
  <c r="G36" i="50"/>
  <c r="G36" i="61" s="1"/>
  <c r="H36" i="50"/>
  <c r="F37" i="50"/>
  <c r="D37" i="61"/>
  <c r="F37" i="61" s="1"/>
  <c r="G37" i="50"/>
  <c r="H37" i="50"/>
  <c r="I37" i="50" s="1"/>
  <c r="F38" i="50"/>
  <c r="G38" i="50"/>
  <c r="I38" i="50" s="1"/>
  <c r="G38" i="61"/>
  <c r="H38" i="50"/>
  <c r="F39" i="50"/>
  <c r="D39" i="61"/>
  <c r="F39" i="61"/>
  <c r="G39" i="50"/>
  <c r="H39" i="50"/>
  <c r="I39" i="50" s="1"/>
  <c r="F40" i="50"/>
  <c r="D40" i="61" s="1"/>
  <c r="F40" i="61" s="1"/>
  <c r="G40" i="50"/>
  <c r="H40" i="50"/>
  <c r="G41" i="50"/>
  <c r="H41" i="50"/>
  <c r="F42" i="50"/>
  <c r="D42" i="61" s="1"/>
  <c r="F42" i="61" s="1"/>
  <c r="G42" i="50"/>
  <c r="H42" i="50"/>
  <c r="F43" i="50"/>
  <c r="G43" i="50"/>
  <c r="H43" i="50"/>
  <c r="F44" i="50"/>
  <c r="G44" i="50"/>
  <c r="H44" i="50"/>
  <c r="F45" i="50"/>
  <c r="G45" i="50"/>
  <c r="H45" i="50"/>
  <c r="F46" i="50"/>
  <c r="G46" i="50"/>
  <c r="H46" i="50"/>
  <c r="M16" i="50"/>
  <c r="L16" i="50"/>
  <c r="K16" i="50"/>
  <c r="H16" i="50"/>
  <c r="G16" i="50"/>
  <c r="F16" i="50"/>
  <c r="M53" i="50"/>
  <c r="M52" i="50"/>
  <c r="O48" i="50"/>
  <c r="N47" i="50"/>
  <c r="I47" i="50"/>
  <c r="M53" i="49"/>
  <c r="M52" i="49"/>
  <c r="M46" i="49"/>
  <c r="L46" i="49"/>
  <c r="M46" i="60" s="1"/>
  <c r="K46" i="49"/>
  <c r="H46" i="49"/>
  <c r="G46" i="49"/>
  <c r="G46" i="60"/>
  <c r="F46" i="49"/>
  <c r="M45" i="49"/>
  <c r="L45" i="49"/>
  <c r="M45" i="60"/>
  <c r="K45" i="49"/>
  <c r="H45" i="49"/>
  <c r="G45" i="49"/>
  <c r="G45" i="60"/>
  <c r="F45" i="49"/>
  <c r="M44" i="49"/>
  <c r="L44" i="49"/>
  <c r="M44" i="60"/>
  <c r="K44" i="49"/>
  <c r="H44" i="49"/>
  <c r="G44" i="49"/>
  <c r="G44" i="60"/>
  <c r="F44" i="49"/>
  <c r="M43" i="49"/>
  <c r="L43" i="49"/>
  <c r="K43" i="49"/>
  <c r="H43" i="49"/>
  <c r="G43" i="49"/>
  <c r="F43" i="49"/>
  <c r="M42" i="49"/>
  <c r="L42" i="49"/>
  <c r="M42" i="60"/>
  <c r="K42" i="49"/>
  <c r="H42" i="49"/>
  <c r="G42" i="49"/>
  <c r="G42" i="60" s="1"/>
  <c r="F42" i="49"/>
  <c r="M41" i="49"/>
  <c r="L41" i="49"/>
  <c r="K41" i="49"/>
  <c r="H41" i="49"/>
  <c r="G41" i="49"/>
  <c r="G41" i="60"/>
  <c r="F41" i="49"/>
  <c r="M40" i="49"/>
  <c r="L40" i="49"/>
  <c r="M40" i="60"/>
  <c r="K40" i="49"/>
  <c r="H40" i="49"/>
  <c r="G40" i="49"/>
  <c r="G40" i="60" s="1"/>
  <c r="F40" i="49"/>
  <c r="M39" i="49"/>
  <c r="L39" i="49"/>
  <c r="K39" i="49"/>
  <c r="H39" i="49"/>
  <c r="G39" i="49"/>
  <c r="G39" i="60" s="1"/>
  <c r="F39" i="49"/>
  <c r="M38" i="49"/>
  <c r="L38" i="49"/>
  <c r="M38" i="60" s="1"/>
  <c r="K38" i="49"/>
  <c r="H38" i="49"/>
  <c r="G38" i="49"/>
  <c r="G38" i="60" s="1"/>
  <c r="F38" i="49"/>
  <c r="M37" i="49"/>
  <c r="L37" i="49"/>
  <c r="K37" i="49"/>
  <c r="H37" i="49"/>
  <c r="G37" i="49"/>
  <c r="F37" i="49"/>
  <c r="M36" i="49"/>
  <c r="L36" i="49"/>
  <c r="K36" i="49"/>
  <c r="H36" i="49"/>
  <c r="I36" i="49"/>
  <c r="G36" i="49"/>
  <c r="G36" i="60"/>
  <c r="F36" i="49"/>
  <c r="M35" i="49"/>
  <c r="L35" i="49"/>
  <c r="M35" i="60"/>
  <c r="K35" i="49"/>
  <c r="H35" i="49"/>
  <c r="I35" i="49" s="1"/>
  <c r="G35" i="49"/>
  <c r="G35" i="60"/>
  <c r="F35" i="49"/>
  <c r="D35" i="60"/>
  <c r="F35" i="60" s="1"/>
  <c r="M34" i="49"/>
  <c r="L34" i="49"/>
  <c r="K34" i="49"/>
  <c r="H34" i="49"/>
  <c r="G34" i="49"/>
  <c r="G34" i="60" s="1"/>
  <c r="F34" i="49"/>
  <c r="M33" i="49"/>
  <c r="L33" i="49"/>
  <c r="K33" i="49"/>
  <c r="H33" i="49"/>
  <c r="G33" i="49"/>
  <c r="F33" i="49"/>
  <c r="D33" i="60" s="1"/>
  <c r="F33" i="60"/>
  <c r="M32" i="49"/>
  <c r="L32" i="49"/>
  <c r="M32" i="60" s="1"/>
  <c r="K32" i="49"/>
  <c r="H32" i="49"/>
  <c r="G32" i="49"/>
  <c r="G32" i="60" s="1"/>
  <c r="F32" i="49"/>
  <c r="M31" i="49"/>
  <c r="L31" i="49"/>
  <c r="M31" i="60" s="1"/>
  <c r="K31" i="49"/>
  <c r="H31" i="49"/>
  <c r="G31" i="49"/>
  <c r="F31" i="49"/>
  <c r="I31" i="49" s="1"/>
  <c r="M30" i="49"/>
  <c r="L30" i="49"/>
  <c r="M30" i="60" s="1"/>
  <c r="K30" i="49"/>
  <c r="H30" i="49"/>
  <c r="G30" i="49"/>
  <c r="G30" i="60" s="1"/>
  <c r="F30" i="49"/>
  <c r="D30" i="60" s="1"/>
  <c r="F30" i="60"/>
  <c r="H30" i="60" s="1"/>
  <c r="M29" i="49"/>
  <c r="L29" i="49"/>
  <c r="M29" i="60"/>
  <c r="K29" i="49"/>
  <c r="H29" i="49"/>
  <c r="I29" i="49" s="1"/>
  <c r="O29" i="49" s="1"/>
  <c r="G29" i="49"/>
  <c r="G29" i="60"/>
  <c r="F29" i="49"/>
  <c r="M28" i="49"/>
  <c r="L28" i="49"/>
  <c r="K28" i="49"/>
  <c r="H28" i="49"/>
  <c r="G28" i="49"/>
  <c r="F28" i="49"/>
  <c r="D28" i="60" s="1"/>
  <c r="F28" i="60"/>
  <c r="M27" i="49"/>
  <c r="L27" i="49"/>
  <c r="M27" i="60"/>
  <c r="K27" i="49"/>
  <c r="H27" i="49"/>
  <c r="G27" i="49"/>
  <c r="G27" i="60"/>
  <c r="F27" i="49"/>
  <c r="M26" i="49"/>
  <c r="L26" i="49"/>
  <c r="K26" i="49"/>
  <c r="H26" i="49"/>
  <c r="G26" i="49"/>
  <c r="F26" i="49"/>
  <c r="I26" i="49" s="1"/>
  <c r="M25" i="49"/>
  <c r="L25" i="49"/>
  <c r="M25" i="60" s="1"/>
  <c r="K25" i="49"/>
  <c r="H25" i="49"/>
  <c r="G25" i="49"/>
  <c r="G25" i="60" s="1"/>
  <c r="F25" i="49"/>
  <c r="I25" i="49" s="1"/>
  <c r="M24" i="49"/>
  <c r="L24" i="49"/>
  <c r="M24" i="60"/>
  <c r="K24" i="49"/>
  <c r="N24" i="49"/>
  <c r="H24" i="49"/>
  <c r="G24" i="49"/>
  <c r="G24" i="60" s="1"/>
  <c r="F24" i="49"/>
  <c r="M23" i="49"/>
  <c r="L23" i="49"/>
  <c r="M23" i="60" s="1"/>
  <c r="K23" i="49"/>
  <c r="H23" i="49"/>
  <c r="G23" i="49"/>
  <c r="F23" i="49"/>
  <c r="D23" i="60"/>
  <c r="F23" i="60" s="1"/>
  <c r="M22" i="49"/>
  <c r="L22" i="49"/>
  <c r="N22" i="49"/>
  <c r="M22" i="60"/>
  <c r="K22" i="49"/>
  <c r="H22" i="49"/>
  <c r="G22" i="49"/>
  <c r="F22" i="49"/>
  <c r="D22" i="60"/>
  <c r="F22" i="60" s="1"/>
  <c r="M21" i="49"/>
  <c r="L21" i="49"/>
  <c r="K21" i="49"/>
  <c r="H21" i="49"/>
  <c r="G21" i="49"/>
  <c r="G21" i="60" s="1"/>
  <c r="F21" i="49"/>
  <c r="D21" i="60" s="1"/>
  <c r="F21" i="60"/>
  <c r="H21" i="60" s="1"/>
  <c r="M20" i="49"/>
  <c r="M49" i="49" s="1"/>
  <c r="L20" i="49"/>
  <c r="M20" i="60"/>
  <c r="K20" i="49"/>
  <c r="H20" i="49"/>
  <c r="G20" i="49"/>
  <c r="F20" i="49"/>
  <c r="M19" i="49"/>
  <c r="L19" i="49"/>
  <c r="K19" i="49"/>
  <c r="H19" i="49"/>
  <c r="G19" i="49"/>
  <c r="F19" i="49"/>
  <c r="M18" i="49"/>
  <c r="L18" i="49"/>
  <c r="K18" i="49"/>
  <c r="H18" i="49"/>
  <c r="G18" i="49"/>
  <c r="F18" i="49"/>
  <c r="M17" i="49"/>
  <c r="L17" i="49"/>
  <c r="M17" i="60" s="1"/>
  <c r="K17" i="49"/>
  <c r="N17" i="49" s="1"/>
  <c r="H17" i="49"/>
  <c r="G17" i="49"/>
  <c r="F17" i="49"/>
  <c r="M16" i="49"/>
  <c r="L16" i="49"/>
  <c r="M16" i="60"/>
  <c r="K16" i="49"/>
  <c r="H16" i="49"/>
  <c r="I16" i="49" s="1"/>
  <c r="G16" i="49"/>
  <c r="G16" i="60"/>
  <c r="F16" i="49"/>
  <c r="D16" i="60"/>
  <c r="F16" i="60" s="1"/>
  <c r="H16" i="60" s="1"/>
  <c r="O48" i="49"/>
  <c r="N47" i="49"/>
  <c r="I47" i="49"/>
  <c r="M53" i="48"/>
  <c r="M52" i="48"/>
  <c r="M46" i="48"/>
  <c r="L46" i="48"/>
  <c r="M46" i="59" s="1"/>
  <c r="K46" i="48"/>
  <c r="H46" i="48"/>
  <c r="G46" i="48"/>
  <c r="G46" i="59" s="1"/>
  <c r="F46" i="48"/>
  <c r="I46" i="48" s="1"/>
  <c r="M45" i="48"/>
  <c r="L45" i="48"/>
  <c r="M45" i="59"/>
  <c r="K45" i="48"/>
  <c r="H45" i="48"/>
  <c r="G45" i="48"/>
  <c r="G45" i="59"/>
  <c r="F45" i="48"/>
  <c r="D45" i="59"/>
  <c r="F45" i="59" s="1"/>
  <c r="M44" i="48"/>
  <c r="L44" i="48"/>
  <c r="M44" i="59"/>
  <c r="K44" i="48"/>
  <c r="H44" i="48"/>
  <c r="I44" i="48" s="1"/>
  <c r="O44" i="48" s="1"/>
  <c r="G44" i="48"/>
  <c r="F44" i="48"/>
  <c r="D44" i="59" s="1"/>
  <c r="F44" i="59"/>
  <c r="M43" i="48"/>
  <c r="L43" i="48"/>
  <c r="M43" i="59" s="1"/>
  <c r="K43" i="48"/>
  <c r="N43" i="48" s="1"/>
  <c r="H43" i="48"/>
  <c r="O43" i="48"/>
  <c r="G43" i="48"/>
  <c r="G43" i="59"/>
  <c r="F43" i="48"/>
  <c r="I43" i="48" s="1"/>
  <c r="M42" i="48"/>
  <c r="L42" i="48"/>
  <c r="K42" i="48"/>
  <c r="H42" i="48"/>
  <c r="G42" i="48"/>
  <c r="I42" i="48" s="1"/>
  <c r="O42" i="48" s="1"/>
  <c r="F42" i="48"/>
  <c r="M41" i="48"/>
  <c r="L41" i="48"/>
  <c r="M41" i="59"/>
  <c r="K41" i="48"/>
  <c r="H41" i="48"/>
  <c r="G41" i="48"/>
  <c r="F41" i="48"/>
  <c r="I41" i="48" s="1"/>
  <c r="O41" i="48" s="1"/>
  <c r="M40" i="48"/>
  <c r="L40" i="48"/>
  <c r="N40" i="48" s="1"/>
  <c r="M40" i="59"/>
  <c r="K40" i="48"/>
  <c r="H40" i="48"/>
  <c r="G40" i="48"/>
  <c r="G40" i="59"/>
  <c r="F40" i="48"/>
  <c r="I40" i="48"/>
  <c r="M39" i="48"/>
  <c r="L39" i="48"/>
  <c r="K39" i="48"/>
  <c r="N39" i="48" s="1"/>
  <c r="H39" i="48"/>
  <c r="G39" i="48"/>
  <c r="G39" i="59" s="1"/>
  <c r="F39" i="48"/>
  <c r="I39" i="48" s="1"/>
  <c r="M38" i="48"/>
  <c r="L38" i="48"/>
  <c r="K38" i="48"/>
  <c r="H38" i="48"/>
  <c r="G38" i="48"/>
  <c r="G38" i="59"/>
  <c r="F38" i="48"/>
  <c r="M37" i="48"/>
  <c r="L37" i="48"/>
  <c r="K37" i="48"/>
  <c r="H37" i="48"/>
  <c r="G37" i="48"/>
  <c r="G37" i="59" s="1"/>
  <c r="F37" i="48"/>
  <c r="I37" i="48" s="1"/>
  <c r="O37" i="48" s="1"/>
  <c r="M36" i="48"/>
  <c r="L36" i="48"/>
  <c r="K36" i="48"/>
  <c r="N36" i="48"/>
  <c r="H36" i="48"/>
  <c r="G36" i="48"/>
  <c r="G36" i="59" s="1"/>
  <c r="F36" i="48"/>
  <c r="M35" i="48"/>
  <c r="N35" i="48"/>
  <c r="L35" i="48"/>
  <c r="M35" i="59"/>
  <c r="K35" i="48"/>
  <c r="H35" i="48"/>
  <c r="G35" i="48"/>
  <c r="G35" i="59" s="1"/>
  <c r="F35" i="48"/>
  <c r="I35" i="48" s="1"/>
  <c r="M34" i="48"/>
  <c r="L34" i="48"/>
  <c r="M34" i="59" s="1"/>
  <c r="K34" i="48"/>
  <c r="H34" i="48"/>
  <c r="G34" i="48"/>
  <c r="G34" i="59" s="1"/>
  <c r="F34" i="48"/>
  <c r="M33" i="48"/>
  <c r="L33" i="48"/>
  <c r="M33" i="59"/>
  <c r="K33" i="48"/>
  <c r="N33" i="48"/>
  <c r="H33" i="48"/>
  <c r="G33" i="48"/>
  <c r="F33" i="48"/>
  <c r="M32" i="48"/>
  <c r="N32" i="48"/>
  <c r="L32" i="48"/>
  <c r="M32" i="59"/>
  <c r="K32" i="48"/>
  <c r="H32" i="48"/>
  <c r="G32" i="48"/>
  <c r="G32" i="59"/>
  <c r="F32" i="48"/>
  <c r="M31" i="48"/>
  <c r="L31" i="48"/>
  <c r="M31" i="59"/>
  <c r="K31" i="48"/>
  <c r="H31" i="48"/>
  <c r="G31" i="48"/>
  <c r="G31" i="59"/>
  <c r="F31" i="48"/>
  <c r="D31" i="59"/>
  <c r="F31" i="59" s="1"/>
  <c r="M30" i="48"/>
  <c r="N30" i="48" s="1"/>
  <c r="L30" i="48"/>
  <c r="M30" i="59"/>
  <c r="K30" i="48"/>
  <c r="H30" i="48"/>
  <c r="I30" i="48" s="1"/>
  <c r="O30" i="48" s="1"/>
  <c r="G30" i="48"/>
  <c r="G30" i="59"/>
  <c r="F30" i="48"/>
  <c r="D30" i="59"/>
  <c r="F30" i="59" s="1"/>
  <c r="H30" i="59" s="1"/>
  <c r="M29" i="48"/>
  <c r="L29" i="48"/>
  <c r="K29" i="48"/>
  <c r="H29" i="48"/>
  <c r="G29" i="48"/>
  <c r="F29" i="48"/>
  <c r="M28" i="48"/>
  <c r="L28" i="48"/>
  <c r="M28" i="59" s="1"/>
  <c r="K28" i="48"/>
  <c r="H28" i="48"/>
  <c r="G28" i="48"/>
  <c r="G28" i="59" s="1"/>
  <c r="F28" i="48"/>
  <c r="M27" i="48"/>
  <c r="L27" i="48"/>
  <c r="M27" i="59" s="1"/>
  <c r="K27" i="48"/>
  <c r="H27" i="48"/>
  <c r="G27" i="48"/>
  <c r="F27" i="48"/>
  <c r="M26" i="48"/>
  <c r="L26" i="48"/>
  <c r="M26" i="59" s="1"/>
  <c r="K26" i="48"/>
  <c r="H26" i="48"/>
  <c r="G26" i="48"/>
  <c r="G26" i="59" s="1"/>
  <c r="F26" i="48"/>
  <c r="M25" i="48"/>
  <c r="L25" i="48"/>
  <c r="M25" i="59" s="1"/>
  <c r="K25" i="48"/>
  <c r="H25" i="48"/>
  <c r="G25" i="48"/>
  <c r="G25" i="59" s="1"/>
  <c r="H25" i="59" s="1"/>
  <c r="F25" i="48"/>
  <c r="D25" i="59" s="1"/>
  <c r="F25" i="59"/>
  <c r="M24" i="48"/>
  <c r="L24" i="48"/>
  <c r="M24" i="59" s="1"/>
  <c r="K24" i="48"/>
  <c r="H24" i="48"/>
  <c r="G24" i="48"/>
  <c r="G24" i="59" s="1"/>
  <c r="F24" i="48"/>
  <c r="M23" i="48"/>
  <c r="L23" i="48"/>
  <c r="K23" i="48"/>
  <c r="H23" i="48"/>
  <c r="G23" i="48"/>
  <c r="G23" i="59"/>
  <c r="F23" i="48"/>
  <c r="M22" i="48"/>
  <c r="L22" i="48"/>
  <c r="M22" i="59"/>
  <c r="K22" i="48"/>
  <c r="H22" i="48"/>
  <c r="G22" i="48"/>
  <c r="F22" i="48"/>
  <c r="M21" i="48"/>
  <c r="L21" i="48"/>
  <c r="K21" i="48"/>
  <c r="H21" i="48"/>
  <c r="G21" i="48"/>
  <c r="G21" i="59"/>
  <c r="F21" i="48"/>
  <c r="D21" i="59"/>
  <c r="F21" i="59" s="1"/>
  <c r="M20" i="48"/>
  <c r="N20" i="48" s="1"/>
  <c r="L20" i="48"/>
  <c r="M20" i="59"/>
  <c r="K20" i="48"/>
  <c r="H20" i="48"/>
  <c r="I20" i="48" s="1"/>
  <c r="G20" i="48"/>
  <c r="G20" i="59"/>
  <c r="F20" i="48"/>
  <c r="D20" i="59"/>
  <c r="F20" i="59" s="1"/>
  <c r="M19" i="48"/>
  <c r="L19" i="48"/>
  <c r="K19" i="48"/>
  <c r="H19" i="48"/>
  <c r="G19" i="48"/>
  <c r="F19" i="48"/>
  <c r="M18" i="48"/>
  <c r="L18" i="48"/>
  <c r="M18" i="59"/>
  <c r="K18" i="48"/>
  <c r="N18" i="48"/>
  <c r="H18" i="48"/>
  <c r="G18" i="48"/>
  <c r="F18" i="48"/>
  <c r="M17" i="48"/>
  <c r="L17" i="48"/>
  <c r="K17" i="48"/>
  <c r="H17" i="48"/>
  <c r="G17" i="48"/>
  <c r="F17" i="48"/>
  <c r="D17" i="59"/>
  <c r="F17" i="59" s="1"/>
  <c r="M16" i="48"/>
  <c r="L16" i="48"/>
  <c r="K16" i="48"/>
  <c r="K49" i="48" s="1"/>
  <c r="H16" i="48"/>
  <c r="G16" i="48"/>
  <c r="F16" i="48"/>
  <c r="D16" i="59"/>
  <c r="F16" i="59" s="1"/>
  <c r="O48" i="48"/>
  <c r="N47" i="48"/>
  <c r="I47" i="48"/>
  <c r="O47" i="48" s="1"/>
  <c r="M53" i="47"/>
  <c r="M52" i="47"/>
  <c r="M46" i="47"/>
  <c r="L46" i="47"/>
  <c r="K46" i="47"/>
  <c r="N46" i="47"/>
  <c r="H46" i="47"/>
  <c r="G46" i="47"/>
  <c r="F46" i="47"/>
  <c r="I46" i="47" s="1"/>
  <c r="O46" i="47" s="1"/>
  <c r="M45" i="47"/>
  <c r="L45" i="47"/>
  <c r="K45" i="47"/>
  <c r="H45" i="47"/>
  <c r="G45" i="47"/>
  <c r="F45" i="47"/>
  <c r="M44" i="47"/>
  <c r="L44" i="47"/>
  <c r="K44" i="47"/>
  <c r="H44" i="47"/>
  <c r="G44" i="47"/>
  <c r="G44" i="58" s="1"/>
  <c r="F44" i="47"/>
  <c r="M43" i="47"/>
  <c r="L43" i="47"/>
  <c r="K43" i="47"/>
  <c r="H43" i="47"/>
  <c r="I43" i="47" s="1"/>
  <c r="O43" i="47" s="1"/>
  <c r="G43" i="47"/>
  <c r="F43" i="47"/>
  <c r="D43" i="58" s="1"/>
  <c r="F43" i="58"/>
  <c r="M42" i="47"/>
  <c r="L42" i="47"/>
  <c r="M42" i="58" s="1"/>
  <c r="K42" i="47"/>
  <c r="H42" i="47"/>
  <c r="G42" i="47"/>
  <c r="G42" i="58" s="1"/>
  <c r="H42" i="58" s="1"/>
  <c r="F42" i="47"/>
  <c r="M41" i="47"/>
  <c r="L41" i="47"/>
  <c r="M41" i="58"/>
  <c r="K41" i="47"/>
  <c r="H41" i="47"/>
  <c r="G41" i="47"/>
  <c r="G41" i="58"/>
  <c r="F41" i="47"/>
  <c r="M40" i="47"/>
  <c r="L40" i="47"/>
  <c r="M40" i="58"/>
  <c r="K40" i="47"/>
  <c r="H40" i="47"/>
  <c r="G40" i="47"/>
  <c r="G40" i="58"/>
  <c r="F40" i="47"/>
  <c r="D40" i="58" s="1"/>
  <c r="F40" i="58"/>
  <c r="M39" i="47"/>
  <c r="L39" i="47"/>
  <c r="N39" i="47" s="1"/>
  <c r="O39" i="47" s="1"/>
  <c r="K39" i="47"/>
  <c r="H39" i="47"/>
  <c r="G39" i="47"/>
  <c r="G39" i="58"/>
  <c r="H39" i="58" s="1"/>
  <c r="F39" i="47"/>
  <c r="M38" i="47"/>
  <c r="L38" i="47"/>
  <c r="N38" i="47" s="1"/>
  <c r="K38" i="47"/>
  <c r="H38" i="47"/>
  <c r="G38" i="47"/>
  <c r="G38" i="58"/>
  <c r="H38" i="58" s="1"/>
  <c r="K38" i="58" s="1"/>
  <c r="F38" i="47"/>
  <c r="D38" i="58"/>
  <c r="F38" i="58" s="1"/>
  <c r="M37" i="47"/>
  <c r="N37" i="47" s="1"/>
  <c r="L37" i="47"/>
  <c r="K37" i="47"/>
  <c r="H37" i="47"/>
  <c r="I37" i="47"/>
  <c r="G37" i="47"/>
  <c r="G37" i="58" s="1"/>
  <c r="F37" i="47"/>
  <c r="D37" i="58" s="1"/>
  <c r="F37" i="58"/>
  <c r="M36" i="47"/>
  <c r="N36" i="47" s="1"/>
  <c r="O36" i="47" s="1"/>
  <c r="L36" i="47"/>
  <c r="K36" i="47"/>
  <c r="H36" i="47"/>
  <c r="G36" i="47"/>
  <c r="G36" i="58" s="1"/>
  <c r="H36" i="58" s="1"/>
  <c r="K36" i="58" s="1"/>
  <c r="F36" i="47"/>
  <c r="M35" i="47"/>
  <c r="L35" i="47"/>
  <c r="M35" i="58"/>
  <c r="K35" i="47"/>
  <c r="H35" i="47"/>
  <c r="G35" i="47"/>
  <c r="G35" i="58"/>
  <c r="F35" i="47"/>
  <c r="M34" i="47"/>
  <c r="L34" i="47"/>
  <c r="M34" i="58"/>
  <c r="K34" i="47"/>
  <c r="N34" i="47"/>
  <c r="H34" i="47"/>
  <c r="G34" i="47"/>
  <c r="G34" i="58" s="1"/>
  <c r="F34" i="47"/>
  <c r="D34" i="58"/>
  <c r="F34" i="58" s="1"/>
  <c r="M33" i="47"/>
  <c r="L33" i="47"/>
  <c r="K33" i="47"/>
  <c r="H33" i="47"/>
  <c r="G33" i="47"/>
  <c r="F33" i="47"/>
  <c r="D33" i="58"/>
  <c r="F33" i="58" s="1"/>
  <c r="M32" i="47"/>
  <c r="L32" i="47"/>
  <c r="K32" i="47"/>
  <c r="H32" i="47"/>
  <c r="G32" i="47"/>
  <c r="G32" i="58" s="1"/>
  <c r="F32" i="47"/>
  <c r="M31" i="47"/>
  <c r="L31" i="47"/>
  <c r="M31" i="58" s="1"/>
  <c r="K31" i="47"/>
  <c r="H31" i="47"/>
  <c r="G31" i="47"/>
  <c r="G31" i="58" s="1"/>
  <c r="F31" i="47"/>
  <c r="M30" i="47"/>
  <c r="L30" i="47"/>
  <c r="K30" i="47"/>
  <c r="N30" i="47" s="1"/>
  <c r="O30" i="47" s="1"/>
  <c r="H30" i="47"/>
  <c r="I30" i="47"/>
  <c r="G30" i="47"/>
  <c r="G30" i="58"/>
  <c r="F30" i="47"/>
  <c r="M29" i="47"/>
  <c r="L29" i="47"/>
  <c r="K29" i="47"/>
  <c r="H29" i="47"/>
  <c r="G29" i="47"/>
  <c r="F29" i="47"/>
  <c r="I29" i="47" s="1"/>
  <c r="M28" i="47"/>
  <c r="L28" i="47"/>
  <c r="K28" i="47"/>
  <c r="H28" i="47"/>
  <c r="G28" i="47"/>
  <c r="G28" i="58"/>
  <c r="F28" i="47"/>
  <c r="D28" i="58"/>
  <c r="F28" i="58" s="1"/>
  <c r="H28" i="58"/>
  <c r="M27" i="47"/>
  <c r="L27" i="47"/>
  <c r="K27" i="47"/>
  <c r="H27" i="47"/>
  <c r="G27" i="47"/>
  <c r="G27" i="58" s="1"/>
  <c r="F27" i="47"/>
  <c r="M26" i="47"/>
  <c r="L26" i="47"/>
  <c r="N26" i="47" s="1"/>
  <c r="K26" i="47"/>
  <c r="H26" i="47"/>
  <c r="G26" i="47"/>
  <c r="G26" i="58" s="1"/>
  <c r="F26" i="47"/>
  <c r="I26" i="47" s="1"/>
  <c r="O26" i="47" s="1"/>
  <c r="M25" i="47"/>
  <c r="L25" i="47"/>
  <c r="K25" i="47"/>
  <c r="N25" i="47" s="1"/>
  <c r="H25" i="47"/>
  <c r="G25" i="47"/>
  <c r="F25" i="47"/>
  <c r="M24" i="47"/>
  <c r="L24" i="47"/>
  <c r="M24" i="58" s="1"/>
  <c r="K24" i="47"/>
  <c r="H24" i="47"/>
  <c r="G24" i="47"/>
  <c r="G24" i="58" s="1"/>
  <c r="F24" i="47"/>
  <c r="D24" i="58" s="1"/>
  <c r="F24" i="58" s="1"/>
  <c r="H24" i="58" s="1"/>
  <c r="M23" i="47"/>
  <c r="L23" i="47"/>
  <c r="M23" i="58" s="1"/>
  <c r="K23" i="47"/>
  <c r="H23" i="47"/>
  <c r="G23" i="47"/>
  <c r="G23" i="58" s="1"/>
  <c r="F23" i="47"/>
  <c r="M22" i="47"/>
  <c r="L22" i="47"/>
  <c r="K22" i="47"/>
  <c r="H22" i="47"/>
  <c r="G22" i="47"/>
  <c r="G22" i="58"/>
  <c r="F22" i="47"/>
  <c r="M21" i="47"/>
  <c r="L21" i="47"/>
  <c r="M21" i="58"/>
  <c r="K21" i="47"/>
  <c r="H21" i="47"/>
  <c r="G21" i="47"/>
  <c r="G21" i="58"/>
  <c r="F21" i="47"/>
  <c r="D21" i="58" s="1"/>
  <c r="F21" i="58" s="1"/>
  <c r="H21" i="58" s="1"/>
  <c r="M20" i="47"/>
  <c r="L20" i="47"/>
  <c r="K20" i="47"/>
  <c r="H20" i="47"/>
  <c r="G20" i="47"/>
  <c r="G20" i="58"/>
  <c r="F20" i="47"/>
  <c r="M19" i="47"/>
  <c r="L19" i="47"/>
  <c r="M19" i="58"/>
  <c r="K19" i="47"/>
  <c r="H19" i="47"/>
  <c r="G19" i="47"/>
  <c r="G19" i="58"/>
  <c r="F19" i="47"/>
  <c r="M18" i="47"/>
  <c r="L18" i="47"/>
  <c r="K18" i="47"/>
  <c r="H18" i="47"/>
  <c r="G18" i="47"/>
  <c r="F18" i="47"/>
  <c r="M17" i="47"/>
  <c r="L17" i="47"/>
  <c r="K17" i="47"/>
  <c r="H17" i="47"/>
  <c r="G17" i="47"/>
  <c r="F17" i="47"/>
  <c r="M16" i="47"/>
  <c r="L16" i="47"/>
  <c r="K16" i="47"/>
  <c r="H16" i="47"/>
  <c r="G16" i="47"/>
  <c r="F16" i="47"/>
  <c r="D16" i="58" s="1"/>
  <c r="F16" i="58"/>
  <c r="O48" i="47"/>
  <c r="N47" i="47"/>
  <c r="I47" i="47"/>
  <c r="M17" i="46"/>
  <c r="M18" i="46"/>
  <c r="M19" i="46"/>
  <c r="M20" i="46"/>
  <c r="M21" i="46"/>
  <c r="M22" i="46"/>
  <c r="M23" i="46"/>
  <c r="M24" i="46"/>
  <c r="M25" i="46"/>
  <c r="M26" i="46"/>
  <c r="M27" i="46"/>
  <c r="M28" i="46"/>
  <c r="M29" i="46"/>
  <c r="M30" i="46"/>
  <c r="M31" i="46"/>
  <c r="M32" i="46"/>
  <c r="M33" i="46"/>
  <c r="M34" i="46"/>
  <c r="M35" i="46"/>
  <c r="M36" i="46"/>
  <c r="M37" i="46"/>
  <c r="M38" i="46"/>
  <c r="M39" i="46"/>
  <c r="M40" i="46"/>
  <c r="M41" i="46"/>
  <c r="M42" i="46"/>
  <c r="M43" i="46"/>
  <c r="M44" i="46"/>
  <c r="M45" i="46"/>
  <c r="M46" i="46"/>
  <c r="N47" i="46"/>
  <c r="M16" i="46"/>
  <c r="H17" i="46"/>
  <c r="H18" i="46"/>
  <c r="H19" i="46"/>
  <c r="H20" i="46"/>
  <c r="H21" i="46"/>
  <c r="H22" i="46"/>
  <c r="H23" i="46"/>
  <c r="H24" i="46"/>
  <c r="H25" i="46"/>
  <c r="I25" i="46" s="1"/>
  <c r="H26" i="46"/>
  <c r="H27" i="46"/>
  <c r="H28" i="46"/>
  <c r="H29" i="46"/>
  <c r="H30" i="46"/>
  <c r="H31" i="46"/>
  <c r="H32" i="46"/>
  <c r="H33" i="46"/>
  <c r="I33" i="46" s="1"/>
  <c r="H34" i="46"/>
  <c r="H35" i="46"/>
  <c r="H36" i="46"/>
  <c r="H37" i="46"/>
  <c r="H38" i="46"/>
  <c r="H39" i="46"/>
  <c r="H40" i="46"/>
  <c r="H41" i="46"/>
  <c r="I41" i="46" s="1"/>
  <c r="H42" i="46"/>
  <c r="H43" i="46"/>
  <c r="H44" i="46"/>
  <c r="H45" i="46"/>
  <c r="H46" i="46"/>
  <c r="H16" i="46"/>
  <c r="M53" i="46"/>
  <c r="M52" i="46"/>
  <c r="L46" i="46"/>
  <c r="M46" i="57" s="1"/>
  <c r="K46" i="46"/>
  <c r="G46" i="46"/>
  <c r="G46" i="57"/>
  <c r="F46" i="46"/>
  <c r="L45" i="46"/>
  <c r="M45" i="57" s="1"/>
  <c r="K45" i="46"/>
  <c r="G45" i="46"/>
  <c r="G45" i="57"/>
  <c r="F45" i="46"/>
  <c r="L44" i="46"/>
  <c r="K44" i="46"/>
  <c r="G44" i="46"/>
  <c r="F44" i="46"/>
  <c r="D44" i="57"/>
  <c r="F44" i="57" s="1"/>
  <c r="L43" i="46"/>
  <c r="K43" i="46"/>
  <c r="N43" i="46" s="1"/>
  <c r="G43" i="46"/>
  <c r="G43" i="57" s="1"/>
  <c r="F43" i="46"/>
  <c r="L42" i="46"/>
  <c r="M42" i="57"/>
  <c r="K42" i="46"/>
  <c r="G42" i="46"/>
  <c r="F42" i="46"/>
  <c r="D42" i="57"/>
  <c r="F42" i="57" s="1"/>
  <c r="L41" i="46"/>
  <c r="M41" i="57" s="1"/>
  <c r="K41" i="46"/>
  <c r="G41" i="46"/>
  <c r="F41" i="46"/>
  <c r="L40" i="46"/>
  <c r="M40" i="57" s="1"/>
  <c r="K40" i="46"/>
  <c r="N40" i="46" s="1"/>
  <c r="G40" i="46"/>
  <c r="G40" i="57"/>
  <c r="F40" i="46"/>
  <c r="L39" i="46"/>
  <c r="K39" i="46"/>
  <c r="G39" i="46"/>
  <c r="F39" i="46"/>
  <c r="D39" i="57"/>
  <c r="F39" i="57" s="1"/>
  <c r="L38" i="46"/>
  <c r="M38" i="57" s="1"/>
  <c r="K38" i="46"/>
  <c r="G38" i="46"/>
  <c r="G38" i="57"/>
  <c r="F38" i="46"/>
  <c r="L37" i="46"/>
  <c r="M37" i="57" s="1"/>
  <c r="K37" i="46"/>
  <c r="G37" i="46"/>
  <c r="G37" i="57"/>
  <c r="F37" i="46"/>
  <c r="L36" i="46"/>
  <c r="M36" i="57" s="1"/>
  <c r="K36" i="46"/>
  <c r="N36" i="46" s="1"/>
  <c r="G36" i="46"/>
  <c r="I36" i="46" s="1"/>
  <c r="F36" i="46"/>
  <c r="L35" i="46"/>
  <c r="K35" i="46"/>
  <c r="G35" i="46"/>
  <c r="G35" i="57" s="1"/>
  <c r="F35" i="46"/>
  <c r="L34" i="46"/>
  <c r="M34" i="57"/>
  <c r="K34" i="46"/>
  <c r="G34" i="46"/>
  <c r="G34" i="57" s="1"/>
  <c r="F34" i="46"/>
  <c r="D34" i="57"/>
  <c r="F34" i="57" s="1"/>
  <c r="H34" i="57"/>
  <c r="L33" i="46"/>
  <c r="K33" i="46"/>
  <c r="G33" i="46"/>
  <c r="G33" i="57"/>
  <c r="F33" i="46"/>
  <c r="D33" i="57"/>
  <c r="F33" i="57"/>
  <c r="L32" i="46"/>
  <c r="M32" i="57"/>
  <c r="K32" i="46"/>
  <c r="N32" i="46"/>
  <c r="O32" i="46" s="1"/>
  <c r="G32" i="46"/>
  <c r="F32" i="46"/>
  <c r="L31" i="46"/>
  <c r="M31" i="57"/>
  <c r="K31" i="46"/>
  <c r="G31" i="46"/>
  <c r="G31" i="57" s="1"/>
  <c r="F31" i="46"/>
  <c r="I31" i="46" s="1"/>
  <c r="L30" i="46"/>
  <c r="M30" i="57" s="1"/>
  <c r="K30" i="46"/>
  <c r="G30" i="46"/>
  <c r="G30" i="57"/>
  <c r="F30" i="46"/>
  <c r="L29" i="46"/>
  <c r="M29" i="57" s="1"/>
  <c r="K29" i="46"/>
  <c r="G29" i="46"/>
  <c r="G29" i="57" s="1"/>
  <c r="F29" i="46"/>
  <c r="D29" i="57" s="1"/>
  <c r="F29" i="57" s="1"/>
  <c r="H29" i="57" s="1"/>
  <c r="L28" i="46"/>
  <c r="M28" i="57"/>
  <c r="K28" i="46"/>
  <c r="G28" i="46"/>
  <c r="G28" i="57" s="1"/>
  <c r="F28" i="46"/>
  <c r="L27" i="46"/>
  <c r="K27" i="46"/>
  <c r="N27" i="46"/>
  <c r="G27" i="46"/>
  <c r="G27" i="57"/>
  <c r="F27" i="46"/>
  <c r="L26" i="46"/>
  <c r="K26" i="46"/>
  <c r="G26" i="46"/>
  <c r="G26" i="57"/>
  <c r="F26" i="46"/>
  <c r="D26" i="57" s="1"/>
  <c r="I26" i="46"/>
  <c r="F26" i="57"/>
  <c r="H26" i="57" s="1"/>
  <c r="L25" i="46"/>
  <c r="K25" i="46"/>
  <c r="G25" i="46"/>
  <c r="G25" i="57"/>
  <c r="F25" i="46"/>
  <c r="L24" i="46"/>
  <c r="K24" i="46"/>
  <c r="G24" i="46"/>
  <c r="G24" i="57"/>
  <c r="F24" i="46"/>
  <c r="D24" i="57"/>
  <c r="F24" i="57" s="1"/>
  <c r="H24" i="57" s="1"/>
  <c r="L23" i="46"/>
  <c r="K23" i="46"/>
  <c r="G23" i="46"/>
  <c r="I23" i="46" s="1"/>
  <c r="O23" i="46" s="1"/>
  <c r="F23" i="46"/>
  <c r="L22" i="46"/>
  <c r="N22" i="46" s="1"/>
  <c r="M22" i="57"/>
  <c r="K22" i="46"/>
  <c r="G22" i="46"/>
  <c r="F22" i="46"/>
  <c r="L21" i="46"/>
  <c r="K21" i="46"/>
  <c r="G21" i="46"/>
  <c r="F21" i="46"/>
  <c r="L20" i="46"/>
  <c r="K20" i="46"/>
  <c r="G20" i="46"/>
  <c r="G20" i="57" s="1"/>
  <c r="F20" i="46"/>
  <c r="D20" i="57" s="1"/>
  <c r="F20" i="57"/>
  <c r="L19" i="46"/>
  <c r="K19" i="46"/>
  <c r="G19" i="46"/>
  <c r="G19" i="57"/>
  <c r="F19" i="46"/>
  <c r="D19" i="57" s="1"/>
  <c r="F19" i="57" s="1"/>
  <c r="H19" i="57" s="1"/>
  <c r="L18" i="46"/>
  <c r="K18" i="46"/>
  <c r="K49" i="46" s="1"/>
  <c r="G18" i="46"/>
  <c r="G18" i="57"/>
  <c r="F18" i="46"/>
  <c r="L17" i="46"/>
  <c r="M17" i="57" s="1"/>
  <c r="K17" i="46"/>
  <c r="G17" i="46"/>
  <c r="F17" i="46"/>
  <c r="D17" i="57" s="1"/>
  <c r="F17" i="57"/>
  <c r="H17" i="57" s="1"/>
  <c r="L16" i="46"/>
  <c r="M16" i="57"/>
  <c r="K16" i="46"/>
  <c r="G16" i="46"/>
  <c r="F16" i="46"/>
  <c r="D16" i="57"/>
  <c r="F16" i="57" s="1"/>
  <c r="O48" i="46"/>
  <c r="I47" i="46"/>
  <c r="O47" i="46"/>
  <c r="M53" i="1"/>
  <c r="M52" i="1"/>
  <c r="O48" i="1"/>
  <c r="K17" i="1"/>
  <c r="L17" i="1"/>
  <c r="M17" i="7"/>
  <c r="M17" i="1"/>
  <c r="K18" i="1"/>
  <c r="N18" i="1" s="1"/>
  <c r="L18" i="1"/>
  <c r="M18" i="7"/>
  <c r="M18" i="1"/>
  <c r="K19" i="1"/>
  <c r="L19" i="1"/>
  <c r="M19" i="1"/>
  <c r="K20" i="1"/>
  <c r="N20" i="1"/>
  <c r="L20" i="1"/>
  <c r="M20" i="7"/>
  <c r="M20" i="1"/>
  <c r="K21" i="1"/>
  <c r="N21" i="1" s="1"/>
  <c r="L21" i="1"/>
  <c r="M21" i="7" s="1"/>
  <c r="M21" i="1"/>
  <c r="K22" i="1"/>
  <c r="N22" i="1"/>
  <c r="L22" i="1"/>
  <c r="M22" i="1"/>
  <c r="K23" i="1"/>
  <c r="N23" i="1"/>
  <c r="L23" i="1"/>
  <c r="M23" i="1"/>
  <c r="K24" i="1"/>
  <c r="N24" i="1"/>
  <c r="L24" i="1"/>
  <c r="M24" i="7"/>
  <c r="M24" i="1"/>
  <c r="K25" i="1"/>
  <c r="L25" i="1"/>
  <c r="M25" i="1"/>
  <c r="K26" i="1"/>
  <c r="L26" i="1"/>
  <c r="N26" i="1" s="1"/>
  <c r="M26" i="1"/>
  <c r="K27" i="1"/>
  <c r="L27" i="1"/>
  <c r="M27" i="7" s="1"/>
  <c r="M27" i="1"/>
  <c r="K28" i="1"/>
  <c r="L28" i="1"/>
  <c r="M28" i="7"/>
  <c r="M28" i="1"/>
  <c r="K29" i="1"/>
  <c r="L29" i="1"/>
  <c r="M29" i="7"/>
  <c r="M29" i="1"/>
  <c r="N29" i="1"/>
  <c r="K30" i="1"/>
  <c r="L30" i="1"/>
  <c r="M30" i="7" s="1"/>
  <c r="M30" i="1"/>
  <c r="K31" i="1"/>
  <c r="L31" i="1"/>
  <c r="M31" i="7" s="1"/>
  <c r="M31" i="1"/>
  <c r="K32" i="1"/>
  <c r="L32" i="1"/>
  <c r="M32" i="1"/>
  <c r="K33" i="1"/>
  <c r="N33" i="1" s="1"/>
  <c r="L33" i="1"/>
  <c r="M33" i="7" s="1"/>
  <c r="M33" i="1"/>
  <c r="K34" i="1"/>
  <c r="L34" i="1"/>
  <c r="M34" i="7" s="1"/>
  <c r="M34" i="1"/>
  <c r="K35" i="1"/>
  <c r="N35" i="1"/>
  <c r="L35" i="1"/>
  <c r="M35" i="7"/>
  <c r="M35" i="1"/>
  <c r="K36" i="1"/>
  <c r="L36" i="1"/>
  <c r="M36" i="7"/>
  <c r="M36" i="1"/>
  <c r="K37" i="1"/>
  <c r="L37" i="1"/>
  <c r="M37" i="7"/>
  <c r="M37" i="1"/>
  <c r="K38" i="1"/>
  <c r="L38" i="1"/>
  <c r="M38" i="7" s="1"/>
  <c r="M38" i="1"/>
  <c r="K39" i="1"/>
  <c r="L39" i="1"/>
  <c r="M39" i="1"/>
  <c r="N39" i="1"/>
  <c r="K40" i="1"/>
  <c r="L40" i="1"/>
  <c r="M40" i="7" s="1"/>
  <c r="M40" i="1"/>
  <c r="K41" i="1"/>
  <c r="L41" i="1"/>
  <c r="M41" i="7" s="1"/>
  <c r="M41" i="1"/>
  <c r="K42" i="1"/>
  <c r="N42" i="1" s="1"/>
  <c r="L42" i="1"/>
  <c r="M42" i="1"/>
  <c r="K43" i="1"/>
  <c r="N43" i="1"/>
  <c r="L43" i="1"/>
  <c r="M43" i="7"/>
  <c r="M43" i="1"/>
  <c r="K44" i="1"/>
  <c r="N44" i="1" s="1"/>
  <c r="L44" i="1"/>
  <c r="M44" i="7" s="1"/>
  <c r="M44" i="1"/>
  <c r="K45" i="1"/>
  <c r="N45" i="1"/>
  <c r="L45" i="1"/>
  <c r="M45" i="7"/>
  <c r="M45" i="1"/>
  <c r="K46" i="1"/>
  <c r="N46" i="1" s="1"/>
  <c r="L46" i="1"/>
  <c r="M46" i="1"/>
  <c r="N47" i="1"/>
  <c r="M16" i="1"/>
  <c r="L16" i="1"/>
  <c r="M16" i="7"/>
  <c r="K16" i="1"/>
  <c r="N16" i="1"/>
  <c r="H30" i="1"/>
  <c r="G17" i="1"/>
  <c r="G17" i="7" s="1"/>
  <c r="H17" i="1"/>
  <c r="G18" i="1"/>
  <c r="G18" i="7" s="1"/>
  <c r="H18" i="1"/>
  <c r="G19" i="1"/>
  <c r="H19" i="1"/>
  <c r="G20" i="1"/>
  <c r="G20" i="7"/>
  <c r="H20" i="1"/>
  <c r="G21" i="1"/>
  <c r="H21" i="1"/>
  <c r="G22" i="1"/>
  <c r="G22" i="7" s="1"/>
  <c r="H22" i="1"/>
  <c r="G23" i="1"/>
  <c r="G23" i="7"/>
  <c r="H23" i="1"/>
  <c r="G24" i="1"/>
  <c r="G24" i="7" s="1"/>
  <c r="H24" i="1"/>
  <c r="G25" i="1"/>
  <c r="G25" i="7"/>
  <c r="H25" i="1"/>
  <c r="I25" i="1"/>
  <c r="G26" i="1"/>
  <c r="G26" i="7"/>
  <c r="H26" i="1"/>
  <c r="G27" i="1"/>
  <c r="G27" i="7" s="1"/>
  <c r="H27" i="1"/>
  <c r="G28" i="1"/>
  <c r="H28" i="1"/>
  <c r="G29" i="1"/>
  <c r="H29" i="1"/>
  <c r="I29" i="1" s="1"/>
  <c r="G30" i="1"/>
  <c r="G31" i="1"/>
  <c r="H31" i="1"/>
  <c r="G32" i="1"/>
  <c r="G32" i="7" s="1"/>
  <c r="H32" i="1"/>
  <c r="G33" i="1"/>
  <c r="G33" i="7"/>
  <c r="H33" i="1"/>
  <c r="G34" i="1"/>
  <c r="H34" i="1"/>
  <c r="G35" i="1"/>
  <c r="H35" i="1"/>
  <c r="G36" i="1"/>
  <c r="H36" i="1"/>
  <c r="G37" i="1"/>
  <c r="H37" i="1"/>
  <c r="G38" i="1"/>
  <c r="H38" i="1"/>
  <c r="G39" i="1"/>
  <c r="G39" i="7"/>
  <c r="H39" i="1"/>
  <c r="G40" i="1"/>
  <c r="G40" i="7" s="1"/>
  <c r="H40" i="1"/>
  <c r="G41" i="1"/>
  <c r="G41" i="7"/>
  <c r="H41" i="7" s="1"/>
  <c r="K41" i="7" s="1"/>
  <c r="H41" i="1"/>
  <c r="G42" i="1"/>
  <c r="G42" i="7" s="1"/>
  <c r="H42" i="1"/>
  <c r="G43" i="1"/>
  <c r="G43" i="7"/>
  <c r="H43" i="1"/>
  <c r="G44" i="1"/>
  <c r="H44" i="1"/>
  <c r="G45" i="1"/>
  <c r="G45" i="7"/>
  <c r="H45" i="1"/>
  <c r="G46" i="1"/>
  <c r="G46" i="7" s="1"/>
  <c r="H46" i="1"/>
  <c r="I47" i="1"/>
  <c r="H16" i="1"/>
  <c r="H49" i="1" s="1"/>
  <c r="G16" i="1"/>
  <c r="G16" i="7" s="1"/>
  <c r="E20" i="1"/>
  <c r="I20" i="7" s="1"/>
  <c r="E29" i="1"/>
  <c r="E30" i="1"/>
  <c r="I30" i="7" s="1"/>
  <c r="J30" i="7" s="1"/>
  <c r="E31" i="1"/>
  <c r="I31" i="7" s="1"/>
  <c r="J31" i="7" s="1"/>
  <c r="E33" i="1"/>
  <c r="I33" i="7" s="1"/>
  <c r="J33" i="7" s="1"/>
  <c r="E36" i="1"/>
  <c r="I36" i="7" s="1"/>
  <c r="J36" i="7" s="1"/>
  <c r="E38" i="1"/>
  <c r="I38" i="7" s="1"/>
  <c r="J38" i="7" s="1"/>
  <c r="E45" i="1"/>
  <c r="I45" i="7" s="1"/>
  <c r="J45" i="7" s="1"/>
  <c r="E46" i="1"/>
  <c r="I46" i="7" s="1"/>
  <c r="E16" i="1"/>
  <c r="E40" i="38"/>
  <c r="E36" i="46" s="1"/>
  <c r="I36" i="57" s="1"/>
  <c r="J36" i="57" s="1"/>
  <c r="E37" i="38"/>
  <c r="E38" i="38"/>
  <c r="E34" i="1" s="1"/>
  <c r="I34" i="7" s="1"/>
  <c r="E39" i="38"/>
  <c r="E36" i="38"/>
  <c r="E23" i="38"/>
  <c r="E23" i="49" s="1"/>
  <c r="I23" i="60" s="1"/>
  <c r="J23" i="60" s="1"/>
  <c r="E24" i="38"/>
  <c r="E25" i="38"/>
  <c r="E26" i="38"/>
  <c r="E26" i="50" s="1"/>
  <c r="I26" i="61" s="1"/>
  <c r="K26" i="61" s="1"/>
  <c r="E27" i="38"/>
  <c r="E27" i="50" s="1"/>
  <c r="I27" i="61" s="1"/>
  <c r="J27" i="61" s="1"/>
  <c r="E28" i="38"/>
  <c r="E22" i="38"/>
  <c r="E20" i="38"/>
  <c r="F17" i="1"/>
  <c r="F18" i="1"/>
  <c r="F19" i="1"/>
  <c r="F20" i="1"/>
  <c r="D20" i="7" s="1"/>
  <c r="F20" i="7" s="1"/>
  <c r="H20" i="7" s="1"/>
  <c r="K20" i="7" s="1"/>
  <c r="I20" i="1"/>
  <c r="F21" i="1"/>
  <c r="D21" i="7"/>
  <c r="F21" i="7" s="1"/>
  <c r="F22" i="1"/>
  <c r="F23" i="1"/>
  <c r="F24" i="1"/>
  <c r="D24" i="7" s="1"/>
  <c r="F24" i="7" s="1"/>
  <c r="H24" i="7" s="1"/>
  <c r="K24" i="7" s="1"/>
  <c r="F25" i="1"/>
  <c r="F26" i="1"/>
  <c r="F27" i="1"/>
  <c r="I27" i="1"/>
  <c r="F28" i="1"/>
  <c r="D28" i="7"/>
  <c r="F28" i="7" s="1"/>
  <c r="F29" i="1"/>
  <c r="F30" i="1"/>
  <c r="D30" i="7"/>
  <c r="F30" i="7" s="1"/>
  <c r="F31" i="1"/>
  <c r="F32" i="1"/>
  <c r="F33" i="1"/>
  <c r="F34" i="1"/>
  <c r="D34" i="7"/>
  <c r="F34" i="7" s="1"/>
  <c r="F35" i="1"/>
  <c r="D35" i="7" s="1"/>
  <c r="F35" i="7"/>
  <c r="F36" i="1"/>
  <c r="D36" i="7"/>
  <c r="F36" i="7"/>
  <c r="F37" i="1"/>
  <c r="F38" i="1"/>
  <c r="D38" i="7" s="1"/>
  <c r="F38" i="7"/>
  <c r="H38" i="7" s="1"/>
  <c r="F39" i="1"/>
  <c r="I39" i="1"/>
  <c r="F40" i="1"/>
  <c r="F41" i="1"/>
  <c r="D41" i="7"/>
  <c r="F41" i="7" s="1"/>
  <c r="F42" i="1"/>
  <c r="D42" i="7" s="1"/>
  <c r="F43" i="1"/>
  <c r="D43" i="7"/>
  <c r="F43" i="7" s="1"/>
  <c r="H43" i="7"/>
  <c r="F44" i="1"/>
  <c r="D44" i="7"/>
  <c r="F44" i="7" s="1"/>
  <c r="F45" i="1"/>
  <c r="D45" i="7"/>
  <c r="F45" i="7" s="1"/>
  <c r="F46" i="1"/>
  <c r="D46" i="7" s="1"/>
  <c r="F46" i="7" s="1"/>
  <c r="H46" i="7" s="1"/>
  <c r="K46" i="7" s="1"/>
  <c r="F16" i="1"/>
  <c r="D16" i="7"/>
  <c r="F16" i="7" s="1"/>
  <c r="H16" i="7"/>
  <c r="J57" i="14"/>
  <c r="I57" i="14"/>
  <c r="H57" i="14"/>
  <c r="G57" i="14"/>
  <c r="F57" i="14"/>
  <c r="E57" i="14"/>
  <c r="G75" i="5"/>
  <c r="G74" i="5"/>
  <c r="I72" i="5"/>
  <c r="H72" i="5"/>
  <c r="G72" i="5"/>
  <c r="F72" i="5"/>
  <c r="E72" i="5"/>
  <c r="D72" i="5"/>
  <c r="C72" i="5"/>
  <c r="I66" i="5"/>
  <c r="H66" i="5"/>
  <c r="G66" i="5"/>
  <c r="F66" i="5"/>
  <c r="E66" i="5"/>
  <c r="D66" i="5"/>
  <c r="C66" i="5"/>
  <c r="I60" i="5"/>
  <c r="H60" i="5"/>
  <c r="G60" i="5"/>
  <c r="F60" i="5"/>
  <c r="E60" i="5"/>
  <c r="D60" i="5"/>
  <c r="C60" i="5"/>
  <c r="G51" i="5"/>
  <c r="I53" i="5"/>
  <c r="H53" i="5"/>
  <c r="G53" i="5"/>
  <c r="F53" i="5"/>
  <c r="E53" i="5"/>
  <c r="D53" i="5"/>
  <c r="I52" i="5"/>
  <c r="H52" i="5"/>
  <c r="G52" i="5"/>
  <c r="F52" i="5"/>
  <c r="E52" i="5"/>
  <c r="D52" i="5"/>
  <c r="G50" i="5"/>
  <c r="C53" i="5"/>
  <c r="C52" i="5"/>
  <c r="I46" i="5"/>
  <c r="I76" i="5" s="1"/>
  <c r="H46" i="5"/>
  <c r="H76" i="5" s="1"/>
  <c r="G46" i="5"/>
  <c r="G76" i="5" s="1"/>
  <c r="F46" i="5"/>
  <c r="F76" i="5" s="1"/>
  <c r="E46" i="5"/>
  <c r="E76" i="5" s="1"/>
  <c r="D46" i="5"/>
  <c r="D76" i="5" s="1"/>
  <c r="C46" i="5"/>
  <c r="C76" i="5" s="1"/>
  <c r="G42" i="5"/>
  <c r="I47" i="5"/>
  <c r="I77" i="5"/>
  <c r="H47" i="5"/>
  <c r="H77" i="5"/>
  <c r="G47" i="5"/>
  <c r="G77" i="5" s="1"/>
  <c r="F47" i="5"/>
  <c r="F77" i="5"/>
  <c r="E47" i="5"/>
  <c r="E77" i="5"/>
  <c r="D47" i="5"/>
  <c r="D77" i="5"/>
  <c r="C47" i="5"/>
  <c r="C77" i="5" s="1"/>
  <c r="G36" i="5"/>
  <c r="G30" i="5"/>
  <c r="G24" i="5"/>
  <c r="G18" i="5"/>
  <c r="I17" i="20"/>
  <c r="I18" i="20" s="1"/>
  <c r="I48" i="45"/>
  <c r="F30" i="25"/>
  <c r="O36" i="29"/>
  <c r="I37" i="9"/>
  <c r="M37" i="9"/>
  <c r="M38" i="9" s="1"/>
  <c r="J35" i="9"/>
  <c r="Q35" i="9"/>
  <c r="N35" i="9"/>
  <c r="J34" i="9"/>
  <c r="Q34" i="9" s="1"/>
  <c r="N34" i="9"/>
  <c r="J33" i="9"/>
  <c r="N33" i="9"/>
  <c r="P33" i="9" s="1"/>
  <c r="J32" i="9"/>
  <c r="Q32" i="9"/>
  <c r="N32" i="9"/>
  <c r="I25" i="9"/>
  <c r="M25" i="9"/>
  <c r="M26" i="9"/>
  <c r="M27" i="9" s="1"/>
  <c r="M28" i="9"/>
  <c r="N25" i="9"/>
  <c r="J24" i="9"/>
  <c r="Q24" i="9"/>
  <c r="N24" i="9"/>
  <c r="J23" i="9"/>
  <c r="N23" i="9"/>
  <c r="J22" i="9"/>
  <c r="N22" i="9"/>
  <c r="J21" i="9"/>
  <c r="N21" i="9"/>
  <c r="J47" i="7"/>
  <c r="K47" i="7"/>
  <c r="J48" i="7"/>
  <c r="K48" i="7"/>
  <c r="F48" i="7"/>
  <c r="H48" i="7"/>
  <c r="F47" i="7"/>
  <c r="H47" i="7"/>
  <c r="C42" i="5"/>
  <c r="G19" i="23"/>
  <c r="I19" i="23" s="1"/>
  <c r="G18" i="23"/>
  <c r="I18" i="23" s="1"/>
  <c r="G17" i="23"/>
  <c r="I17" i="23" s="1"/>
  <c r="G16" i="23"/>
  <c r="I16" i="23" s="1"/>
  <c r="G15" i="23"/>
  <c r="I15" i="23" s="1"/>
  <c r="G14" i="23"/>
  <c r="I14" i="23" s="1"/>
  <c r="K16" i="7"/>
  <c r="K18" i="7"/>
  <c r="K21" i="7"/>
  <c r="K32" i="7"/>
  <c r="K40" i="7"/>
  <c r="K42" i="7"/>
  <c r="K44" i="7"/>
  <c r="E49" i="7"/>
  <c r="J44" i="7"/>
  <c r="J42" i="7"/>
  <c r="J40" i="7"/>
  <c r="J39" i="7"/>
  <c r="J37" i="7"/>
  <c r="J32" i="7"/>
  <c r="J21" i="7"/>
  <c r="J16" i="7"/>
  <c r="E24" i="5"/>
  <c r="D24" i="5"/>
  <c r="E18" i="5"/>
  <c r="G17" i="20" s="1"/>
  <c r="D18" i="5"/>
  <c r="F17" i="20" s="1"/>
  <c r="E44" i="5"/>
  <c r="E45" i="5"/>
  <c r="E30" i="5"/>
  <c r="E54" i="5" s="1"/>
  <c r="E36" i="5"/>
  <c r="E42" i="5"/>
  <c r="D44" i="5"/>
  <c r="D74" i="5"/>
  <c r="D78" i="5" s="1"/>
  <c r="D45" i="5"/>
  <c r="D75" i="5"/>
  <c r="D30" i="5"/>
  <c r="D36" i="5"/>
  <c r="D48" i="5" s="1"/>
  <c r="D54" i="5" s="1"/>
  <c r="D42" i="5"/>
  <c r="B50" i="25"/>
  <c r="B45" i="25"/>
  <c r="B42" i="25"/>
  <c r="B39" i="25"/>
  <c r="B37" i="25"/>
  <c r="B34" i="25"/>
  <c r="B58" i="22"/>
  <c r="B100" i="22" s="1"/>
  <c r="B129" i="22"/>
  <c r="G128" i="22"/>
  <c r="B57" i="22"/>
  <c r="B99" i="22" s="1"/>
  <c r="B128" i="22" s="1"/>
  <c r="G127" i="22"/>
  <c r="B56" i="22"/>
  <c r="B98" i="22" s="1"/>
  <c r="B127" i="22"/>
  <c r="G126" i="22"/>
  <c r="B55" i="22"/>
  <c r="B97" i="22" s="1"/>
  <c r="B126" i="22"/>
  <c r="G125" i="22"/>
  <c r="G124" i="22"/>
  <c r="B53" i="22"/>
  <c r="B95" i="22"/>
  <c r="B124" i="22" s="1"/>
  <c r="G123" i="22"/>
  <c r="B52" i="22"/>
  <c r="B94" i="22"/>
  <c r="B123" i="22" s="1"/>
  <c r="B31" i="15"/>
  <c r="B29" i="15"/>
  <c r="B26" i="15"/>
  <c r="E99" i="17"/>
  <c r="E102" i="17"/>
  <c r="B59" i="22"/>
  <c r="G103" i="17"/>
  <c r="G102" i="17"/>
  <c r="F103" i="17"/>
  <c r="F102" i="17"/>
  <c r="D75" i="17"/>
  <c r="D65" i="17"/>
  <c r="D55" i="17"/>
  <c r="I26" i="21"/>
  <c r="I22" i="21"/>
  <c r="I19" i="21"/>
  <c r="L26" i="12"/>
  <c r="L27" i="12"/>
  <c r="O27" i="12" s="1"/>
  <c r="K26" i="12"/>
  <c r="M26" i="12"/>
  <c r="K27" i="12"/>
  <c r="M27" i="12"/>
  <c r="O25" i="12"/>
  <c r="O24" i="12"/>
  <c r="O23" i="12"/>
  <c r="O22" i="12"/>
  <c r="O21" i="12"/>
  <c r="O20" i="12"/>
  <c r="O19" i="12"/>
  <c r="O18" i="12"/>
  <c r="O17" i="12"/>
  <c r="O16" i="12"/>
  <c r="O15" i="12"/>
  <c r="M25" i="12"/>
  <c r="M23" i="12"/>
  <c r="M22" i="12"/>
  <c r="M21" i="12"/>
  <c r="M20" i="12"/>
  <c r="M19" i="12"/>
  <c r="M18" i="12"/>
  <c r="M16" i="12"/>
  <c r="N26" i="12"/>
  <c r="N28" i="12" s="1"/>
  <c r="N27" i="12"/>
  <c r="G26" i="12"/>
  <c r="G27" i="12"/>
  <c r="E27" i="12"/>
  <c r="E28" i="12" s="1"/>
  <c r="E26" i="12"/>
  <c r="C22" i="15"/>
  <c r="D14" i="15" s="1"/>
  <c r="D22" i="15"/>
  <c r="E14" i="15" s="1"/>
  <c r="E22" i="15"/>
  <c r="F14" i="15" s="1"/>
  <c r="F22" i="15" s="1"/>
  <c r="G14" i="15" s="1"/>
  <c r="G22" i="15" s="1"/>
  <c r="H14" i="15" s="1"/>
  <c r="H22" i="15" s="1"/>
  <c r="I14" i="15" s="1"/>
  <c r="I22" i="15" s="1"/>
  <c r="H40" i="16"/>
  <c r="H61" i="16"/>
  <c r="H72" i="16" s="1"/>
  <c r="H84" i="16" s="1"/>
  <c r="D40" i="16"/>
  <c r="D61" i="16"/>
  <c r="D72" i="16" s="1"/>
  <c r="D84" i="16" s="1"/>
  <c r="J40" i="16"/>
  <c r="J61" i="16"/>
  <c r="J72" i="16" s="1"/>
  <c r="J84" i="16" s="1"/>
  <c r="I40" i="16"/>
  <c r="I61" i="16"/>
  <c r="I72" i="16" s="1"/>
  <c r="I84" i="16" s="1"/>
  <c r="E40" i="16"/>
  <c r="E61" i="16"/>
  <c r="E72" i="16" s="1"/>
  <c r="E84" i="16" s="1"/>
  <c r="D57" i="14"/>
  <c r="M17" i="29"/>
  <c r="M18" i="29"/>
  <c r="M19" i="29"/>
  <c r="B23" i="29"/>
  <c r="B30" i="29"/>
  <c r="B25" i="29"/>
  <c r="M25" i="29"/>
  <c r="J32" i="29"/>
  <c r="H32" i="29"/>
  <c r="B26" i="29"/>
  <c r="M26" i="29"/>
  <c r="J33" i="29" s="1"/>
  <c r="B27" i="29"/>
  <c r="B34" i="29"/>
  <c r="M27" i="29"/>
  <c r="B32" i="29"/>
  <c r="D47" i="29"/>
  <c r="D49" i="29" s="1"/>
  <c r="J41" i="29"/>
  <c r="B33" i="29"/>
  <c r="J43" i="9"/>
  <c r="J46" i="9"/>
  <c r="J47" i="9"/>
  <c r="Q47" i="9"/>
  <c r="N43" i="9"/>
  <c r="N46" i="9"/>
  <c r="P46" i="9" s="1"/>
  <c r="N47" i="9"/>
  <c r="P47" i="9" s="1"/>
  <c r="I42" i="5"/>
  <c r="I48" i="5"/>
  <c r="H42" i="5"/>
  <c r="F42" i="5"/>
  <c r="I36" i="5"/>
  <c r="H36" i="5"/>
  <c r="H48" i="5"/>
  <c r="H54" i="5" s="1"/>
  <c r="F36" i="5"/>
  <c r="F48" i="5" s="1"/>
  <c r="C36" i="5"/>
  <c r="C48" i="5" s="1"/>
  <c r="C54" i="5" s="1"/>
  <c r="I30" i="5"/>
  <c r="I54" i="5"/>
  <c r="H30" i="5"/>
  <c r="F30" i="5"/>
  <c r="F54" i="5" s="1"/>
  <c r="C30" i="5"/>
  <c r="I24" i="5"/>
  <c r="H24" i="5"/>
  <c r="F24" i="5"/>
  <c r="C24" i="5"/>
  <c r="F18" i="5"/>
  <c r="H17" i="20"/>
  <c r="H18" i="5"/>
  <c r="J17" i="20" s="1"/>
  <c r="I18" i="5"/>
  <c r="K17" i="20"/>
  <c r="C18" i="5"/>
  <c r="E17" i="20" s="1"/>
  <c r="E18" i="20" s="1"/>
  <c r="F44" i="5"/>
  <c r="F50" i="5"/>
  <c r="H44" i="5"/>
  <c r="H74" i="5" s="1"/>
  <c r="I44" i="5"/>
  <c r="I50" i="5" s="1"/>
  <c r="F45" i="5"/>
  <c r="H45" i="5"/>
  <c r="H51" i="5" s="1"/>
  <c r="H75" i="5"/>
  <c r="I45" i="5"/>
  <c r="I75" i="5" s="1"/>
  <c r="C45" i="5"/>
  <c r="C51" i="5"/>
  <c r="C75" i="5"/>
  <c r="C44" i="5"/>
  <c r="C74" i="5"/>
  <c r="C78" i="5" s="1"/>
  <c r="N26" i="9"/>
  <c r="N27" i="9"/>
  <c r="E48" i="5"/>
  <c r="I51" i="5"/>
  <c r="C50" i="5"/>
  <c r="C80" i="5"/>
  <c r="D51" i="5"/>
  <c r="D50" i="5"/>
  <c r="F74" i="5"/>
  <c r="F78" i="5" s="1"/>
  <c r="Q46" i="9"/>
  <c r="H50" i="5"/>
  <c r="H80" i="5" s="1"/>
  <c r="P24" i="9"/>
  <c r="O48" i="45"/>
  <c r="G14" i="20"/>
  <c r="H14" i="20"/>
  <c r="H18" i="20"/>
  <c r="E14" i="20"/>
  <c r="F14" i="20"/>
  <c r="F18" i="20"/>
  <c r="J14" i="20"/>
  <c r="I14" i="20"/>
  <c r="K14" i="20"/>
  <c r="K18" i="20"/>
  <c r="G28" i="12"/>
  <c r="K28" i="12"/>
  <c r="M28" i="12"/>
  <c r="I74" i="5"/>
  <c r="I78" i="5" s="1"/>
  <c r="H33" i="29"/>
  <c r="E75" i="5"/>
  <c r="E78" i="5" s="1"/>
  <c r="E51" i="5"/>
  <c r="Q33" i="9"/>
  <c r="E22" i="49"/>
  <c r="I22" i="60" s="1"/>
  <c r="E22" i="46"/>
  <c r="I22" i="57" s="1"/>
  <c r="J22" i="57" s="1"/>
  <c r="E22" i="50"/>
  <c r="I22" i="61" s="1"/>
  <c r="J22" i="61" s="1"/>
  <c r="E22" i="48"/>
  <c r="I22" i="59" s="1"/>
  <c r="J22" i="59" s="1"/>
  <c r="E22" i="1"/>
  <c r="I22" i="7" s="1"/>
  <c r="E22" i="45"/>
  <c r="I22" i="62" s="1"/>
  <c r="J22" i="62"/>
  <c r="E22" i="47"/>
  <c r="I22" i="58" s="1"/>
  <c r="J22" i="58" s="1"/>
  <c r="E25" i="50"/>
  <c r="I25" i="61" s="1"/>
  <c r="J25" i="61" s="1"/>
  <c r="E25" i="49"/>
  <c r="I25" i="60" s="1"/>
  <c r="J25" i="60" s="1"/>
  <c r="E25" i="48"/>
  <c r="I25" i="59" s="1"/>
  <c r="K25" i="59" s="1"/>
  <c r="E25" i="47"/>
  <c r="I25" i="58" s="1"/>
  <c r="J25" i="58" s="1"/>
  <c r="E25" i="46"/>
  <c r="I25" i="57" s="1"/>
  <c r="J25" i="57" s="1"/>
  <c r="E25" i="45"/>
  <c r="I25" i="62" s="1"/>
  <c r="E25" i="1"/>
  <c r="I25" i="7" s="1"/>
  <c r="E35" i="49"/>
  <c r="I35" i="60" s="1"/>
  <c r="J35" i="60" s="1"/>
  <c r="E35" i="46"/>
  <c r="I35" i="57" s="1"/>
  <c r="J35" i="57" s="1"/>
  <c r="E35" i="47"/>
  <c r="I35" i="58" s="1"/>
  <c r="E35" i="1"/>
  <c r="I35" i="7" s="1"/>
  <c r="J35" i="7" s="1"/>
  <c r="E35" i="50"/>
  <c r="I35" i="61" s="1"/>
  <c r="J35" i="61" s="1"/>
  <c r="E35" i="48"/>
  <c r="I35" i="59" s="1"/>
  <c r="J35" i="59" s="1"/>
  <c r="J34" i="29"/>
  <c r="H34" i="29"/>
  <c r="Q21" i="9"/>
  <c r="P21" i="9"/>
  <c r="Q23" i="9"/>
  <c r="P23" i="9"/>
  <c r="N37" i="9"/>
  <c r="E27" i="47"/>
  <c r="I27" i="58" s="1"/>
  <c r="J27" i="58" s="1"/>
  <c r="E23" i="45"/>
  <c r="I23" i="62" s="1"/>
  <c r="E23" i="50"/>
  <c r="I23" i="61" s="1"/>
  <c r="E23" i="1"/>
  <c r="I23" i="7" s="1"/>
  <c r="J23" i="7" s="1"/>
  <c r="E27" i="49"/>
  <c r="I27" i="60" s="1"/>
  <c r="J27" i="60" s="1"/>
  <c r="H81" i="5"/>
  <c r="F75" i="5"/>
  <c r="F51" i="5"/>
  <c r="F80" i="5" s="1"/>
  <c r="E42" i="45"/>
  <c r="I42" i="62" s="1"/>
  <c r="P22" i="9"/>
  <c r="P35" i="9"/>
  <c r="G80" i="5"/>
  <c r="E50" i="5"/>
  <c r="E80" i="5" s="1"/>
  <c r="E74" i="5"/>
  <c r="P32" i="9"/>
  <c r="P34" i="9"/>
  <c r="E20" i="45"/>
  <c r="I20" i="62" s="1"/>
  <c r="E20" i="50"/>
  <c r="I20" i="61" s="1"/>
  <c r="J20" i="61" s="1"/>
  <c r="E20" i="49"/>
  <c r="I20" i="60" s="1"/>
  <c r="E20" i="48"/>
  <c r="I20" i="59" s="1"/>
  <c r="E20" i="47"/>
  <c r="E20" i="46"/>
  <c r="I20" i="57" s="1"/>
  <c r="J20" i="57" s="1"/>
  <c r="E26" i="49"/>
  <c r="I26" i="60" s="1"/>
  <c r="E26" i="46"/>
  <c r="I26" i="57" s="1"/>
  <c r="E36" i="50"/>
  <c r="I36" i="61" s="1"/>
  <c r="E36" i="48"/>
  <c r="I36" i="59" s="1"/>
  <c r="E26" i="1"/>
  <c r="I26" i="7" s="1"/>
  <c r="J26" i="7" s="1"/>
  <c r="E26" i="47"/>
  <c r="I26" i="58" s="1"/>
  <c r="E36" i="47"/>
  <c r="I36" i="58" s="1"/>
  <c r="J36" i="58" s="1"/>
  <c r="E36" i="49"/>
  <c r="I36" i="60" s="1"/>
  <c r="J36" i="60" s="1"/>
  <c r="E26" i="45"/>
  <c r="I26" i="62" s="1"/>
  <c r="E37" i="45"/>
  <c r="I37" i="62" s="1"/>
  <c r="J37" i="62" s="1"/>
  <c r="E28" i="45"/>
  <c r="E28" i="50"/>
  <c r="I28" i="61" s="1"/>
  <c r="J28" i="61" s="1"/>
  <c r="E28" i="49"/>
  <c r="I28" i="60" s="1"/>
  <c r="J28" i="60" s="1"/>
  <c r="E28" i="48"/>
  <c r="I28" i="59" s="1"/>
  <c r="E28" i="47"/>
  <c r="I28" i="58" s="1"/>
  <c r="E28" i="46"/>
  <c r="I28" i="57" s="1"/>
  <c r="J28" i="57" s="1"/>
  <c r="E28" i="1"/>
  <c r="I28" i="7" s="1"/>
  <c r="J28" i="7" s="1"/>
  <c r="E24" i="45"/>
  <c r="I24" i="62" s="1"/>
  <c r="E24" i="50"/>
  <c r="I24" i="61" s="1"/>
  <c r="J24" i="61" s="1"/>
  <c r="E24" i="49"/>
  <c r="I24" i="60" s="1"/>
  <c r="K24" i="60" s="1"/>
  <c r="E24" i="48"/>
  <c r="I24" i="59" s="1"/>
  <c r="J24" i="59" s="1"/>
  <c r="E24" i="47"/>
  <c r="I24" i="58" s="1"/>
  <c r="E24" i="46"/>
  <c r="I24" i="57" s="1"/>
  <c r="E34" i="50"/>
  <c r="I34" i="61" s="1"/>
  <c r="J34" i="61" s="1"/>
  <c r="E34" i="49"/>
  <c r="I34" i="60" s="1"/>
  <c r="E34" i="48"/>
  <c r="I34" i="59" s="1"/>
  <c r="E34" i="47"/>
  <c r="I34" i="58" s="1"/>
  <c r="J34" i="58" s="1"/>
  <c r="E34" i="46"/>
  <c r="E24" i="1"/>
  <c r="I24" i="7" s="1"/>
  <c r="J24" i="7" s="1"/>
  <c r="E81" i="5"/>
  <c r="F81" i="5"/>
  <c r="M41" i="9"/>
  <c r="N41" i="9" s="1"/>
  <c r="G81" i="5"/>
  <c r="G82" i="5"/>
  <c r="M44" i="9"/>
  <c r="E50" i="62"/>
  <c r="G17" i="62"/>
  <c r="J31" i="60"/>
  <c r="K29" i="7"/>
  <c r="J17" i="7"/>
  <c r="J19" i="7"/>
  <c r="H36" i="31"/>
  <c r="H23" i="31"/>
  <c r="J55" i="31"/>
  <c r="D40" i="7"/>
  <c r="F40" i="7"/>
  <c r="H40" i="7" s="1"/>
  <c r="M42" i="62"/>
  <c r="G31" i="60"/>
  <c r="D22" i="57"/>
  <c r="F22" i="57"/>
  <c r="D41" i="57"/>
  <c r="F41" i="57" s="1"/>
  <c r="H41" i="57" s="1"/>
  <c r="K41" i="57"/>
  <c r="M46" i="58"/>
  <c r="D42" i="60"/>
  <c r="F42" i="60"/>
  <c r="G18" i="58"/>
  <c r="D46" i="59"/>
  <c r="F46" i="59"/>
  <c r="H46" i="59" s="1"/>
  <c r="K46" i="59" s="1"/>
  <c r="D43" i="61"/>
  <c r="F43" i="61" s="1"/>
  <c r="D32" i="57"/>
  <c r="F32" i="57" s="1"/>
  <c r="H32" i="57" s="1"/>
  <c r="H45" i="59"/>
  <c r="M21" i="61"/>
  <c r="M27" i="58"/>
  <c r="D29" i="58"/>
  <c r="F29" i="58" s="1"/>
  <c r="H29" i="58" s="1"/>
  <c r="G20" i="60"/>
  <c r="G19" i="60"/>
  <c r="D29" i="7"/>
  <c r="F29" i="7" s="1"/>
  <c r="D19" i="7"/>
  <c r="F19" i="7"/>
  <c r="D36" i="57"/>
  <c r="F36" i="57" s="1"/>
  <c r="H36" i="57" s="1"/>
  <c r="K36" i="57" s="1"/>
  <c r="D38" i="61"/>
  <c r="F38" i="61"/>
  <c r="H38" i="61"/>
  <c r="K38" i="61" s="1"/>
  <c r="G35" i="61"/>
  <c r="M40" i="61"/>
  <c r="G69" i="31"/>
  <c r="D25" i="58"/>
  <c r="F25" i="58" s="1"/>
  <c r="G17" i="60"/>
  <c r="D29" i="60"/>
  <c r="F29" i="60"/>
  <c r="H29" i="60" s="1"/>
  <c r="D44" i="60"/>
  <c r="F44" i="60"/>
  <c r="H44" i="60" s="1"/>
  <c r="J46" i="58"/>
  <c r="M17" i="59"/>
  <c r="G32" i="57"/>
  <c r="I32" i="46"/>
  <c r="M16" i="62"/>
  <c r="G26" i="60"/>
  <c r="I29" i="50"/>
  <c r="D39" i="58"/>
  <c r="F39" i="58"/>
  <c r="G18" i="59"/>
  <c r="M39" i="59"/>
  <c r="N30" i="49"/>
  <c r="D27" i="62"/>
  <c r="F27" i="62"/>
  <c r="H27" i="62" s="1"/>
  <c r="M44" i="62"/>
  <c r="H81" i="31"/>
  <c r="G36" i="31"/>
  <c r="H88" i="31"/>
  <c r="D35" i="59"/>
  <c r="F35" i="59" s="1"/>
  <c r="H35" i="59" s="1"/>
  <c r="K35" i="59" s="1"/>
  <c r="D43" i="60"/>
  <c r="F43" i="60"/>
  <c r="M37" i="58"/>
  <c r="G46" i="58"/>
  <c r="M36" i="59"/>
  <c r="G41" i="59"/>
  <c r="D36" i="60"/>
  <c r="F36" i="60" s="1"/>
  <c r="H36" i="60" s="1"/>
  <c r="K36" i="60"/>
  <c r="G37" i="61"/>
  <c r="N28" i="48"/>
  <c r="G17" i="58"/>
  <c r="M23" i="59"/>
  <c r="G40" i="61"/>
  <c r="H40" i="61" s="1"/>
  <c r="I40" i="50"/>
  <c r="G30" i="61"/>
  <c r="J20" i="7"/>
  <c r="J41" i="57"/>
  <c r="J36" i="59"/>
  <c r="M26" i="60"/>
  <c r="N36" i="50"/>
  <c r="M36" i="61"/>
  <c r="M26" i="61"/>
  <c r="D34" i="60"/>
  <c r="F34" i="60"/>
  <c r="H39" i="31"/>
  <c r="F22" i="6"/>
  <c r="L22" i="6"/>
  <c r="L29" i="6" s="1"/>
  <c r="I25" i="48"/>
  <c r="D25" i="7"/>
  <c r="F25" i="7"/>
  <c r="H25" i="7" s="1"/>
  <c r="M41" i="60"/>
  <c r="D36" i="61"/>
  <c r="F36" i="61"/>
  <c r="H36" i="61" s="1"/>
  <c r="D25" i="61"/>
  <c r="F25" i="61"/>
  <c r="H25" i="61" s="1"/>
  <c r="K25" i="61" s="1"/>
  <c r="I25" i="50"/>
  <c r="G17" i="61"/>
  <c r="J26" i="62"/>
  <c r="D38" i="57"/>
  <c r="F38" i="57" s="1"/>
  <c r="H38" i="57" s="1"/>
  <c r="K38" i="57" s="1"/>
  <c r="N19" i="47"/>
  <c r="M33" i="58"/>
  <c r="M30" i="61"/>
  <c r="J45" i="61"/>
  <c r="J35" i="62"/>
  <c r="M46" i="61"/>
  <c r="O40" i="50"/>
  <c r="D24" i="61"/>
  <c r="F24" i="61"/>
  <c r="H24" i="61"/>
  <c r="M45" i="58"/>
  <c r="G45" i="58"/>
  <c r="G41" i="57"/>
  <c r="N25" i="50"/>
  <c r="O25" i="50" s="1"/>
  <c r="M38" i="58"/>
  <c r="F42" i="7"/>
  <c r="H42" i="7" s="1"/>
  <c r="D43" i="59"/>
  <c r="F43" i="59"/>
  <c r="H43" i="59" s="1"/>
  <c r="D25" i="60"/>
  <c r="F25" i="60" s="1"/>
  <c r="H25" i="60" s="1"/>
  <c r="K25" i="60"/>
  <c r="D31" i="61"/>
  <c r="F31" i="61" s="1"/>
  <c r="H31" i="61"/>
  <c r="M43" i="57"/>
  <c r="D45" i="57"/>
  <c r="F45" i="57"/>
  <c r="N41" i="48"/>
  <c r="I24" i="49"/>
  <c r="O24" i="49" s="1"/>
  <c r="D24" i="60"/>
  <c r="F24" i="60"/>
  <c r="H24" i="60" s="1"/>
  <c r="D41" i="60"/>
  <c r="F41" i="60" s="1"/>
  <c r="H41" i="60" s="1"/>
  <c r="K41" i="60" s="1"/>
  <c r="I41" i="49"/>
  <c r="D21" i="57"/>
  <c r="F21" i="57" s="1"/>
  <c r="D14" i="20"/>
  <c r="D16" i="20"/>
  <c r="E22" i="30"/>
  <c r="E20" i="30"/>
  <c r="D21" i="30"/>
  <c r="D17" i="30"/>
  <c r="E19" i="30"/>
  <c r="D18" i="30"/>
  <c r="D23" i="30" s="1"/>
  <c r="D20" i="30"/>
  <c r="D22" i="30"/>
  <c r="D19" i="30"/>
  <c r="E18" i="30"/>
  <c r="D16" i="30"/>
  <c r="D18" i="22"/>
  <c r="D24" i="22" s="1"/>
  <c r="D95" i="22"/>
  <c r="D21" i="22"/>
  <c r="D98" i="22"/>
  <c r="D20" i="22"/>
  <c r="D97" i="22"/>
  <c r="D19" i="22"/>
  <c r="D96" i="22"/>
  <c r="D22" i="22"/>
  <c r="D99" i="22"/>
  <c r="D17" i="22"/>
  <c r="D94" i="22"/>
  <c r="D42" i="58"/>
  <c r="F42" i="58" s="1"/>
  <c r="M35" i="61"/>
  <c r="D37" i="7"/>
  <c r="F37" i="7"/>
  <c r="D31" i="7"/>
  <c r="F31" i="7"/>
  <c r="H31" i="7" s="1"/>
  <c r="M23" i="7"/>
  <c r="M21" i="57"/>
  <c r="G44" i="62"/>
  <c r="J104" i="31"/>
  <c r="B18" i="30"/>
  <c r="B54" i="22"/>
  <c r="B96" i="22" s="1"/>
  <c r="B125" i="22" s="1"/>
  <c r="H57" i="31"/>
  <c r="J51" i="31"/>
  <c r="I67" i="31"/>
  <c r="H100" i="31"/>
  <c r="J27" i="31"/>
  <c r="H33" i="14"/>
  <c r="D25" i="62"/>
  <c r="F25" i="62"/>
  <c r="H25" i="62" s="1"/>
  <c r="K25" i="62" s="1"/>
  <c r="C25" i="24"/>
  <c r="J79" i="31"/>
  <c r="H98" i="31"/>
  <c r="G96" i="31"/>
  <c r="D37" i="62"/>
  <c r="F37" i="62" s="1"/>
  <c r="J23" i="31"/>
  <c r="D33" i="62"/>
  <c r="F33" i="62"/>
  <c r="J69" i="31"/>
  <c r="G101" i="31"/>
  <c r="G56" i="31"/>
  <c r="D33" i="14"/>
  <c r="G22" i="57"/>
  <c r="M42" i="7"/>
  <c r="M24" i="57"/>
  <c r="N24" i="46"/>
  <c r="G16" i="59"/>
  <c r="I16" i="48"/>
  <c r="I31" i="48"/>
  <c r="M38" i="59"/>
  <c r="D22" i="59"/>
  <c r="F22" i="59" s="1"/>
  <c r="G39" i="61"/>
  <c r="M21" i="60"/>
  <c r="I21" i="47"/>
  <c r="G28" i="7"/>
  <c r="I28" i="1"/>
  <c r="G44" i="57"/>
  <c r="H44" i="57" s="1"/>
  <c r="I44" i="46"/>
  <c r="M16" i="59"/>
  <c r="M25" i="58"/>
  <c r="G29" i="58"/>
  <c r="M36" i="58"/>
  <c r="M43" i="58"/>
  <c r="N43" i="47"/>
  <c r="I28" i="48"/>
  <c r="D28" i="59"/>
  <c r="F28" i="59" s="1"/>
  <c r="H28" i="59"/>
  <c r="I17" i="49"/>
  <c r="O17" i="49" s="1"/>
  <c r="M26" i="7"/>
  <c r="D20" i="58"/>
  <c r="F20" i="58" s="1"/>
  <c r="I20" i="47"/>
  <c r="G19" i="59"/>
  <c r="D24" i="59"/>
  <c r="F24" i="59" s="1"/>
  <c r="H24" i="59" s="1"/>
  <c r="K24" i="59" s="1"/>
  <c r="I24" i="48"/>
  <c r="N24" i="48"/>
  <c r="G44" i="59"/>
  <c r="H44" i="59" s="1"/>
  <c r="G45" i="62"/>
  <c r="J30" i="58"/>
  <c r="J30" i="60"/>
  <c r="J47" i="62"/>
  <c r="N31" i="47"/>
  <c r="I40" i="47"/>
  <c r="O40" i="47" s="1"/>
  <c r="N34" i="48"/>
  <c r="M33" i="60"/>
  <c r="N33" i="49"/>
  <c r="J34" i="57"/>
  <c r="I42" i="47"/>
  <c r="N31" i="48"/>
  <c r="N24" i="50"/>
  <c r="H92" i="31"/>
  <c r="N38" i="49"/>
  <c r="H27" i="61"/>
  <c r="I21" i="48"/>
  <c r="N27" i="49"/>
  <c r="I43" i="49"/>
  <c r="N44" i="49"/>
  <c r="O44" i="49" s="1"/>
  <c r="N45" i="49"/>
  <c r="N16" i="46"/>
  <c r="I20" i="46"/>
  <c r="N21" i="46"/>
  <c r="N25" i="48"/>
  <c r="O25" i="48"/>
  <c r="N27" i="48"/>
  <c r="N29" i="49"/>
  <c r="I30" i="49"/>
  <c r="O30" i="49"/>
  <c r="H35" i="60"/>
  <c r="K35" i="60"/>
  <c r="N40" i="49"/>
  <c r="N41" i="49"/>
  <c r="O41" i="49" s="1"/>
  <c r="H37" i="61"/>
  <c r="I27" i="50"/>
  <c r="N26" i="50"/>
  <c r="I46" i="31"/>
  <c r="D23" i="57"/>
  <c r="F23" i="57"/>
  <c r="N40" i="47"/>
  <c r="N45" i="48"/>
  <c r="G46" i="61"/>
  <c r="G45" i="61"/>
  <c r="G44" i="61"/>
  <c r="I36" i="50"/>
  <c r="M32" i="7"/>
  <c r="N17" i="48"/>
  <c r="N41" i="50"/>
  <c r="D36" i="58"/>
  <c r="F36" i="58"/>
  <c r="M44" i="58"/>
  <c r="N44" i="47"/>
  <c r="D39" i="60"/>
  <c r="F39" i="60"/>
  <c r="H39" i="60" s="1"/>
  <c r="J100" i="31"/>
  <c r="I100" i="31"/>
  <c r="J46" i="7"/>
  <c r="J24" i="60"/>
  <c r="I38" i="47"/>
  <c r="O38" i="47" s="1"/>
  <c r="D21" i="61"/>
  <c r="F21" i="61" s="1"/>
  <c r="M27" i="57"/>
  <c r="M21" i="59"/>
  <c r="D27" i="60"/>
  <c r="F27" i="60" s="1"/>
  <c r="H27" i="60" s="1"/>
  <c r="K27" i="60" s="1"/>
  <c r="I27" i="49"/>
  <c r="O27" i="49" s="1"/>
  <c r="D30" i="61"/>
  <c r="F30" i="61" s="1"/>
  <c r="H30" i="61" s="1"/>
  <c r="I30" i="50"/>
  <c r="D41" i="61"/>
  <c r="F41" i="61" s="1"/>
  <c r="J22" i="60"/>
  <c r="I44" i="49"/>
  <c r="I46" i="45"/>
  <c r="I87" i="31"/>
  <c r="D27" i="7"/>
  <c r="F27" i="7" s="1"/>
  <c r="H27" i="7" s="1"/>
  <c r="M29" i="58"/>
  <c r="N29" i="47"/>
  <c r="O29" i="47" s="1"/>
  <c r="D27" i="59"/>
  <c r="F27" i="59"/>
  <c r="I38" i="48"/>
  <c r="D38" i="59"/>
  <c r="F38" i="59"/>
  <c r="H38" i="59" s="1"/>
  <c r="M36" i="60"/>
  <c r="N36" i="49"/>
  <c r="D16" i="61"/>
  <c r="F16" i="61" s="1"/>
  <c r="H16" i="61" s="1"/>
  <c r="I16" i="50"/>
  <c r="D34" i="61"/>
  <c r="F34" i="61" s="1"/>
  <c r="H34" i="61" s="1"/>
  <c r="K34" i="61" s="1"/>
  <c r="M17" i="61"/>
  <c r="N17" i="50"/>
  <c r="J19" i="31"/>
  <c r="I19" i="31"/>
  <c r="I51" i="31"/>
  <c r="I93" i="31"/>
  <c r="M16" i="58"/>
  <c r="N16" i="47"/>
  <c r="M39" i="60"/>
  <c r="N39" i="49"/>
  <c r="H25" i="31"/>
  <c r="G25" i="31"/>
  <c r="N26" i="48"/>
  <c r="O38" i="50"/>
  <c r="G21" i="57"/>
  <c r="H21" i="59"/>
  <c r="D19" i="60"/>
  <c r="F19" i="60" s="1"/>
  <c r="G37" i="60"/>
  <c r="H50" i="31"/>
  <c r="J33" i="60"/>
  <c r="D42" i="62"/>
  <c r="F42" i="62"/>
  <c r="G18" i="61"/>
  <c r="H18" i="61" s="1"/>
  <c r="H20" i="59"/>
  <c r="D26" i="59"/>
  <c r="F26" i="59" s="1"/>
  <c r="H26" i="59"/>
  <c r="K26" i="59" s="1"/>
  <c r="I26" i="48"/>
  <c r="H31" i="59"/>
  <c r="D40" i="59"/>
  <c r="F40" i="59"/>
  <c r="H40" i="59" s="1"/>
  <c r="G18" i="60"/>
  <c r="G28" i="60"/>
  <c r="I28" i="49"/>
  <c r="N42" i="49"/>
  <c r="G43" i="60"/>
  <c r="M43" i="60"/>
  <c r="D45" i="60"/>
  <c r="F45" i="60"/>
  <c r="H45" i="60" s="1"/>
  <c r="K45" i="60" s="1"/>
  <c r="I45" i="49"/>
  <c r="O45" i="49"/>
  <c r="D46" i="60"/>
  <c r="F46" i="60"/>
  <c r="H46" i="60" s="1"/>
  <c r="K46" i="60"/>
  <c r="I46" i="49"/>
  <c r="G16" i="61"/>
  <c r="I32" i="50"/>
  <c r="O32" i="50" s="1"/>
  <c r="D32" i="61"/>
  <c r="F32" i="61" s="1"/>
  <c r="H32" i="61"/>
  <c r="M38" i="61"/>
  <c r="G39" i="62"/>
  <c r="I102" i="31"/>
  <c r="N28" i="1"/>
  <c r="D30" i="57"/>
  <c r="F30" i="57" s="1"/>
  <c r="I22" i="47"/>
  <c r="D22" i="58"/>
  <c r="F22" i="58" s="1"/>
  <c r="D33" i="59"/>
  <c r="F33" i="59" s="1"/>
  <c r="I45" i="48"/>
  <c r="O45" i="48" s="1"/>
  <c r="M20" i="61"/>
  <c r="G83" i="31"/>
  <c r="J38" i="58"/>
  <c r="J41" i="59"/>
  <c r="I39" i="47"/>
  <c r="N18" i="49"/>
  <c r="I24" i="50"/>
  <c r="J26" i="61"/>
  <c r="H22" i="58"/>
  <c r="K22" i="58" s="1"/>
  <c r="G80" i="31"/>
  <c r="H102" i="31"/>
  <c r="G102" i="31"/>
  <c r="H104" i="31"/>
  <c r="J36" i="31"/>
  <c r="I36" i="31"/>
  <c r="J34" i="31"/>
  <c r="I34" i="31"/>
  <c r="J32" i="31"/>
  <c r="I32" i="31"/>
  <c r="D39" i="62"/>
  <c r="F39" i="62" s="1"/>
  <c r="H39" i="62" s="1"/>
  <c r="K39" i="62" s="1"/>
  <c r="G21" i="62"/>
  <c r="D18" i="62"/>
  <c r="F18" i="62"/>
  <c r="H18" i="62" s="1"/>
  <c r="N18" i="45"/>
  <c r="M18" i="62"/>
  <c r="H29" i="31"/>
  <c r="G29" i="31"/>
  <c r="M19" i="62"/>
  <c r="H38" i="31"/>
  <c r="G38" i="31"/>
  <c r="G30" i="31"/>
  <c r="H30" i="31"/>
  <c r="H19" i="31"/>
  <c r="G19" i="31"/>
  <c r="I18" i="31"/>
  <c r="G50" i="31"/>
  <c r="I50" i="31"/>
  <c r="I49" i="31"/>
  <c r="J49" i="31"/>
  <c r="I25" i="45"/>
  <c r="O25" i="45" s="1"/>
  <c r="G71" i="31"/>
  <c r="H71" i="31"/>
  <c r="H87" i="31"/>
  <c r="G87" i="31"/>
  <c r="I23" i="31"/>
  <c r="G23" i="31"/>
  <c r="G42" i="62"/>
  <c r="I42" i="45"/>
  <c r="O42" i="45" s="1"/>
  <c r="N33" i="45"/>
  <c r="J44" i="31"/>
  <c r="I44" i="31"/>
  <c r="I71" i="31"/>
  <c r="J71" i="31"/>
  <c r="G82" i="31"/>
  <c r="D18" i="21"/>
  <c r="I47" i="45"/>
  <c r="O47" i="45" s="1"/>
  <c r="H78" i="31"/>
  <c r="H93" i="31"/>
  <c r="G57" i="31"/>
  <c r="G55" i="31"/>
  <c r="N46" i="45"/>
  <c r="N44" i="45"/>
  <c r="O44" i="45" s="1"/>
  <c r="N38" i="45"/>
  <c r="N26" i="45"/>
  <c r="N21" i="45"/>
  <c r="I26" i="31"/>
  <c r="J102" i="31"/>
  <c r="J92" i="31"/>
  <c r="I88" i="31"/>
  <c r="G22" i="62"/>
  <c r="I19" i="45"/>
  <c r="D19" i="62"/>
  <c r="F19" i="62" s="1"/>
  <c r="H19" i="62"/>
  <c r="F107" i="31"/>
  <c r="G107" i="31"/>
  <c r="G37" i="31"/>
  <c r="I39" i="31"/>
  <c r="G33" i="31"/>
  <c r="I31" i="31"/>
  <c r="J60" i="31"/>
  <c r="I60" i="31"/>
  <c r="J58" i="31"/>
  <c r="I58" i="31"/>
  <c r="J56" i="31"/>
  <c r="I56" i="31"/>
  <c r="J54" i="31"/>
  <c r="I54" i="31"/>
  <c r="J52" i="31"/>
  <c r="I52" i="31"/>
  <c r="G47" i="31"/>
  <c r="I47" i="31"/>
  <c r="J64" i="31"/>
  <c r="J70" i="31"/>
  <c r="I70" i="31"/>
  <c r="I68" i="31"/>
  <c r="J68" i="31"/>
  <c r="G68" i="31"/>
  <c r="G66" i="31"/>
  <c r="I66" i="31"/>
  <c r="H66" i="31"/>
  <c r="I75" i="31"/>
  <c r="G75" i="31"/>
  <c r="J82" i="31"/>
  <c r="I82" i="31"/>
  <c r="J99" i="31"/>
  <c r="J97" i="31"/>
  <c r="I97" i="31"/>
  <c r="I45" i="31"/>
  <c r="G26" i="31"/>
  <c r="J66" i="31"/>
  <c r="I64" i="31"/>
  <c r="G35" i="31"/>
  <c r="D44" i="62"/>
  <c r="F44" i="62" s="1"/>
  <c r="H44" i="62" s="1"/>
  <c r="I44" i="45"/>
  <c r="D43" i="62"/>
  <c r="F43" i="62"/>
  <c r="H43" i="62" s="1"/>
  <c r="I43" i="45"/>
  <c r="O43" i="45" s="1"/>
  <c r="I41" i="45"/>
  <c r="G41" i="62"/>
  <c r="D38" i="62"/>
  <c r="F38" i="62"/>
  <c r="I30" i="45"/>
  <c r="O30" i="45" s="1"/>
  <c r="D30" i="62"/>
  <c r="F30" i="62"/>
  <c r="H30" i="62" s="1"/>
  <c r="G26" i="62"/>
  <c r="H26" i="62" s="1"/>
  <c r="K26" i="62"/>
  <c r="I26" i="45"/>
  <c r="O26" i="45" s="1"/>
  <c r="D23" i="62"/>
  <c r="F23" i="62" s="1"/>
  <c r="H23" i="62" s="1"/>
  <c r="K23" i="62" s="1"/>
  <c r="D17" i="62"/>
  <c r="F17" i="62"/>
  <c r="H17" i="62" s="1"/>
  <c r="M41" i="62"/>
  <c r="M37" i="62"/>
  <c r="N37" i="45"/>
  <c r="M35" i="62"/>
  <c r="N35" i="45"/>
  <c r="O35" i="45" s="1"/>
  <c r="M31" i="62"/>
  <c r="M27" i="62"/>
  <c r="M23" i="62"/>
  <c r="N23" i="45"/>
  <c r="H68" i="31"/>
  <c r="D72" i="31"/>
  <c r="H72" i="31" s="1"/>
  <c r="G28" i="31"/>
  <c r="H28" i="31"/>
  <c r="I28" i="31"/>
  <c r="G24" i="31"/>
  <c r="I24" i="31"/>
  <c r="I22" i="31"/>
  <c r="G22" i="31"/>
  <c r="H22" i="31"/>
  <c r="G20" i="31"/>
  <c r="F40" i="31"/>
  <c r="G43" i="31"/>
  <c r="I43" i="31"/>
  <c r="J94" i="31"/>
  <c r="I94" i="31"/>
  <c r="J90" i="31"/>
  <c r="I90" i="31"/>
  <c r="I20" i="31"/>
  <c r="F61" i="31"/>
  <c r="H47" i="31"/>
  <c r="G94" i="31"/>
  <c r="J88" i="31"/>
  <c r="H31" i="62"/>
  <c r="K31" i="62" s="1"/>
  <c r="I92" i="31"/>
  <c r="F36" i="45"/>
  <c r="D36" i="62"/>
  <c r="F36" i="62" s="1"/>
  <c r="H36" i="62" s="1"/>
  <c r="K36" i="62" s="1"/>
  <c r="H32" i="31"/>
  <c r="G32" i="31"/>
  <c r="G52" i="31"/>
  <c r="H52" i="31"/>
  <c r="G48" i="31"/>
  <c r="H48" i="31"/>
  <c r="H44" i="31"/>
  <c r="G44" i="31"/>
  <c r="D20" i="21"/>
  <c r="D24" i="21" s="1"/>
  <c r="D28" i="21" s="1"/>
  <c r="D24" i="62"/>
  <c r="F24" i="62"/>
  <c r="H24" i="62" s="1"/>
  <c r="I24" i="45"/>
  <c r="H34" i="31"/>
  <c r="G34" i="31"/>
  <c r="G27" i="31"/>
  <c r="H27" i="31"/>
  <c r="H24" i="31"/>
  <c r="G58" i="31"/>
  <c r="H58" i="31"/>
  <c r="H54" i="31"/>
  <c r="G54" i="31"/>
  <c r="J25" i="62"/>
  <c r="D40" i="62"/>
  <c r="F40" i="62" s="1"/>
  <c r="H40" i="62"/>
  <c r="I40" i="45"/>
  <c r="O40" i="45"/>
  <c r="G33" i="62"/>
  <c r="H33" i="62"/>
  <c r="I33" i="45"/>
  <c r="O33" i="45"/>
  <c r="G27" i="62"/>
  <c r="I27" i="45"/>
  <c r="I22" i="45"/>
  <c r="D22" i="62"/>
  <c r="F22" i="62"/>
  <c r="H22" i="62" s="1"/>
  <c r="K22" i="62" s="1"/>
  <c r="G60" i="16"/>
  <c r="H89" i="31"/>
  <c r="D107" i="31"/>
  <c r="H107" i="31"/>
  <c r="J17" i="31"/>
  <c r="J38" i="31"/>
  <c r="I38" i="31"/>
  <c r="J33" i="31"/>
  <c r="J53" i="31"/>
  <c r="G53" i="31"/>
  <c r="I53" i="31"/>
  <c r="J47" i="31"/>
  <c r="I31" i="45"/>
  <c r="H31" i="31"/>
  <c r="H21" i="31"/>
  <c r="G21" i="31"/>
  <c r="J28" i="31"/>
  <c r="J24" i="31"/>
  <c r="J22" i="31"/>
  <c r="J18" i="31"/>
  <c r="G18" i="31"/>
  <c r="I80" i="31"/>
  <c r="I78" i="31"/>
  <c r="I76" i="31"/>
  <c r="G76" i="31"/>
  <c r="G105" i="31"/>
  <c r="I105" i="31"/>
  <c r="I101" i="31"/>
  <c r="G99" i="31"/>
  <c r="G97" i="31"/>
  <c r="H95" i="31"/>
  <c r="I95" i="31"/>
  <c r="G95" i="31"/>
  <c r="J95" i="31"/>
  <c r="G93" i="31"/>
  <c r="I91" i="31"/>
  <c r="G91" i="31"/>
  <c r="J89" i="31"/>
  <c r="I89" i="31"/>
  <c r="I20" i="45"/>
  <c r="F106" i="16"/>
  <c r="E51" i="17"/>
  <c r="H33" i="31"/>
  <c r="H60" i="16"/>
  <c r="E68" i="17" s="1"/>
  <c r="I30" i="31"/>
  <c r="G92" i="31"/>
  <c r="D16" i="62"/>
  <c r="F16" i="62" s="1"/>
  <c r="H16" i="62" s="1"/>
  <c r="I16" i="45"/>
  <c r="O16" i="45" s="1"/>
  <c r="D34" i="62"/>
  <c r="F34" i="62"/>
  <c r="H34" i="62"/>
  <c r="K34" i="62" s="1"/>
  <c r="I34" i="45"/>
  <c r="I106" i="16"/>
  <c r="E81" i="17" s="1"/>
  <c r="D91" i="17" s="1"/>
  <c r="E106" i="16"/>
  <c r="E41" i="17" s="1"/>
  <c r="D51" i="17" s="1"/>
  <c r="G106" i="16"/>
  <c r="E61" i="17" s="1"/>
  <c r="D71" i="17" s="1"/>
  <c r="H17" i="31"/>
  <c r="D40" i="31"/>
  <c r="G17" i="31"/>
  <c r="H46" i="31"/>
  <c r="G46" i="31"/>
  <c r="J57" i="31"/>
  <c r="I57" i="31"/>
  <c r="E61" i="31"/>
  <c r="J61" i="31" s="1"/>
  <c r="J83" i="31"/>
  <c r="I83" i="31"/>
  <c r="J81" i="31"/>
  <c r="I81" i="31"/>
  <c r="E84" i="31"/>
  <c r="G79" i="31"/>
  <c r="I79" i="31"/>
  <c r="H77" i="31"/>
  <c r="I77" i="31"/>
  <c r="G77" i="31"/>
  <c r="F84" i="31"/>
  <c r="J22" i="7"/>
  <c r="J28" i="58"/>
  <c r="J46" i="59"/>
  <c r="J20" i="60"/>
  <c r="J38" i="60"/>
  <c r="J38" i="61"/>
  <c r="J46" i="61"/>
  <c r="J64" i="16"/>
  <c r="J71" i="16" s="1"/>
  <c r="E89" i="17" s="1"/>
  <c r="F89" i="17" s="1"/>
  <c r="H45" i="57"/>
  <c r="K45" i="57" s="1"/>
  <c r="D31" i="57"/>
  <c r="F31" i="57"/>
  <c r="H31" i="57" s="1"/>
  <c r="I37" i="46"/>
  <c r="D37" i="57"/>
  <c r="F37" i="57"/>
  <c r="H37" i="57" s="1"/>
  <c r="N38" i="46"/>
  <c r="N46" i="46"/>
  <c r="N23" i="47"/>
  <c r="M28" i="58"/>
  <c r="N28" i="47"/>
  <c r="O28" i="47" s="1"/>
  <c r="D30" i="58"/>
  <c r="F30" i="58" s="1"/>
  <c r="H30" i="58" s="1"/>
  <c r="K30" i="58" s="1"/>
  <c r="M30" i="58"/>
  <c r="I32" i="47"/>
  <c r="O32" i="47" s="1"/>
  <c r="D32" i="58"/>
  <c r="F32" i="58"/>
  <c r="H32" i="58" s="1"/>
  <c r="G42" i="61"/>
  <c r="H42" i="61" s="1"/>
  <c r="I42" i="50"/>
  <c r="G41" i="61"/>
  <c r="I41" i="50"/>
  <c r="O41" i="50" s="1"/>
  <c r="N35" i="50"/>
  <c r="M29" i="61"/>
  <c r="N27" i="50"/>
  <c r="D35" i="62"/>
  <c r="F35" i="62"/>
  <c r="H35" i="62"/>
  <c r="K35" i="62" s="1"/>
  <c r="I35" i="45"/>
  <c r="M40" i="62"/>
  <c r="N40" i="45"/>
  <c r="M34" i="62"/>
  <c r="N34" i="45"/>
  <c r="O34" i="45"/>
  <c r="M30" i="62"/>
  <c r="N30" i="45"/>
  <c r="H16" i="59"/>
  <c r="I46" i="1"/>
  <c r="M33" i="57"/>
  <c r="M49" i="46"/>
  <c r="D26" i="58"/>
  <c r="F26" i="58" s="1"/>
  <c r="H26" i="58" s="1"/>
  <c r="G31" i="7"/>
  <c r="I31" i="1"/>
  <c r="M22" i="7"/>
  <c r="G17" i="57"/>
  <c r="G22" i="59"/>
  <c r="I22" i="48"/>
  <c r="O22" i="48" s="1"/>
  <c r="N22" i="48"/>
  <c r="M49" i="48"/>
  <c r="I32" i="48"/>
  <c r="O32" i="48"/>
  <c r="D32" i="59"/>
  <c r="F32" i="59"/>
  <c r="H32" i="59" s="1"/>
  <c r="D34" i="59"/>
  <c r="F34" i="59" s="1"/>
  <c r="H34" i="59" s="1"/>
  <c r="M37" i="59"/>
  <c r="N37" i="48"/>
  <c r="O39" i="48"/>
  <c r="D39" i="59"/>
  <c r="F39" i="59"/>
  <c r="H39" i="59" s="1"/>
  <c r="D17" i="60"/>
  <c r="F49" i="49"/>
  <c r="M28" i="60"/>
  <c r="N28" i="49"/>
  <c r="I45" i="50"/>
  <c r="D45" i="61"/>
  <c r="F45" i="61" s="1"/>
  <c r="H45" i="61" s="1"/>
  <c r="K45" i="61" s="1"/>
  <c r="I22" i="1"/>
  <c r="O22" i="1"/>
  <c r="D22" i="7"/>
  <c r="F22" i="7"/>
  <c r="H22" i="7" s="1"/>
  <c r="K22" i="7" s="1"/>
  <c r="N32" i="1"/>
  <c r="N17" i="46"/>
  <c r="O17" i="46" s="1"/>
  <c r="H20" i="57"/>
  <c r="K20" i="57" s="1"/>
  <c r="D41" i="58"/>
  <c r="F41" i="58" s="1"/>
  <c r="H41" i="58"/>
  <c r="I41" i="47"/>
  <c r="D44" i="58"/>
  <c r="F44" i="58" s="1"/>
  <c r="H44" i="58" s="1"/>
  <c r="O47" i="1"/>
  <c r="N27" i="47"/>
  <c r="N37" i="1"/>
  <c r="N41" i="46"/>
  <c r="O41" i="46"/>
  <c r="O47" i="47"/>
  <c r="I28" i="47"/>
  <c r="M37" i="61"/>
  <c r="N37" i="50"/>
  <c r="O37" i="50"/>
  <c r="N43" i="49"/>
  <c r="O43" i="49" s="1"/>
  <c r="O47" i="50"/>
  <c r="H29" i="61"/>
  <c r="N44" i="48"/>
  <c r="N46" i="48"/>
  <c r="O46" i="48" s="1"/>
  <c r="N34" i="50"/>
  <c r="D84" i="31"/>
  <c r="F17" i="60"/>
  <c r="H17" i="60"/>
  <c r="D57" i="22"/>
  <c r="L18" i="30"/>
  <c r="L23" i="30" s="1"/>
  <c r="D58" i="22"/>
  <c r="D55" i="22"/>
  <c r="D53" i="22"/>
  <c r="D59" i="22" s="1"/>
  <c r="D56" i="22"/>
  <c r="D54" i="22"/>
  <c r="D52" i="22"/>
  <c r="G53" i="22"/>
  <c r="E95" i="22" s="1"/>
  <c r="G58" i="22"/>
  <c r="G55" i="22"/>
  <c r="G54" i="22"/>
  <c r="G57" i="22"/>
  <c r="G56" i="22"/>
  <c r="G52" i="22"/>
  <c r="G59" i="22" s="1"/>
  <c r="F52" i="22"/>
  <c r="F53" i="22"/>
  <c r="F54" i="22"/>
  <c r="F56" i="22"/>
  <c r="F57" i="22"/>
  <c r="F58" i="22"/>
  <c r="F16" i="30"/>
  <c r="G16" i="30"/>
  <c r="K16" i="30"/>
  <c r="M16" i="30"/>
  <c r="F17" i="30"/>
  <c r="G17" i="30"/>
  <c r="K17" i="30"/>
  <c r="M17" i="30"/>
  <c r="F18" i="30"/>
  <c r="H18" i="30"/>
  <c r="K18" i="30"/>
  <c r="F20" i="30"/>
  <c r="H20" i="30"/>
  <c r="K20" i="30"/>
  <c r="M20" i="30" s="1"/>
  <c r="F21" i="30"/>
  <c r="I21" i="30" s="1"/>
  <c r="G21" i="30"/>
  <c r="K21" i="30"/>
  <c r="M21" i="30" s="1"/>
  <c r="N21" i="30" s="1"/>
  <c r="F22" i="30"/>
  <c r="H22" i="30"/>
  <c r="K22" i="30"/>
  <c r="M22" i="30" s="1"/>
  <c r="F17" i="22"/>
  <c r="F18" i="22"/>
  <c r="F19" i="22"/>
  <c r="F20" i="22"/>
  <c r="F21" i="22"/>
  <c r="F22" i="22"/>
  <c r="F99" i="22" s="1"/>
  <c r="D128" i="22" s="1"/>
  <c r="E128" i="22" s="1"/>
  <c r="F128" i="22" s="1"/>
  <c r="F23" i="22"/>
  <c r="F100" i="22" s="1"/>
  <c r="D129" i="22" s="1"/>
  <c r="E129" i="22" s="1"/>
  <c r="F129" i="22" s="1"/>
  <c r="I65" i="31"/>
  <c r="G34" i="7"/>
  <c r="H34" i="7" s="1"/>
  <c r="I34" i="1"/>
  <c r="G19" i="7"/>
  <c r="I19" i="1"/>
  <c r="H22" i="59"/>
  <c r="K22" i="59" s="1"/>
  <c r="I36" i="45"/>
  <c r="M23" i="57"/>
  <c r="N25" i="46"/>
  <c r="O25" i="46"/>
  <c r="M25" i="57"/>
  <c r="O18" i="45"/>
  <c r="D25" i="57"/>
  <c r="F25" i="57"/>
  <c r="H25" i="57" s="1"/>
  <c r="K25" i="57" s="1"/>
  <c r="H41" i="61"/>
  <c r="O35" i="48"/>
  <c r="D19" i="58"/>
  <c r="F19" i="58" s="1"/>
  <c r="H19" i="58" s="1"/>
  <c r="I19" i="47"/>
  <c r="O19" i="47" s="1"/>
  <c r="D18" i="59"/>
  <c r="F18" i="59" s="1"/>
  <c r="I18" i="48"/>
  <c r="O18" i="48"/>
  <c r="D41" i="59"/>
  <c r="F41" i="59" s="1"/>
  <c r="H41" i="59" s="1"/>
  <c r="K41" i="59" s="1"/>
  <c r="G23" i="60"/>
  <c r="H23" i="60" s="1"/>
  <c r="K23" i="60" s="1"/>
  <c r="I23" i="49"/>
  <c r="N25" i="49"/>
  <c r="O25" i="49" s="1"/>
  <c r="K49" i="49"/>
  <c r="D26" i="60"/>
  <c r="F26" i="60" s="1"/>
  <c r="H26" i="60" s="1"/>
  <c r="K26" i="60" s="1"/>
  <c r="M34" i="60"/>
  <c r="N34" i="49"/>
  <c r="I37" i="49"/>
  <c r="O37" i="49" s="1"/>
  <c r="D37" i="60"/>
  <c r="F37" i="60"/>
  <c r="H37" i="60" s="1"/>
  <c r="M37" i="60"/>
  <c r="N37" i="49"/>
  <c r="D17" i="61"/>
  <c r="F17" i="61" s="1"/>
  <c r="H17" i="61" s="1"/>
  <c r="I17" i="50"/>
  <c r="O17" i="50" s="1"/>
  <c r="N44" i="50"/>
  <c r="M49" i="50"/>
  <c r="M43" i="61"/>
  <c r="L49" i="50"/>
  <c r="M54" i="50" s="1"/>
  <c r="I28" i="45"/>
  <c r="D28" i="62"/>
  <c r="F28" i="62" s="1"/>
  <c r="H28" i="62" s="1"/>
  <c r="N39" i="45"/>
  <c r="O39" i="45"/>
  <c r="H59" i="31"/>
  <c r="G59" i="31"/>
  <c r="H49" i="31"/>
  <c r="G49" i="31"/>
  <c r="H45" i="31"/>
  <c r="H70" i="31"/>
  <c r="G70" i="31"/>
  <c r="M39" i="7"/>
  <c r="N17" i="1"/>
  <c r="M32" i="58"/>
  <c r="N32" i="47"/>
  <c r="G43" i="58"/>
  <c r="H43" i="58"/>
  <c r="H49" i="49"/>
  <c r="I19" i="50"/>
  <c r="D19" i="61"/>
  <c r="F19" i="61"/>
  <c r="H19" i="61" s="1"/>
  <c r="N43" i="50"/>
  <c r="G38" i="62"/>
  <c r="I38" i="45"/>
  <c r="O38" i="45" s="1"/>
  <c r="N36" i="1"/>
  <c r="D46" i="57"/>
  <c r="F46" i="57" s="1"/>
  <c r="H46" i="57" s="1"/>
  <c r="K46" i="57" s="1"/>
  <c r="I96" i="31"/>
  <c r="I17" i="45"/>
  <c r="G50" i="45"/>
  <c r="I19" i="49"/>
  <c r="N30" i="1"/>
  <c r="I18" i="46"/>
  <c r="D18" i="57"/>
  <c r="F18" i="57"/>
  <c r="H18" i="57"/>
  <c r="D35" i="57"/>
  <c r="F35" i="57" s="1"/>
  <c r="H35" i="57"/>
  <c r="K35" i="57" s="1"/>
  <c r="I35" i="46"/>
  <c r="D40" i="57"/>
  <c r="F40" i="57"/>
  <c r="H40" i="57" s="1"/>
  <c r="I40" i="46"/>
  <c r="O40" i="46" s="1"/>
  <c r="M39" i="61"/>
  <c r="N39" i="50"/>
  <c r="H67" i="31"/>
  <c r="G67" i="31"/>
  <c r="J67" i="31"/>
  <c r="H99" i="31"/>
  <c r="I99" i="31"/>
  <c r="I24" i="1"/>
  <c r="O24" i="1" s="1"/>
  <c r="M18" i="57"/>
  <c r="I42" i="46"/>
  <c r="G42" i="57"/>
  <c r="H42" i="57" s="1"/>
  <c r="I18" i="47"/>
  <c r="D18" i="58"/>
  <c r="F18" i="58" s="1"/>
  <c r="H18" i="58" s="1"/>
  <c r="I35" i="47"/>
  <c r="O35" i="47" s="1"/>
  <c r="D35" i="58"/>
  <c r="F35" i="58"/>
  <c r="H35" i="58" s="1"/>
  <c r="M39" i="58"/>
  <c r="M18" i="60"/>
  <c r="D20" i="60"/>
  <c r="F20" i="60" s="1"/>
  <c r="H20" i="60" s="1"/>
  <c r="K20" i="60" s="1"/>
  <c r="I20" i="49"/>
  <c r="O20" i="49" s="1"/>
  <c r="N19" i="50"/>
  <c r="M19" i="61"/>
  <c r="N35" i="47"/>
  <c r="I17" i="46"/>
  <c r="I41" i="1"/>
  <c r="D45" i="62"/>
  <c r="F45" i="62" s="1"/>
  <c r="H45" i="62" s="1"/>
  <c r="I16" i="47"/>
  <c r="O16" i="47" s="1"/>
  <c r="O36" i="50"/>
  <c r="N28" i="46"/>
  <c r="H20" i="58"/>
  <c r="K20" i="58"/>
  <c r="I33" i="50"/>
  <c r="O33" i="50" s="1"/>
  <c r="N40" i="1"/>
  <c r="I39" i="46"/>
  <c r="G39" i="57"/>
  <c r="H39" i="57" s="1"/>
  <c r="N34" i="46"/>
  <c r="N22" i="47"/>
  <c r="M22" i="58"/>
  <c r="G25" i="58"/>
  <c r="H25" i="58" s="1"/>
  <c r="K25" i="58" s="1"/>
  <c r="I25" i="47"/>
  <c r="O25" i="47"/>
  <c r="D19" i="59"/>
  <c r="F19" i="59" s="1"/>
  <c r="H19" i="59"/>
  <c r="I19" i="48"/>
  <c r="M16" i="61"/>
  <c r="N16" i="50"/>
  <c r="D35" i="61"/>
  <c r="F35" i="61" s="1"/>
  <c r="H35" i="61" s="1"/>
  <c r="K35" i="61" s="1"/>
  <c r="I35" i="50"/>
  <c r="O35" i="50" s="1"/>
  <c r="N42" i="50"/>
  <c r="O42" i="50" s="1"/>
  <c r="M42" i="61"/>
  <c r="J21" i="31"/>
  <c r="I21" i="31"/>
  <c r="K36" i="61"/>
  <c r="I43" i="1"/>
  <c r="O43" i="1"/>
  <c r="I24" i="46"/>
  <c r="O24" i="46"/>
  <c r="I30" i="46"/>
  <c r="I38" i="46"/>
  <c r="O38" i="46"/>
  <c r="G29" i="59"/>
  <c r="I36" i="48"/>
  <c r="O36" i="48"/>
  <c r="D36" i="59"/>
  <c r="F36" i="59"/>
  <c r="H36" i="59" s="1"/>
  <c r="K36" i="59" s="1"/>
  <c r="D20" i="61"/>
  <c r="F20" i="61" s="1"/>
  <c r="H20" i="61" s="1"/>
  <c r="K20" i="61" s="1"/>
  <c r="I20" i="50"/>
  <c r="O20" i="50" s="1"/>
  <c r="H47" i="62"/>
  <c r="K47" i="62" s="1"/>
  <c r="J34" i="60"/>
  <c r="O28" i="48"/>
  <c r="G37" i="7"/>
  <c r="I37" i="1"/>
  <c r="O37" i="1" s="1"/>
  <c r="G36" i="57"/>
  <c r="O36" i="46"/>
  <c r="D23" i="59"/>
  <c r="F23" i="59"/>
  <c r="H23" i="59" s="1"/>
  <c r="I23" i="48"/>
  <c r="O23" i="48"/>
  <c r="D42" i="59"/>
  <c r="F42" i="59" s="1"/>
  <c r="I33" i="49"/>
  <c r="O33" i="49"/>
  <c r="G33" i="60"/>
  <c r="H33" i="60"/>
  <c r="K33" i="60" s="1"/>
  <c r="I37" i="45"/>
  <c r="O37" i="45" s="1"/>
  <c r="G37" i="62"/>
  <c r="H37" i="62" s="1"/>
  <c r="M22" i="62"/>
  <c r="N22" i="45"/>
  <c r="J26" i="60"/>
  <c r="K30" i="60"/>
  <c r="N21" i="48"/>
  <c r="O21" i="48" s="1"/>
  <c r="M28" i="62"/>
  <c r="N28" i="45"/>
  <c r="O28" i="45"/>
  <c r="J48" i="31"/>
  <c r="I48" i="31"/>
  <c r="N42" i="47"/>
  <c r="O42" i="47"/>
  <c r="N23" i="48"/>
  <c r="N20" i="49"/>
  <c r="N35" i="49"/>
  <c r="O35" i="49"/>
  <c r="N45" i="50"/>
  <c r="O45" i="50"/>
  <c r="H94" i="31"/>
  <c r="J25" i="31"/>
  <c r="G45" i="31"/>
  <c r="I98" i="31"/>
  <c r="H19" i="7"/>
  <c r="O16" i="50"/>
  <c r="H18" i="59"/>
  <c r="G50" i="62"/>
  <c r="K37" i="62"/>
  <c r="F65" i="31"/>
  <c r="F72" i="31"/>
  <c r="G72" i="31" s="1"/>
  <c r="K36" i="45"/>
  <c r="N36" i="45" s="1"/>
  <c r="O36" i="45" s="1"/>
  <c r="L29" i="45"/>
  <c r="M29" i="62"/>
  <c r="L36" i="45"/>
  <c r="M36" i="62"/>
  <c r="E23" i="21"/>
  <c r="E24" i="21"/>
  <c r="E28" i="21" s="1"/>
  <c r="I21" i="21"/>
  <c r="I23" i="21" s="1"/>
  <c r="I20" i="30"/>
  <c r="M18" i="30"/>
  <c r="I17" i="21"/>
  <c r="E23" i="30"/>
  <c r="G24" i="21"/>
  <c r="G28" i="21" s="1"/>
  <c r="I22" i="30"/>
  <c r="F24" i="21"/>
  <c r="F28" i="21"/>
  <c r="F96" i="22"/>
  <c r="D125" i="22" s="1"/>
  <c r="E125" i="22"/>
  <c r="F125" i="22" s="1"/>
  <c r="I18" i="30"/>
  <c r="I18" i="21"/>
  <c r="I20" i="21"/>
  <c r="H24" i="21"/>
  <c r="H28" i="21"/>
  <c r="E57" i="17"/>
  <c r="D49" i="17"/>
  <c r="D70" i="17"/>
  <c r="E67" i="17"/>
  <c r="D79" i="17"/>
  <c r="F79" i="17" s="1"/>
  <c r="G79" i="17" s="1"/>
  <c r="D89" i="17"/>
  <c r="G89" i="17" s="1"/>
  <c r="O31" i="45"/>
  <c r="D32" i="7"/>
  <c r="F32" i="7"/>
  <c r="H32" i="7" s="1"/>
  <c r="G38" i="7"/>
  <c r="I38" i="1"/>
  <c r="I31" i="47"/>
  <c r="O31" i="47" s="1"/>
  <c r="D31" i="58"/>
  <c r="F31" i="58" s="1"/>
  <c r="H31" i="58" s="1"/>
  <c r="F49" i="47"/>
  <c r="J60" i="16"/>
  <c r="E88" i="17" s="1"/>
  <c r="G71" i="16"/>
  <c r="E59" i="17" s="1"/>
  <c r="D69" i="17" s="1"/>
  <c r="F83" i="16"/>
  <c r="E50" i="17" s="1"/>
  <c r="D60" i="17" s="1"/>
  <c r="H83" i="16"/>
  <c r="E70" i="17" s="1"/>
  <c r="D80" i="17" s="1"/>
  <c r="D83" i="16"/>
  <c r="E30" i="17" s="1"/>
  <c r="F30" i="17" s="1"/>
  <c r="K41" i="58"/>
  <c r="J35" i="58"/>
  <c r="K29" i="45"/>
  <c r="N29" i="45"/>
  <c r="J106" i="31"/>
  <c r="K27" i="61"/>
  <c r="I45" i="1"/>
  <c r="O45" i="1"/>
  <c r="M44" i="57"/>
  <c r="N44" i="46"/>
  <c r="O44" i="46" s="1"/>
  <c r="F108" i="31"/>
  <c r="K50" i="45"/>
  <c r="I106" i="31"/>
  <c r="K31" i="7"/>
  <c r="D39" i="7"/>
  <c r="F39" i="7"/>
  <c r="H39" i="7" s="1"/>
  <c r="M20" i="57"/>
  <c r="N20" i="46"/>
  <c r="O20" i="46"/>
  <c r="N23" i="46"/>
  <c r="D28" i="57"/>
  <c r="F28" i="57" s="1"/>
  <c r="H28" i="57" s="1"/>
  <c r="K28" i="57" s="1"/>
  <c r="I28" i="46"/>
  <c r="O28" i="46" s="1"/>
  <c r="M35" i="57"/>
  <c r="N35" i="46"/>
  <c r="O35" i="46"/>
  <c r="G17" i="59"/>
  <c r="I17" i="48"/>
  <c r="M19" i="59"/>
  <c r="N19" i="48"/>
  <c r="O19" i="48" s="1"/>
  <c r="L49" i="48"/>
  <c r="M54" i="48"/>
  <c r="M29" i="59"/>
  <c r="N29" i="48"/>
  <c r="D32" i="60"/>
  <c r="F32" i="60" s="1"/>
  <c r="H32" i="60"/>
  <c r="I32" i="49"/>
  <c r="D78" i="17"/>
  <c r="M17" i="58"/>
  <c r="N17" i="47"/>
  <c r="M20" i="62"/>
  <c r="N20" i="45"/>
  <c r="L50" i="45"/>
  <c r="M55" i="45" s="1"/>
  <c r="N17" i="45"/>
  <c r="D39" i="16"/>
  <c r="D60" i="16"/>
  <c r="E28" i="17" s="1"/>
  <c r="D38" i="17" s="1"/>
  <c r="F60" i="16"/>
  <c r="E48" i="17" s="1"/>
  <c r="E83" i="16"/>
  <c r="E40" i="17" s="1"/>
  <c r="D50" i="17" s="1"/>
  <c r="J20" i="62"/>
  <c r="K20" i="62"/>
  <c r="J23" i="62"/>
  <c r="F29" i="45"/>
  <c r="I29" i="45" s="1"/>
  <c r="O29" i="45" s="1"/>
  <c r="D61" i="17"/>
  <c r="N32" i="45"/>
  <c r="K38" i="7"/>
  <c r="I23" i="1"/>
  <c r="O23" i="1"/>
  <c r="D23" i="7"/>
  <c r="F23" i="7"/>
  <c r="H23" i="7" s="1"/>
  <c r="I18" i="1"/>
  <c r="O18" i="1" s="1"/>
  <c r="D18" i="7"/>
  <c r="F18" i="7" s="1"/>
  <c r="G30" i="7"/>
  <c r="G49" i="1"/>
  <c r="I44" i="50"/>
  <c r="O44" i="50" s="1"/>
  <c r="D44" i="61"/>
  <c r="F44" i="61" s="1"/>
  <c r="H44" i="61" s="1"/>
  <c r="G34" i="61"/>
  <c r="I34" i="50"/>
  <c r="O34" i="50"/>
  <c r="G21" i="61"/>
  <c r="I21" i="50"/>
  <c r="N31" i="46"/>
  <c r="O31" i="46" s="1"/>
  <c r="G49" i="50"/>
  <c r="N21" i="47"/>
  <c r="O21" i="47"/>
  <c r="H65" i="31"/>
  <c r="G65" i="31"/>
  <c r="J65" i="31"/>
  <c r="K24" i="61"/>
  <c r="I30" i="1"/>
  <c r="O30" i="1" s="1"/>
  <c r="M19" i="7"/>
  <c r="N19" i="1"/>
  <c r="H49" i="47"/>
  <c r="I36" i="47"/>
  <c r="M49" i="47"/>
  <c r="M42" i="59"/>
  <c r="N42" i="48"/>
  <c r="N16" i="49"/>
  <c r="D18" i="60"/>
  <c r="I18" i="49"/>
  <c r="D31" i="60"/>
  <c r="F31" i="60" s="1"/>
  <c r="H31" i="60" s="1"/>
  <c r="K31" i="60" s="1"/>
  <c r="H30" i="57"/>
  <c r="K30" i="57"/>
  <c r="H43" i="60"/>
  <c r="H30" i="7"/>
  <c r="K30" i="7"/>
  <c r="H28" i="7"/>
  <c r="K28" i="7"/>
  <c r="D26" i="7"/>
  <c r="F26" i="7"/>
  <c r="H26" i="7" s="1"/>
  <c r="K26" i="7" s="1"/>
  <c r="I26" i="1"/>
  <c r="O26" i="1"/>
  <c r="H49" i="46"/>
  <c r="H49" i="48"/>
  <c r="O36" i="49"/>
  <c r="I46" i="50"/>
  <c r="O46" i="50"/>
  <c r="D46" i="61"/>
  <c r="F46" i="61"/>
  <c r="H46" i="61" s="1"/>
  <c r="K46" i="61" s="1"/>
  <c r="H51" i="31"/>
  <c r="G51" i="31"/>
  <c r="K23" i="7"/>
  <c r="O28" i="49"/>
  <c r="H19" i="60"/>
  <c r="H21" i="61"/>
  <c r="H21" i="57"/>
  <c r="H22" i="57"/>
  <c r="K22" i="57"/>
  <c r="H45" i="7"/>
  <c r="K45" i="7"/>
  <c r="O20" i="1"/>
  <c r="G35" i="7"/>
  <c r="I35" i="1"/>
  <c r="O35" i="1"/>
  <c r="G29" i="7"/>
  <c r="H29" i="7"/>
  <c r="O29" i="1"/>
  <c r="G21" i="7"/>
  <c r="H21" i="7" s="1"/>
  <c r="I21" i="1"/>
  <c r="O21" i="1" s="1"/>
  <c r="M49" i="1"/>
  <c r="M19" i="57"/>
  <c r="N19" i="46"/>
  <c r="M39" i="57"/>
  <c r="N39" i="46"/>
  <c r="O39" i="46" s="1"/>
  <c r="I43" i="46"/>
  <c r="O43" i="46" s="1"/>
  <c r="D43" i="57"/>
  <c r="F43" i="57" s="1"/>
  <c r="H43" i="57"/>
  <c r="G16" i="58"/>
  <c r="G49" i="47"/>
  <c r="M18" i="58"/>
  <c r="N18" i="47"/>
  <c r="I33" i="47"/>
  <c r="O33" i="47" s="1"/>
  <c r="G33" i="58"/>
  <c r="H33" i="58" s="1"/>
  <c r="H34" i="58"/>
  <c r="K34" i="58" s="1"/>
  <c r="I34" i="47"/>
  <c r="O34" i="47" s="1"/>
  <c r="O26" i="48"/>
  <c r="I42" i="1"/>
  <c r="O42" i="1" s="1"/>
  <c r="I40" i="1"/>
  <c r="O40" i="1" s="1"/>
  <c r="N41" i="1"/>
  <c r="O41" i="1" s="1"/>
  <c r="I21" i="46"/>
  <c r="I22" i="46"/>
  <c r="O22" i="46"/>
  <c r="N45" i="46"/>
  <c r="N42" i="46"/>
  <c r="O42" i="46"/>
  <c r="H16" i="58"/>
  <c r="I24" i="47"/>
  <c r="O24" i="48"/>
  <c r="O46" i="1"/>
  <c r="M46" i="7"/>
  <c r="N31" i="1"/>
  <c r="O31" i="1" s="1"/>
  <c r="N25" i="1"/>
  <c r="O25" i="1" s="1"/>
  <c r="M25" i="7"/>
  <c r="D27" i="57"/>
  <c r="I27" i="46"/>
  <c r="O27" i="46" s="1"/>
  <c r="I27" i="47"/>
  <c r="O27" i="47" s="1"/>
  <c r="D27" i="58"/>
  <c r="F27" i="58" s="1"/>
  <c r="H27" i="58" s="1"/>
  <c r="K27" i="58" s="1"/>
  <c r="G106" i="31"/>
  <c r="K38" i="59"/>
  <c r="J38" i="59"/>
  <c r="I46" i="46"/>
  <c r="K49" i="47"/>
  <c r="N33" i="47"/>
  <c r="I44" i="47"/>
  <c r="O44" i="47" s="1"/>
  <c r="N45" i="47"/>
  <c r="O45" i="47" s="1"/>
  <c r="I21" i="49"/>
  <c r="N21" i="49"/>
  <c r="I43" i="50"/>
  <c r="O43" i="50" s="1"/>
  <c r="G43" i="61"/>
  <c r="H43" i="61" s="1"/>
  <c r="O23" i="45"/>
  <c r="I27" i="31"/>
  <c r="E72" i="31"/>
  <c r="J72" i="31" s="1"/>
  <c r="I45" i="47"/>
  <c r="D45" i="58"/>
  <c r="F45" i="58"/>
  <c r="H45" i="58" s="1"/>
  <c r="K45" i="58"/>
  <c r="O47" i="49"/>
  <c r="J35" i="31"/>
  <c r="I35" i="31"/>
  <c r="G78" i="31"/>
  <c r="I18" i="50"/>
  <c r="N41" i="45"/>
  <c r="O41" i="45"/>
  <c r="J93" i="31"/>
  <c r="N32" i="49"/>
  <c r="O32" i="49" s="1"/>
  <c r="I69" i="31"/>
  <c r="G81" i="31"/>
  <c r="I104" i="31"/>
  <c r="G88" i="31"/>
  <c r="I21" i="45"/>
  <c r="O21" i="45" s="1"/>
  <c r="I24" i="21"/>
  <c r="I28" i="21" s="1"/>
  <c r="N18" i="30"/>
  <c r="D57" i="17"/>
  <c r="F57" i="17" s="1"/>
  <c r="F28" i="17"/>
  <c r="G28" i="17" s="1"/>
  <c r="O19" i="1"/>
  <c r="I72" i="31"/>
  <c r="G49" i="58"/>
  <c r="E27" i="17"/>
  <c r="D37" i="17" s="1"/>
  <c r="D40" i="17"/>
  <c r="G30" i="17"/>
  <c r="D67" i="17"/>
  <c r="D29" i="62"/>
  <c r="F29" i="62" s="1"/>
  <c r="H29" i="62" s="1"/>
  <c r="K29" i="62" s="1"/>
  <c r="F27" i="57"/>
  <c r="H27" i="57" s="1"/>
  <c r="D49" i="57"/>
  <c r="F49" i="57" s="1"/>
  <c r="H17" i="59"/>
  <c r="E77" i="17"/>
  <c r="F67" i="17"/>
  <c r="D77" i="17"/>
  <c r="O21" i="49"/>
  <c r="O21" i="46"/>
  <c r="O18" i="49"/>
  <c r="H18" i="7"/>
  <c r="O17" i="48"/>
  <c r="F27" i="17"/>
  <c r="G27" i="17"/>
  <c r="F60" i="17"/>
  <c r="F69" i="17"/>
  <c r="F50" i="17"/>
  <c r="J29" i="6"/>
  <c r="J20" i="6" s="1"/>
  <c r="P20" i="6" s="1"/>
  <c r="P22" i="6" s="1"/>
  <c r="J21" i="6"/>
  <c r="P21" i="6" s="1"/>
  <c r="E52" i="22"/>
  <c r="E53" i="22"/>
  <c r="E54" i="22"/>
  <c r="E55" i="22"/>
  <c r="E97" i="22" s="1"/>
  <c r="F55" i="22"/>
  <c r="E56" i="22"/>
  <c r="E59" i="22" s="1"/>
  <c r="E57" i="22"/>
  <c r="E58" i="22"/>
  <c r="E94" i="22"/>
  <c r="E96" i="22"/>
  <c r="F97" i="22"/>
  <c r="D126" i="22" s="1"/>
  <c r="E126" i="22" s="1"/>
  <c r="F126" i="22" s="1"/>
  <c r="E99" i="22"/>
  <c r="F19" i="30"/>
  <c r="H19" i="30"/>
  <c r="I19" i="30" s="1"/>
  <c r="K19" i="30"/>
  <c r="M19" i="30"/>
  <c r="T20" i="76"/>
  <c r="I31" i="76"/>
  <c r="T21" i="76"/>
  <c r="N19" i="72"/>
  <c r="N18" i="72"/>
  <c r="R21" i="71"/>
  <c r="L32" i="71"/>
  <c r="R32" i="71" s="1"/>
  <c r="H32" i="71"/>
  <c r="P17" i="70"/>
  <c r="P19" i="70"/>
  <c r="D18" i="20"/>
  <c r="E23" i="22" l="1"/>
  <c r="E18" i="22"/>
  <c r="E21" i="22"/>
  <c r="E17" i="22"/>
  <c r="E24" i="22" s="1"/>
  <c r="E19" i="22"/>
  <c r="I25" i="24"/>
  <c r="O26" i="49"/>
  <c r="J22" i="6"/>
  <c r="F77" i="17"/>
  <c r="G77" i="17" s="1"/>
  <c r="D87" i="17"/>
  <c r="G69" i="17"/>
  <c r="O17" i="45"/>
  <c r="F98" i="22"/>
  <c r="D127" i="22" s="1"/>
  <c r="E127" i="22" s="1"/>
  <c r="F127" i="22" s="1"/>
  <c r="E98" i="22"/>
  <c r="F94" i="22"/>
  <c r="D123" i="22" s="1"/>
  <c r="E123" i="22" s="1"/>
  <c r="F123" i="22" s="1"/>
  <c r="F24" i="22"/>
  <c r="G107" i="16"/>
  <c r="H15" i="20" s="1"/>
  <c r="E58" i="17"/>
  <c r="M49" i="59"/>
  <c r="H35" i="7"/>
  <c r="K35" i="7" s="1"/>
  <c r="J25" i="6"/>
  <c r="F70" i="17"/>
  <c r="O16" i="49"/>
  <c r="O46" i="46"/>
  <c r="M49" i="7"/>
  <c r="G70" i="17"/>
  <c r="O34" i="1"/>
  <c r="N22" i="30"/>
  <c r="F59" i="22"/>
  <c r="I84" i="31"/>
  <c r="J84" i="31"/>
  <c r="O20" i="45"/>
  <c r="O27" i="50"/>
  <c r="N19" i="30"/>
  <c r="G67" i="17"/>
  <c r="G50" i="17"/>
  <c r="M49" i="61"/>
  <c r="O18" i="47"/>
  <c r="O37" i="46"/>
  <c r="M50" i="62"/>
  <c r="O20" i="47"/>
  <c r="J34" i="59"/>
  <c r="K34" i="59"/>
  <c r="J24" i="62"/>
  <c r="K24" i="62"/>
  <c r="J26" i="6"/>
  <c r="P26" i="6" s="1"/>
  <c r="D50" i="62"/>
  <c r="F50" i="62" s="1"/>
  <c r="H50" i="62" s="1"/>
  <c r="F40" i="17"/>
  <c r="G40" i="17" s="1"/>
  <c r="G57" i="17"/>
  <c r="G49" i="61"/>
  <c r="D58" i="17"/>
  <c r="G60" i="17"/>
  <c r="N20" i="30"/>
  <c r="F51" i="17"/>
  <c r="G51" i="17" s="1"/>
  <c r="O22" i="45"/>
  <c r="I61" i="31"/>
  <c r="G61" i="31"/>
  <c r="G40" i="31"/>
  <c r="H40" i="31"/>
  <c r="H37" i="7"/>
  <c r="O39" i="50"/>
  <c r="O19" i="50"/>
  <c r="O22" i="47"/>
  <c r="I19" i="46"/>
  <c r="O19" i="46" s="1"/>
  <c r="O46" i="45"/>
  <c r="I23" i="50"/>
  <c r="O23" i="50" s="1"/>
  <c r="N44" i="9"/>
  <c r="M45" i="9"/>
  <c r="N45" i="9" s="1"/>
  <c r="H82" i="5"/>
  <c r="G18" i="20"/>
  <c r="I26" i="9"/>
  <c r="J25" i="9"/>
  <c r="J37" i="9"/>
  <c r="I38" i="9"/>
  <c r="G44" i="7"/>
  <c r="H44" i="7" s="1"/>
  <c r="I44" i="1"/>
  <c r="O44" i="1" s="1"/>
  <c r="G49" i="46"/>
  <c r="I16" i="46"/>
  <c r="D23" i="58"/>
  <c r="F23" i="58" s="1"/>
  <c r="H23" i="58" s="1"/>
  <c r="I23" i="47"/>
  <c r="O23" i="47" s="1"/>
  <c r="O20" i="48"/>
  <c r="G33" i="59"/>
  <c r="H33" i="59" s="1"/>
  <c r="I33" i="48"/>
  <c r="O33" i="48" s="1"/>
  <c r="G22" i="60"/>
  <c r="G49" i="60" s="1"/>
  <c r="I22" i="49"/>
  <c r="O22" i="49" s="1"/>
  <c r="G49" i="49"/>
  <c r="I38" i="49"/>
  <c r="O38" i="49" s="1"/>
  <c r="D38" i="60"/>
  <c r="F38" i="60" s="1"/>
  <c r="H38" i="60" s="1"/>
  <c r="K38" i="60" s="1"/>
  <c r="E20" i="22"/>
  <c r="E22" i="22"/>
  <c r="E34" i="70"/>
  <c r="P34" i="70" s="1"/>
  <c r="E100" i="22"/>
  <c r="F50" i="45"/>
  <c r="F61" i="17"/>
  <c r="G61" i="17" s="1"/>
  <c r="F18" i="60"/>
  <c r="H18" i="60" s="1"/>
  <c r="N21" i="50"/>
  <c r="O21" i="50" s="1"/>
  <c r="K49" i="1"/>
  <c r="F49" i="46"/>
  <c r="L49" i="46"/>
  <c r="M54" i="46" s="1"/>
  <c r="I32" i="1"/>
  <c r="O32" i="1" s="1"/>
  <c r="I29" i="46"/>
  <c r="N18" i="46"/>
  <c r="N27" i="1"/>
  <c r="O27" i="1" s="1"/>
  <c r="G16" i="57"/>
  <c r="N23" i="49"/>
  <c r="O23" i="49" s="1"/>
  <c r="K41" i="61"/>
  <c r="F95" i="22"/>
  <c r="D124" i="22" s="1"/>
  <c r="E124" i="22" s="1"/>
  <c r="F124" i="22" s="1"/>
  <c r="I17" i="30"/>
  <c r="N17" i="30" s="1"/>
  <c r="I16" i="30"/>
  <c r="I23" i="30" s="1"/>
  <c r="D37" i="59"/>
  <c r="F37" i="59" s="1"/>
  <c r="H37" i="59" s="1"/>
  <c r="G49" i="48"/>
  <c r="G23" i="57"/>
  <c r="H23" i="57" s="1"/>
  <c r="J25" i="59"/>
  <c r="I32" i="45"/>
  <c r="O32" i="45" s="1"/>
  <c r="H38" i="62"/>
  <c r="N34" i="1"/>
  <c r="N49" i="1" s="1"/>
  <c r="N16" i="48"/>
  <c r="N49" i="48" s="1"/>
  <c r="J45" i="59"/>
  <c r="O28" i="1"/>
  <c r="G42" i="59"/>
  <c r="H42" i="59" s="1"/>
  <c r="I34" i="49"/>
  <c r="O34" i="49" s="1"/>
  <c r="H42" i="60"/>
  <c r="J30" i="61"/>
  <c r="E82" i="5"/>
  <c r="J23" i="61"/>
  <c r="K23" i="61"/>
  <c r="C81" i="5"/>
  <c r="C82" i="5" s="1"/>
  <c r="H78" i="5"/>
  <c r="D34" i="29"/>
  <c r="D32" i="29"/>
  <c r="D33" i="29"/>
  <c r="J24" i="58"/>
  <c r="K24" i="58"/>
  <c r="K28" i="59"/>
  <c r="J28" i="59"/>
  <c r="K26" i="58"/>
  <c r="J26" i="57"/>
  <c r="K26" i="57"/>
  <c r="J20" i="59"/>
  <c r="K20" i="59"/>
  <c r="K25" i="7"/>
  <c r="J25" i="7"/>
  <c r="D33" i="7"/>
  <c r="F33" i="7" s="1"/>
  <c r="H33" i="7" s="1"/>
  <c r="K33" i="7" s="1"/>
  <c r="I33" i="1"/>
  <c r="O33" i="1" s="1"/>
  <c r="N26" i="46"/>
  <c r="O26" i="46" s="1"/>
  <c r="M26" i="57"/>
  <c r="M49" i="57" s="1"/>
  <c r="D17" i="58"/>
  <c r="I17" i="47"/>
  <c r="O37" i="47"/>
  <c r="D29" i="59"/>
  <c r="F29" i="59" s="1"/>
  <c r="H29" i="59" s="1"/>
  <c r="I29" i="48"/>
  <c r="O29" i="48" s="1"/>
  <c r="M19" i="60"/>
  <c r="M49" i="60" s="1"/>
  <c r="N19" i="49"/>
  <c r="O19" i="49" s="1"/>
  <c r="L49" i="49"/>
  <c r="M54" i="49" s="1"/>
  <c r="H22" i="60"/>
  <c r="K22" i="60" s="1"/>
  <c r="K49" i="60" s="1"/>
  <c r="D22" i="61"/>
  <c r="I22" i="50"/>
  <c r="O22" i="50" s="1"/>
  <c r="N18" i="50"/>
  <c r="M18" i="61"/>
  <c r="I31" i="57"/>
  <c r="E33" i="46"/>
  <c r="I33" i="57" s="1"/>
  <c r="J30" i="59"/>
  <c r="K30" i="59"/>
  <c r="K46" i="62"/>
  <c r="H21" i="62"/>
  <c r="H50" i="45"/>
  <c r="N21" i="72"/>
  <c r="H34" i="72"/>
  <c r="K23" i="30"/>
  <c r="M23" i="30" s="1"/>
  <c r="N23" i="30" s="1"/>
  <c r="I50" i="45"/>
  <c r="D46" i="58"/>
  <c r="F46" i="58" s="1"/>
  <c r="H46" i="58" s="1"/>
  <c r="K46" i="58" s="1"/>
  <c r="K31" i="58"/>
  <c r="L49" i="1"/>
  <c r="M54" i="1" s="1"/>
  <c r="F49" i="48"/>
  <c r="G84" i="31"/>
  <c r="H84" i="31"/>
  <c r="I34" i="48"/>
  <c r="O34" i="48" s="1"/>
  <c r="N30" i="46"/>
  <c r="O30" i="46" s="1"/>
  <c r="O27" i="45"/>
  <c r="O24" i="50"/>
  <c r="H42" i="62"/>
  <c r="K42" i="62" s="1"/>
  <c r="J26" i="58"/>
  <c r="M26" i="58"/>
  <c r="N22" i="50"/>
  <c r="H34" i="60"/>
  <c r="K34" i="60" s="1"/>
  <c r="J18" i="20"/>
  <c r="N20" i="47"/>
  <c r="N49" i="47" s="1"/>
  <c r="M20" i="58"/>
  <c r="G27" i="59"/>
  <c r="I27" i="48"/>
  <c r="H106" i="16"/>
  <c r="J106" i="16"/>
  <c r="E91" i="17" s="1"/>
  <c r="F91" i="17" s="1"/>
  <c r="G91" i="17" s="1"/>
  <c r="H60" i="31"/>
  <c r="G60" i="31"/>
  <c r="D61" i="31"/>
  <c r="H61" i="31" s="1"/>
  <c r="H90" i="31"/>
  <c r="G90" i="31"/>
  <c r="J39" i="31"/>
  <c r="E40" i="31"/>
  <c r="J31" i="31"/>
  <c r="G31" i="31"/>
  <c r="O24" i="45"/>
  <c r="O31" i="48"/>
  <c r="D80" i="5"/>
  <c r="I80" i="5"/>
  <c r="P43" i="9"/>
  <c r="Q43" i="9"/>
  <c r="Q22" i="9"/>
  <c r="M29" i="9"/>
  <c r="N28" i="9"/>
  <c r="N33" i="46"/>
  <c r="O33" i="46" s="1"/>
  <c r="L49" i="47"/>
  <c r="M54" i="47" s="1"/>
  <c r="I40" i="49"/>
  <c r="O40" i="49" s="1"/>
  <c r="D40" i="60"/>
  <c r="F40" i="60" s="1"/>
  <c r="H40" i="60" s="1"/>
  <c r="K34" i="57"/>
  <c r="F82" i="5"/>
  <c r="O26" i="12"/>
  <c r="L28" i="12"/>
  <c r="O28" i="12" s="1"/>
  <c r="M42" i="9"/>
  <c r="N42" i="9" s="1"/>
  <c r="N38" i="9"/>
  <c r="M40" i="9"/>
  <c r="N40" i="9" s="1"/>
  <c r="G78" i="5"/>
  <c r="H36" i="7"/>
  <c r="K36" i="7" s="1"/>
  <c r="I17" i="1"/>
  <c r="O17" i="1" s="1"/>
  <c r="D17" i="7"/>
  <c r="E27" i="45"/>
  <c r="I27" i="62" s="1"/>
  <c r="E27" i="46"/>
  <c r="I27" i="57" s="1"/>
  <c r="E27" i="48"/>
  <c r="I27" i="59" s="1"/>
  <c r="E27" i="1"/>
  <c r="I27" i="7" s="1"/>
  <c r="E23" i="47"/>
  <c r="I23" i="58" s="1"/>
  <c r="E23" i="46"/>
  <c r="I23" i="57" s="1"/>
  <c r="E23" i="48"/>
  <c r="I23" i="59" s="1"/>
  <c r="G36" i="7"/>
  <c r="I36" i="1"/>
  <c r="O36" i="1" s="1"/>
  <c r="H33" i="57"/>
  <c r="I28" i="50"/>
  <c r="O28" i="50" s="1"/>
  <c r="D28" i="61"/>
  <c r="F28" i="61" s="1"/>
  <c r="H28" i="61" s="1"/>
  <c r="K28" i="61" s="1"/>
  <c r="I31" i="59"/>
  <c r="E33" i="48"/>
  <c r="I33" i="59" s="1"/>
  <c r="N24" i="45"/>
  <c r="H64" i="31"/>
  <c r="G64" i="31"/>
  <c r="K35" i="58"/>
  <c r="G48" i="5"/>
  <c r="G54" i="5" s="1"/>
  <c r="O39" i="1"/>
  <c r="N38" i="1"/>
  <c r="O38" i="1" s="1"/>
  <c r="N29" i="46"/>
  <c r="H37" i="58"/>
  <c r="H40" i="58"/>
  <c r="N38" i="48"/>
  <c r="O38" i="48" s="1"/>
  <c r="H28" i="60"/>
  <c r="K28" i="60" s="1"/>
  <c r="I39" i="49"/>
  <c r="O39" i="49" s="1"/>
  <c r="I31" i="61"/>
  <c r="E33" i="50"/>
  <c r="I33" i="61" s="1"/>
  <c r="E60" i="16"/>
  <c r="E38" i="17" s="1"/>
  <c r="I83" i="16"/>
  <c r="E80" i="17" s="1"/>
  <c r="G34" i="72"/>
  <c r="N17" i="72"/>
  <c r="N34" i="72"/>
  <c r="J24" i="57"/>
  <c r="K24" i="57"/>
  <c r="K28" i="58"/>
  <c r="I16" i="1"/>
  <c r="J34" i="7"/>
  <c r="K34" i="7"/>
  <c r="I34" i="46"/>
  <c r="O34" i="46" s="1"/>
  <c r="N37" i="46"/>
  <c r="I45" i="46"/>
  <c r="O45" i="46" s="1"/>
  <c r="N24" i="47"/>
  <c r="O24" i="47" s="1"/>
  <c r="N41" i="47"/>
  <c r="O41" i="47" s="1"/>
  <c r="O40" i="48"/>
  <c r="N26" i="49"/>
  <c r="N31" i="49"/>
  <c r="O31" i="49" s="1"/>
  <c r="I42" i="49"/>
  <c r="O42" i="49" s="1"/>
  <c r="H39" i="61"/>
  <c r="E39" i="16"/>
  <c r="F71" i="16"/>
  <c r="G104" i="31"/>
  <c r="G98" i="31"/>
  <c r="J91" i="31"/>
  <c r="E107" i="31"/>
  <c r="F49" i="1"/>
  <c r="N30" i="50"/>
  <c r="O30" i="50" s="1"/>
  <c r="N27" i="45"/>
  <c r="N19" i="45"/>
  <c r="N50" i="45" s="1"/>
  <c r="D71" i="16"/>
  <c r="D19" i="20"/>
  <c r="N46" i="49"/>
  <c r="O46" i="49" s="1"/>
  <c r="J39" i="16"/>
  <c r="I60" i="16"/>
  <c r="E78" i="17" s="1"/>
  <c r="J83" i="16"/>
  <c r="E90" i="17" s="1"/>
  <c r="D106" i="16"/>
  <c r="E31" i="17" s="1"/>
  <c r="I34" i="70"/>
  <c r="T22" i="76"/>
  <c r="E33" i="47"/>
  <c r="I33" i="58" s="1"/>
  <c r="F34" i="70"/>
  <c r="J34" i="70"/>
  <c r="M32" i="75"/>
  <c r="N31" i="76"/>
  <c r="T31" i="76" s="1"/>
  <c r="R31" i="76"/>
  <c r="T24" i="76"/>
  <c r="G89" i="31"/>
  <c r="G34" i="70"/>
  <c r="R20" i="71"/>
  <c r="Q33" i="74"/>
  <c r="P31" i="76"/>
  <c r="F78" i="17" l="1"/>
  <c r="G78" i="17" s="1"/>
  <c r="D88" i="17"/>
  <c r="E29" i="17"/>
  <c r="D107" i="16"/>
  <c r="E15" i="20" s="1"/>
  <c r="J27" i="57"/>
  <c r="K27" i="57"/>
  <c r="O27" i="48"/>
  <c r="I49" i="48"/>
  <c r="F32" i="29"/>
  <c r="M32" i="29"/>
  <c r="F58" i="17"/>
  <c r="G58" i="17" s="1"/>
  <c r="D68" i="17"/>
  <c r="E87" i="17"/>
  <c r="J107" i="16"/>
  <c r="K15" i="20" s="1"/>
  <c r="E108" i="31"/>
  <c r="J107" i="31"/>
  <c r="I107" i="31"/>
  <c r="J31" i="59"/>
  <c r="K31" i="59"/>
  <c r="J23" i="58"/>
  <c r="K23" i="58"/>
  <c r="K49" i="58" s="1"/>
  <c r="F34" i="29"/>
  <c r="M34" i="29"/>
  <c r="G49" i="57"/>
  <c r="H49" i="57" s="1"/>
  <c r="H16" i="57"/>
  <c r="N16" i="30"/>
  <c r="O49" i="49"/>
  <c r="N49" i="49"/>
  <c r="F31" i="17"/>
  <c r="G31" i="17" s="1"/>
  <c r="D41" i="17"/>
  <c r="E37" i="17"/>
  <c r="E107" i="16"/>
  <c r="F15" i="20" s="1"/>
  <c r="K31" i="61"/>
  <c r="J31" i="61"/>
  <c r="J27" i="7"/>
  <c r="K27" i="7"/>
  <c r="K49" i="7" s="1"/>
  <c r="D49" i="7"/>
  <c r="F49" i="7" s="1"/>
  <c r="F17" i="7"/>
  <c r="H17" i="7" s="1"/>
  <c r="D81" i="5"/>
  <c r="D82" i="5" s="1"/>
  <c r="M49" i="58"/>
  <c r="F17" i="58"/>
  <c r="H17" i="58" s="1"/>
  <c r="D49" i="58"/>
  <c r="F49" i="58" s="1"/>
  <c r="H49" i="58" s="1"/>
  <c r="D49" i="59"/>
  <c r="F49" i="59" s="1"/>
  <c r="Q37" i="9"/>
  <c r="P37" i="9"/>
  <c r="I107" i="16"/>
  <c r="J15" i="20" s="1"/>
  <c r="D49" i="60"/>
  <c r="F49" i="60" s="1"/>
  <c r="H49" i="60" s="1"/>
  <c r="I49" i="49"/>
  <c r="G20" i="22"/>
  <c r="G19" i="22"/>
  <c r="G22" i="22"/>
  <c r="G18" i="22"/>
  <c r="G21" i="22"/>
  <c r="G17" i="22"/>
  <c r="G24" i="22" s="1"/>
  <c r="G23" i="22"/>
  <c r="I49" i="1"/>
  <c r="O16" i="1"/>
  <c r="O49" i="1" s="1"/>
  <c r="D48" i="17"/>
  <c r="F38" i="17"/>
  <c r="G38" i="17" s="1"/>
  <c r="J33" i="59"/>
  <c r="K33" i="59"/>
  <c r="K23" i="57"/>
  <c r="J23" i="57"/>
  <c r="I81" i="5"/>
  <c r="I82" i="5" s="1"/>
  <c r="J33" i="57"/>
  <c r="K33" i="57"/>
  <c r="O29" i="46"/>
  <c r="I27" i="9"/>
  <c r="J26" i="9"/>
  <c r="G49" i="7"/>
  <c r="E49" i="17"/>
  <c r="F107" i="16"/>
  <c r="G15" i="20" s="1"/>
  <c r="K33" i="61"/>
  <c r="J33" i="61"/>
  <c r="I28" i="62"/>
  <c r="J27" i="62"/>
  <c r="K27" i="62"/>
  <c r="G49" i="59"/>
  <c r="J31" i="57"/>
  <c r="K31" i="57"/>
  <c r="F22" i="61"/>
  <c r="H22" i="61" s="1"/>
  <c r="K22" i="61" s="1"/>
  <c r="D49" i="61"/>
  <c r="F49" i="61" s="1"/>
  <c r="H49" i="61" s="1"/>
  <c r="O17" i="47"/>
  <c r="O49" i="47" s="1"/>
  <c r="I49" i="47"/>
  <c r="O16" i="48"/>
  <c r="O49" i="48" s="1"/>
  <c r="I49" i="46"/>
  <c r="O16" i="46"/>
  <c r="O49" i="46" s="1"/>
  <c r="J38" i="9"/>
  <c r="Q38" i="9" s="1"/>
  <c r="I40" i="9"/>
  <c r="J40" i="9" s="1"/>
  <c r="Q40" i="9" s="1"/>
  <c r="I41" i="9"/>
  <c r="I42" i="9"/>
  <c r="J42" i="9" s="1"/>
  <c r="Q42" i="9" s="1"/>
  <c r="E82" i="17"/>
  <c r="H19" i="20"/>
  <c r="H16" i="20"/>
  <c r="E62" i="17"/>
  <c r="J33" i="58"/>
  <c r="K33" i="58"/>
  <c r="F90" i="17"/>
  <c r="D90" i="17"/>
  <c r="F80" i="17"/>
  <c r="G80" i="17" s="1"/>
  <c r="J23" i="59"/>
  <c r="K23" i="59"/>
  <c r="K49" i="59" s="1"/>
  <c r="J27" i="59"/>
  <c r="K27" i="59"/>
  <c r="P38" i="9"/>
  <c r="N29" i="9"/>
  <c r="M30" i="9"/>
  <c r="J40" i="31"/>
  <c r="I40" i="31"/>
  <c r="E71" i="17"/>
  <c r="H107" i="16"/>
  <c r="I15" i="20" s="1"/>
  <c r="N49" i="50"/>
  <c r="O18" i="50"/>
  <c r="O49" i="50" s="1"/>
  <c r="F33" i="29"/>
  <c r="M33" i="29" s="1"/>
  <c r="O18" i="46"/>
  <c r="N49" i="46"/>
  <c r="Q25" i="9"/>
  <c r="P25" i="9"/>
  <c r="O19" i="45"/>
  <c r="O50" i="45" s="1"/>
  <c r="I49" i="50"/>
  <c r="D108" i="31"/>
  <c r="J27" i="6"/>
  <c r="P25" i="6"/>
  <c r="P27" i="6" s="1"/>
  <c r="P29" i="6" s="1"/>
  <c r="H27" i="59"/>
  <c r="H108" i="31" l="1"/>
  <c r="G108" i="31"/>
  <c r="F71" i="17"/>
  <c r="G71" i="17" s="1"/>
  <c r="D81" i="17"/>
  <c r="E72" i="17"/>
  <c r="P42" i="9"/>
  <c r="P40" i="9"/>
  <c r="D47" i="17"/>
  <c r="F37" i="17"/>
  <c r="G37" i="17" s="1"/>
  <c r="E42" i="17"/>
  <c r="E92" i="17"/>
  <c r="F87" i="17"/>
  <c r="G87" i="17" s="1"/>
  <c r="M36" i="29"/>
  <c r="F88" i="17"/>
  <c r="G88" i="17" s="1"/>
  <c r="D92" i="17"/>
  <c r="I16" i="20"/>
  <c r="I19" i="20"/>
  <c r="M31" i="9"/>
  <c r="N31" i="9" s="1"/>
  <c r="N30" i="9"/>
  <c r="G90" i="17"/>
  <c r="K49" i="61"/>
  <c r="Q26" i="9"/>
  <c r="P26" i="9"/>
  <c r="H49" i="59"/>
  <c r="F41" i="17"/>
  <c r="G41" i="17" s="1"/>
  <c r="F68" i="17"/>
  <c r="G68" i="17"/>
  <c r="D72" i="17"/>
  <c r="G16" i="20"/>
  <c r="G19" i="20"/>
  <c r="J27" i="9"/>
  <c r="I28" i="9"/>
  <c r="K49" i="57"/>
  <c r="F48" i="17"/>
  <c r="G48" i="17" s="1"/>
  <c r="J19" i="20"/>
  <c r="J16" i="20"/>
  <c r="H49" i="7"/>
  <c r="J108" i="31"/>
  <c r="I108" i="31"/>
  <c r="E16" i="20"/>
  <c r="E19" i="20"/>
  <c r="J41" i="9"/>
  <c r="I44" i="9"/>
  <c r="J28" i="62"/>
  <c r="K28" i="62"/>
  <c r="K50" i="62" s="1"/>
  <c r="F49" i="17"/>
  <c r="G49" i="17" s="1"/>
  <c r="D59" i="17"/>
  <c r="E52" i="17"/>
  <c r="F19" i="20"/>
  <c r="F16" i="20"/>
  <c r="K19" i="20"/>
  <c r="K16" i="20"/>
  <c r="F29" i="17"/>
  <c r="G29" i="17" s="1"/>
  <c r="D39" i="17"/>
  <c r="E32" i="17"/>
  <c r="F32" i="17" s="1"/>
  <c r="G32" i="17" s="1"/>
  <c r="G81" i="17" l="1"/>
  <c r="F81" i="17"/>
  <c r="D82" i="17"/>
  <c r="F59" i="17"/>
  <c r="G59" i="17" s="1"/>
  <c r="D62" i="17"/>
  <c r="J44" i="9"/>
  <c r="I45" i="9"/>
  <c r="J45" i="9" s="1"/>
  <c r="J28" i="9"/>
  <c r="I29" i="9"/>
  <c r="D101" i="17"/>
  <c r="G47" i="17"/>
  <c r="F47" i="17"/>
  <c r="D52" i="17"/>
  <c r="N36" i="9"/>
  <c r="F39" i="17"/>
  <c r="G39" i="17" s="1"/>
  <c r="D42" i="17"/>
  <c r="F42" i="17" s="1"/>
  <c r="Q41" i="9"/>
  <c r="P41" i="9"/>
  <c r="Q27" i="9"/>
  <c r="P27" i="9"/>
  <c r="F92" i="17"/>
  <c r="G92" i="17" s="1"/>
  <c r="E101" i="17"/>
  <c r="F72" i="17"/>
  <c r="G72" i="17" s="1"/>
  <c r="Q44" i="9" l="1"/>
  <c r="P44" i="9"/>
  <c r="F82" i="17"/>
  <c r="G82" i="17" s="1"/>
  <c r="N39" i="9"/>
  <c r="J29" i="9"/>
  <c r="I30" i="9"/>
  <c r="F62" i="17"/>
  <c r="G62" i="17" s="1"/>
  <c r="G42" i="17"/>
  <c r="Q28" i="9"/>
  <c r="P28" i="9"/>
  <c r="F101" i="17"/>
  <c r="G101" i="17" s="1"/>
  <c r="E104" i="17"/>
  <c r="Q45" i="9"/>
  <c r="P45" i="9"/>
  <c r="F52" i="17"/>
  <c r="G52" i="17" s="1"/>
  <c r="J30" i="9" l="1"/>
  <c r="I31" i="9"/>
  <c r="J31" i="9" s="1"/>
  <c r="Q29" i="9"/>
  <c r="P29" i="9"/>
  <c r="F104" i="17"/>
  <c r="G104" i="17" s="1"/>
  <c r="G105" i="17" s="1"/>
  <c r="G106" i="17"/>
  <c r="N48" i="9"/>
  <c r="N49" i="9" l="1"/>
  <c r="Q31" i="9"/>
  <c r="P31" i="9"/>
  <c r="J36" i="9"/>
  <c r="Q30" i="9"/>
  <c r="P30" i="9"/>
  <c r="J39" i="9" l="1"/>
  <c r="Q36" i="9"/>
  <c r="P36" i="9"/>
  <c r="N50" i="9"/>
  <c r="N51" i="9" l="1"/>
  <c r="J48" i="9"/>
  <c r="Q39" i="9"/>
  <c r="P39" i="9"/>
  <c r="J50" i="9" l="1"/>
  <c r="Q48" i="9"/>
  <c r="J49" i="9"/>
  <c r="P48" i="9"/>
  <c r="N52" i="9"/>
  <c r="J52" i="9" l="1"/>
  <c r="Q52" i="9" s="1"/>
  <c r="Q50" i="9"/>
  <c r="J51" i="9"/>
  <c r="P50" i="9"/>
  <c r="P52" i="9"/>
  <c r="Q49" i="9"/>
  <c r="P49" i="9"/>
  <c r="Q51" i="9" l="1"/>
  <c r="P51" i="9"/>
</calcChain>
</file>

<file path=xl/sharedStrings.xml><?xml version="1.0" encoding="utf-8"?>
<sst xmlns="http://schemas.openxmlformats.org/spreadsheetml/2006/main" count="3063" uniqueCount="800">
  <si>
    <t>For 2011, please indicate whether the amounts provided are on a forecast or actual basis.</t>
  </si>
  <si>
    <t>Appendix</t>
  </si>
  <si>
    <t>2-A</t>
  </si>
  <si>
    <t>2-B</t>
  </si>
  <si>
    <t>2-C</t>
  </si>
  <si>
    <t>2-D</t>
  </si>
  <si>
    <t>2-E</t>
  </si>
  <si>
    <t>2-F</t>
  </si>
  <si>
    <t>2-G</t>
  </si>
  <si>
    <t>2-H</t>
  </si>
  <si>
    <t>2-I</t>
  </si>
  <si>
    <t>2-J</t>
  </si>
  <si>
    <t>2-K</t>
  </si>
  <si>
    <t>2-L</t>
  </si>
  <si>
    <t>2-M</t>
  </si>
  <si>
    <t>2-N</t>
  </si>
  <si>
    <t>2-O</t>
  </si>
  <si>
    <t>2-P</t>
  </si>
  <si>
    <t>2-Q</t>
  </si>
  <si>
    <t>2-R</t>
  </si>
  <si>
    <t>2-S</t>
  </si>
  <si>
    <t>2-T</t>
  </si>
  <si>
    <t>2-U</t>
  </si>
  <si>
    <t>2-V</t>
  </si>
  <si>
    <t>2-W</t>
  </si>
  <si>
    <t>Capital Projects Table</t>
  </si>
  <si>
    <t>Appendix 2-A</t>
  </si>
  <si>
    <t>Year:</t>
  </si>
  <si>
    <t>USoA #</t>
  </si>
  <si>
    <t>Contributions and Grants - Credit</t>
  </si>
  <si>
    <t>(Actual, Bridge and Test Years)</t>
  </si>
  <si>
    <t>Appendix 2-B</t>
  </si>
  <si>
    <t>Appendix 2-C</t>
  </si>
  <si>
    <t>Other Operating Revenue</t>
  </si>
  <si>
    <t>Miscellaneous General Expenses</t>
  </si>
  <si>
    <t>Donations (Charitable Contributions)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</si>
  <si>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</si>
  <si>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White cells represent cells with fixed inputs or formulae.  Generally, an applicant should not need to revise these cells, although there may be exceptions to reflect an applicant's individual circumstances.</t>
  </si>
  <si>
    <t>Specific Service Charges</t>
  </si>
  <si>
    <t>Late Payment Charges</t>
  </si>
  <si>
    <t>Retail Services Revenues</t>
  </si>
  <si>
    <t>Appendix 2-M</t>
  </si>
  <si>
    <t>Appendix 2-N</t>
  </si>
  <si>
    <t>Capitalization</t>
  </si>
  <si>
    <t>Appendix 2-Q</t>
  </si>
  <si>
    <t>Bill Impacts</t>
  </si>
  <si>
    <t>Total Bill (including OCEB)</t>
  </si>
  <si>
    <t>Accounts for OM&amp;A Analysis</t>
  </si>
  <si>
    <t>Embedded Distribution Low Voltage Charges -</t>
  </si>
  <si>
    <t>(3)</t>
  </si>
  <si>
    <t>(4)</t>
  </si>
  <si>
    <t>(5)</t>
  </si>
  <si>
    <t>(6) = '(3) + (4)</t>
  </si>
  <si>
    <t>Asset Class</t>
  </si>
  <si>
    <t>Total OM&amp;A costs of asset class providing LV services</t>
  </si>
  <si>
    <t>Original cost of asset class providing LV Services</t>
  </si>
  <si>
    <t>Accumulated amortization of asset class providing LV Services</t>
  </si>
  <si>
    <t>Annual amortization of asset class providing LV Services</t>
  </si>
  <si>
    <t>Net Book Value of asset class providing LV Services</t>
  </si>
  <si>
    <t>Distribution Stations</t>
  </si>
  <si>
    <t>Transformer Stations</t>
  </si>
  <si>
    <t>Low Voltage Lines</t>
  </si>
  <si>
    <t>(7)</t>
  </si>
  <si>
    <t>(8)</t>
  </si>
  <si>
    <t>(9)</t>
  </si>
  <si>
    <t>(10)</t>
  </si>
  <si>
    <t>(11)</t>
  </si>
  <si>
    <t>Share of facilities</t>
  </si>
  <si>
    <t>Total line length or station capacity in asset class</t>
  </si>
  <si>
    <t>Line length providing LV Services</t>
  </si>
  <si>
    <t>Annual billed total demand on station/line providing LV services</t>
  </si>
  <si>
    <t>Annual billed Embedded Distributor demand on station line/providing LV services</t>
  </si>
  <si>
    <t>Utilization factor</t>
  </si>
  <si>
    <t>kW or kVa; km</t>
  </si>
  <si>
    <t>kW or kVA; km</t>
  </si>
  <si>
    <t>kW or kVA</t>
  </si>
  <si>
    <t>percent</t>
  </si>
  <si>
    <t>(10)/(9)</t>
  </si>
  <si>
    <t>(8)/(7)*(10)/(9)</t>
  </si>
  <si>
    <t>(12)</t>
  </si>
  <si>
    <t>(12a)</t>
  </si>
  <si>
    <t>(13)</t>
  </si>
  <si>
    <t>(14)</t>
  </si>
  <si>
    <t>(15)</t>
  </si>
  <si>
    <t>Return on Assets used to Provide LV services</t>
  </si>
  <si>
    <t>Taxes/PILs</t>
  </si>
  <si>
    <t>Annual amortization on assets used to provide LV services</t>
  </si>
  <si>
    <t>OM&amp;A costs with burden associated with assets used to provide LV services</t>
  </si>
  <si>
    <t>Total annual cost associated with assets used to provide LV services</t>
  </si>
  <si>
    <t>Monthly kW or kVA rate associated with the delivery of LV services</t>
  </si>
  <si>
    <t>$/kW or $/kVA</t>
  </si>
  <si>
    <t>(17)</t>
  </si>
  <si>
    <t>(18)</t>
  </si>
  <si>
    <t>(19)</t>
  </si>
  <si>
    <t>(21)</t>
  </si>
  <si>
    <t>Capital Structure</t>
  </si>
  <si>
    <t>Long-Term Debt</t>
  </si>
  <si>
    <t>Weighted Average Cost of Capital</t>
  </si>
  <si>
    <t>(22)</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</si>
  <si>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</si>
  <si>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 xml:space="preserve">The applicant should complete Table (d) if it is applying for approval of a revenue to cost ratio in 2012 that is outside the Board’s policy range for any customer class. Table (d) will show the information that the distributor would likely enter in the IRM model) in 2013.  In 2012 Table (d), enter the planned ratios for the classes that will be ‘Change’ and ‘No Change’ in 2013 (in the current Revenue Cost Ratio Adjustment Workform, Worksheet C1.1 ‘Decision – Cost Revenue Adjustment’, column d), and enter TBD for class(es) that will be entered as ‘Rebalance’. </t>
  </si>
  <si>
    <t>Short-term Debt</t>
  </si>
  <si>
    <t>Common Equity</t>
  </si>
  <si>
    <t>Tax/PILs Rate</t>
  </si>
  <si>
    <t>Preferred Shares</t>
  </si>
  <si>
    <t>Working Capital Allowance Factor</t>
  </si>
  <si>
    <t>Embedded Distributor Low Voltage Rate</t>
  </si>
  <si>
    <t>Revenue Reconciliation</t>
  </si>
  <si>
    <t>Rate Class</t>
  </si>
  <si>
    <t>Test Year Consumption</t>
  </si>
  <si>
    <t>Proposed Rates</t>
  </si>
  <si>
    <t>Revenues at Proposed Rates</t>
  </si>
  <si>
    <t>Service Revenue Requirement</t>
  </si>
  <si>
    <t>Transformer Allowance Credit</t>
  </si>
  <si>
    <t>Difference</t>
  </si>
  <si>
    <t>kWh</t>
  </si>
  <si>
    <t>kW</t>
  </si>
  <si>
    <t>Volumetric</t>
  </si>
  <si>
    <t>Residential</t>
  </si>
  <si>
    <t>GS &lt; 50 kW</t>
  </si>
  <si>
    <t>Streetlighting</t>
  </si>
  <si>
    <t>Sentinel Lighting</t>
  </si>
  <si>
    <t>Unmetered Scattered Load</t>
  </si>
  <si>
    <t>Embedded Distributor</t>
  </si>
  <si>
    <t>Appendix 2-T</t>
  </si>
  <si>
    <t>Appendix 2-D</t>
  </si>
  <si>
    <t>Distribution Expenses - Operations</t>
  </si>
  <si>
    <t>Operation Supervision and Engineering</t>
  </si>
  <si>
    <t>Load Dispatching</t>
  </si>
  <si>
    <t>Station Buildings and Fixtures Expense</t>
  </si>
  <si>
    <t>Transformer Station Equipment - Operation Labour</t>
  </si>
  <si>
    <t>Transformer Station Equipment - Operation Supplies and Expenses</t>
  </si>
  <si>
    <t>Distribution Station Equipment - Operation Labour</t>
  </si>
  <si>
    <t>Distribution Station Equipment - Operation Supplies and Expenses</t>
  </si>
  <si>
    <t>Overhead Distribution Lines and Feeders - Operation Labour</t>
  </si>
  <si>
    <t>Overhead Distribution Lines and Feeders - Operation Supplies and Expenses</t>
  </si>
  <si>
    <t>4305, 4310, 4315, 4320, 4325, 4330, 4335, 4340, 4345, 4350, 4355, 4360, 4365, 4370, 4375, 4380, 4385, 4390, 4395, 4398, 4405, 4415</t>
  </si>
  <si>
    <t>Test Year versus Most Current Actuals</t>
  </si>
  <si>
    <t>Tables in the format outlined above covering all fixed asset accounts should be submitted for the Test Year, Bridge Year and all relevant historical years.  At a minimum , the applicant must provide data for the earlier of: 1) all historical years back to</t>
  </si>
  <si>
    <t>The "CCA Class" for fixed assets should agree with the CCA Class used for tax purposes in Tax Returns. Fixed Assets sub-components may be used where the underlying asset components are classified under multiple CCA Classes for tax purposes. If an applican</t>
  </si>
  <si>
    <t xml:space="preserve">Note that the "Charge $" columns provide breakdowns of the amounts that each bill component contributes to the total monthly bill at the referenced </t>
  </si>
  <si>
    <t>consumption level at existing and proposed rates.</t>
  </si>
  <si>
    <t>to their service territory, class by class. A general guideline of consumption levels follows:</t>
  </si>
  <si>
    <t>Residential (kWh) - 100, 250, 500, 800, 1000, 1500, 2000</t>
  </si>
  <si>
    <t>GS&lt;50kW (kWh) - 1000, 2000, 5000, 10000, 15000</t>
  </si>
  <si>
    <t>GS&gt;50kW (kW) - 60, 100, 500, 1000</t>
  </si>
  <si>
    <t>Large User - range appropriate for utility</t>
  </si>
  <si>
    <t>Lighting Classes and USL - 150 kWh and 1 kW, range appropriate for utility.</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</si>
  <si>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</si>
  <si>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</si>
  <si>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</si>
  <si>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</si>
  <si>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The following table should be completed based on the information requested below, in accordance with the notes following the table. An explanation should be provided for any blank entries.</t>
  </si>
  <si>
    <t>Large Corporation Tax grossed-up proxy from 2006 EDR application PILs model for the period from January 1, 2006 to April 30, 2006 (4/12ths of the approved grossed-up proxy), if not recorded in PILs account 1562</t>
  </si>
  <si>
    <t>Overhead Sub-transmission Feeders - Operation</t>
  </si>
  <si>
    <t>Overhead Distribution Transformers - Operation</t>
  </si>
  <si>
    <t>Underground Distribution Lines and Feeders - Operation Labour</t>
  </si>
  <si>
    <t>Underground Distribution Lines and Feeders - Operation Supplies and Expenses</t>
  </si>
  <si>
    <t>Underground Sub-transmission Feeders - Operation</t>
  </si>
  <si>
    <t>Underground Distribution Transformers - Operation</t>
  </si>
  <si>
    <t>Street Lighting and Signal System Expense</t>
  </si>
  <si>
    <t>Meter Expense</t>
  </si>
  <si>
    <t>Customer Premises - Operation Labour</t>
  </si>
  <si>
    <t>Customer Premises - Operation Materials and Expenses</t>
  </si>
  <si>
    <t>Miscellaneous Distribution Expenses</t>
  </si>
  <si>
    <t>Underground Distribution Lines and Feeders - Rental Paid</t>
  </si>
  <si>
    <t>Overhead Distribution Lines and Feeders - Rental Paid</t>
  </si>
  <si>
    <t>Other Rent</t>
  </si>
  <si>
    <t>Distribution Expenses - Maintenance</t>
  </si>
  <si>
    <t>Maintenance Supervision and Engineering</t>
  </si>
  <si>
    <t>EB-20XX-XXXX</t>
  </si>
  <si>
    <t>Forecast</t>
  </si>
  <si>
    <t>required.</t>
  </si>
  <si>
    <t>For each year, a detailed explanation for each cost driver and associated amount is</t>
  </si>
  <si>
    <t>USoA Description</t>
  </si>
  <si>
    <r>
      <t xml:space="preserve">Year </t>
    </r>
    <r>
      <rPr>
        <b/>
        <vertAlign val="superscript"/>
        <sz val="10"/>
        <rFont val="Arial"/>
        <family val="2"/>
      </rPr>
      <t>1</t>
    </r>
  </si>
  <si>
    <r>
      <t>1</t>
    </r>
    <r>
      <rPr>
        <sz val="10"/>
        <rFont val="Arial"/>
      </rPr>
      <t xml:space="preserve"> Provide a Fixed Asset Continuity Schedule for 5 historic Years, Bridge Year and Test Year</t>
    </r>
  </si>
  <si>
    <t>1</t>
  </si>
  <si>
    <r>
      <t xml:space="preserve">Operating expenses associated with other resources allocated to regulatory matters </t>
    </r>
    <r>
      <rPr>
        <vertAlign val="superscript"/>
        <sz val="10"/>
        <rFont val="Arial"/>
        <family val="2"/>
      </rPr>
      <t>1</t>
    </r>
  </si>
  <si>
    <r>
      <t xml:space="preserve">Ongoing or One-time Cost? </t>
    </r>
    <r>
      <rPr>
        <b/>
        <vertAlign val="superscript"/>
        <sz val="10"/>
        <rFont val="Arial"/>
        <family val="2"/>
      </rPr>
      <t>2</t>
    </r>
  </si>
  <si>
    <r>
      <t xml:space="preserve">Sub-total - Ongoing Costs </t>
    </r>
    <r>
      <rPr>
        <vertAlign val="superscript"/>
        <sz val="10"/>
        <rFont val="Arial"/>
        <family val="2"/>
      </rPr>
      <t>3</t>
    </r>
  </si>
  <si>
    <r>
      <t xml:space="preserve">Sub-total - One-time Costs </t>
    </r>
    <r>
      <rPr>
        <vertAlign val="superscript"/>
        <sz val="10"/>
        <rFont val="Arial"/>
        <family val="2"/>
      </rPr>
      <t>4</t>
    </r>
  </si>
  <si>
    <t>2</t>
  </si>
  <si>
    <t>3</t>
  </si>
  <si>
    <t>4</t>
  </si>
  <si>
    <r>
      <t>Number of Employees (FTEs including Part-Time)</t>
    </r>
    <r>
      <rPr>
        <b/>
        <vertAlign val="superscript"/>
        <sz val="10"/>
        <rFont val="Arial"/>
        <family val="2"/>
      </rPr>
      <t>1</t>
    </r>
  </si>
  <si>
    <r>
      <t>1</t>
    </r>
    <r>
      <rPr>
        <b/>
        <sz val="10"/>
        <rFont val="Arial"/>
        <family val="2"/>
      </rPr>
      <t xml:space="preserve"> If an applicant wishes to use headcount, it must also file the same schedule on an FTE basis.</t>
    </r>
  </si>
  <si>
    <t xml:space="preserve">Note: </t>
  </si>
  <si>
    <t>This appendix must be completed in relation to each service provided or received for the Historical (actuals), Bridge and Test years.</t>
  </si>
  <si>
    <r>
      <t>Less Fully Depreciated</t>
    </r>
    <r>
      <rPr>
        <b/>
        <vertAlign val="superscript"/>
        <sz val="10"/>
        <rFont val="Arial"/>
        <family val="2"/>
      </rPr>
      <t>1</t>
    </r>
  </si>
  <si>
    <r>
      <t xml:space="preserve">(e) = (c) + ½ x (d) </t>
    </r>
    <r>
      <rPr>
        <b/>
        <vertAlign val="superscript"/>
        <sz val="10"/>
        <rFont val="Arial"/>
        <family val="2"/>
      </rPr>
      <t>2</t>
    </r>
  </si>
  <si>
    <r>
      <t xml:space="preserve">Did Depreciation Rate in "g" Change (Yes/No)? </t>
    </r>
    <r>
      <rPr>
        <b/>
        <vertAlign val="superscript"/>
        <sz val="10"/>
        <color indexed="10"/>
        <rFont val="Arial"/>
        <family val="2"/>
      </rPr>
      <t>3</t>
    </r>
  </si>
  <si>
    <r>
      <t xml:space="preserve">1   </t>
    </r>
    <r>
      <rPr>
        <sz val="10"/>
        <rFont val="Arial"/>
        <family val="2"/>
      </rPr>
      <t>This adjusts for assets still on the books but which have been fully amortized or depreciated.</t>
    </r>
  </si>
  <si>
    <r>
      <t xml:space="preserve">2  </t>
    </r>
    <r>
      <rPr>
        <sz val="10"/>
        <rFont val="Arial"/>
        <family val="2"/>
      </rPr>
      <t xml:space="preserve"> Applicable for the standard Board policy of the "half-year" rule, that additions in the year attract a half-year depreciation expense in the first year.  Deviations from this standard practice must be supported in the application.</t>
    </r>
  </si>
  <si>
    <r>
      <t>3</t>
    </r>
    <r>
      <rPr>
        <sz val="10"/>
        <rFont val="Arial"/>
        <family val="2"/>
      </rPr>
      <t xml:space="preserve">   Applicants must indicate YES or NO as to whether the "Depreciation Rate" for the asset in column "g" has changed from the last rebasing year approved by the Board.  Changes may arise due to the adoption of International Financial Reporting Standards (IFRS) requirements or other reasons.</t>
    </r>
  </si>
  <si>
    <t>Costs Allocated in Test Year Study                    (Column 7A)</t>
  </si>
  <si>
    <t>(7C + 7E) / (7A)</t>
  </si>
  <si>
    <t>(7D + 7E) / (7A)</t>
  </si>
  <si>
    <r>
      <t xml:space="preserve">Other </t>
    </r>
    <r>
      <rPr>
        <b/>
        <vertAlign val="superscript"/>
        <sz val="10"/>
        <rFont val="Arial"/>
        <family val="2"/>
      </rPr>
      <t>1</t>
    </r>
  </si>
  <si>
    <r>
      <t>1</t>
    </r>
    <r>
      <rPr>
        <sz val="10"/>
        <rFont val="Arial"/>
      </rPr>
      <t xml:space="preserve"> The distributor should provide details of Other.  (e.g. Toronto Hydro-Electric System Ltd. has some legacy non-interval GS &gt; 50 kW customers being converted to "smart" meters.)</t>
    </r>
  </si>
  <si>
    <t>(D ) = (A) - (B) - (C)</t>
  </si>
  <si>
    <t>Maintenance of Buildings and Fixtures - Distribution Stations</t>
  </si>
  <si>
    <t>Maintenance of Transformer Station Equipment</t>
  </si>
  <si>
    <t>Maintenance of Poles, Towers and Fixtures</t>
  </si>
  <si>
    <t>Maintenance of Distribution Station Equipment</t>
  </si>
  <si>
    <t>Maintenance of Overhead Conductors and Devices</t>
  </si>
  <si>
    <t>Maintenance of Overhead Services</t>
  </si>
  <si>
    <t>Overhead Distribution Lines and Feeders - Right of Way</t>
  </si>
  <si>
    <t>Maintenance of Underground Conduit</t>
  </si>
  <si>
    <t>Maintenance of Underground Conductors and Devices</t>
  </si>
  <si>
    <t>Maintenance of Underground Services</t>
  </si>
  <si>
    <t>Maintenance of Line Transformers</t>
  </si>
  <si>
    <t>Maintenance of Street Lighting and Signal Systems</t>
  </si>
  <si>
    <t>Sentinel Lights - Labour</t>
  </si>
  <si>
    <t>Sentinel Lights - Materials and Expenses</t>
  </si>
  <si>
    <t>Maintenance of Meters</t>
  </si>
  <si>
    <t>Customer Installations Expenses - Leased Property</t>
  </si>
  <si>
    <t>Billing and Collecting</t>
  </si>
  <si>
    <t>Appendix 2-E</t>
  </si>
  <si>
    <t>Summary of OM&amp;A Expenses</t>
  </si>
  <si>
    <t>Detailed, Account by Account, OM&amp;A Expense Table</t>
  </si>
  <si>
    <t>OM&amp;A Cost Driver Table</t>
  </si>
  <si>
    <t>Regulatory Cost Schedule</t>
  </si>
  <si>
    <t>OM&amp;A Cost per Customer and per FTEE</t>
  </si>
  <si>
    <t>OM&amp;A Variance Analysis</t>
  </si>
  <si>
    <t>Shared Services/Corporate Cost Allocation</t>
  </si>
  <si>
    <t>Cost Allocation</t>
  </si>
  <si>
    <t>Loss Factors</t>
  </si>
  <si>
    <t>Cost of Service Rate Application Schematic</t>
  </si>
  <si>
    <t>Appendix 2-K</t>
  </si>
  <si>
    <t>Specific Service Charges:</t>
  </si>
  <si>
    <t>Account(s)</t>
  </si>
  <si>
    <t>Late Payment Charges:</t>
  </si>
  <si>
    <t>Other Distribution Revenues:</t>
  </si>
  <si>
    <t>Other Income and Expenses:</t>
  </si>
  <si>
    <t>Account 4405 - Interest and Dividend Income</t>
  </si>
  <si>
    <t>List and specify any other interest revenue</t>
  </si>
  <si>
    <t>Supervision</t>
  </si>
  <si>
    <t>Meter Reading Expense</t>
  </si>
  <si>
    <t>Customer Billing</t>
  </si>
  <si>
    <t>Collecting</t>
  </si>
  <si>
    <t>Collecting - Cash Over and Short</t>
  </si>
  <si>
    <t>Collection Charges</t>
  </si>
  <si>
    <t>Bad Debt Expense</t>
  </si>
  <si>
    <t>Miscellaneous Customer Accounts Expenses</t>
  </si>
  <si>
    <t>Community Relations (including sales expenses)</t>
  </si>
  <si>
    <t>Maintenance of Other Installations on Customer Premises</t>
  </si>
  <si>
    <t>Community Relations - Sundry</t>
  </si>
  <si>
    <t>If using the Board-issued model, enter data from Worksheet O-1, row 39 in the 2012 model.</t>
  </si>
  <si>
    <t>Energy Conservation</t>
  </si>
  <si>
    <t>Community Safety Program</t>
  </si>
  <si>
    <t>Miscellaneous Customer Service and Informational Expenses</t>
  </si>
  <si>
    <t>Demonstrating and Selling Expense</t>
  </si>
  <si>
    <t>Advertising Expenses</t>
  </si>
  <si>
    <t>Miscellaneous Sales Expense</t>
  </si>
  <si>
    <t>Administrative and General Expenses</t>
  </si>
  <si>
    <t>Executive Salaries and Expenses</t>
  </si>
  <si>
    <t>Management Salaries and Expenses</t>
  </si>
  <si>
    <t>General Administrative Salaries and Expenses</t>
  </si>
  <si>
    <t>Office Supplies and Expenses</t>
  </si>
  <si>
    <t>Administrative Expense Transferred - Credit</t>
  </si>
  <si>
    <t>Outside Services Employed</t>
  </si>
  <si>
    <t>Property Insurance</t>
  </si>
  <si>
    <t>Injuries and Damages</t>
  </si>
  <si>
    <t>Employee Pensions and Benefits</t>
  </si>
  <si>
    <t>Franchise Requirements</t>
  </si>
  <si>
    <t>Regulatory Expenses</t>
  </si>
  <si>
    <t>General Advertising Expenses</t>
  </si>
  <si>
    <t>Rent</t>
  </si>
  <si>
    <t>Maintenance of General Plant</t>
  </si>
  <si>
    <t>Electrical Safety Authority Fees</t>
  </si>
  <si>
    <t>Independent Electricity System Operator Fees and Penalties</t>
  </si>
  <si>
    <t>OM&amp;A Contra Account</t>
  </si>
  <si>
    <t>Appendix 2-F</t>
  </si>
  <si>
    <t>Operations</t>
  </si>
  <si>
    <t>(excluding Depreciation and Amortization)</t>
  </si>
  <si>
    <t>Total - Operations</t>
  </si>
  <si>
    <t>Maintenance</t>
  </si>
  <si>
    <t>Total - Maintenance</t>
  </si>
  <si>
    <t>Total - Billing and Collecting</t>
  </si>
  <si>
    <t>Community Relations</t>
  </si>
  <si>
    <t>Note:</t>
  </si>
  <si>
    <t>Appendix 2-G</t>
  </si>
  <si>
    <t>OM&amp;A</t>
  </si>
  <si>
    <t>The closing balance for each year becomes the opening balance for the next year.</t>
  </si>
  <si>
    <t>Appendix 2-H</t>
  </si>
  <si>
    <t>Regulatory Cost Category</t>
  </si>
  <si>
    <t>USoA Account</t>
  </si>
  <si>
    <t>Annual % Change</t>
  </si>
  <si>
    <t>(C )</t>
  </si>
  <si>
    <t>USoA Account Balance</t>
  </si>
  <si>
    <t>(F)</t>
  </si>
  <si>
    <t>(G)</t>
  </si>
  <si>
    <t>(I)</t>
  </si>
  <si>
    <t>(H) = [(G)-(F)]/(F)</t>
  </si>
  <si>
    <t>(J) = [(I)-(G)]/(G)</t>
  </si>
  <si>
    <t>OEB Annual Assessment</t>
  </si>
  <si>
    <t>OEB Hearing Assessments (applicant-originated)</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</si>
  <si>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</si>
  <si>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</si>
  <si>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</si>
  <si>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</si>
  <si>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</si>
  <si>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Other regulatory agency fees or assessments</t>
  </si>
  <si>
    <t>Intervenor costs</t>
  </si>
  <si>
    <t>Sum of all ongoing costs identified in rows 1 to 11 inclusive.</t>
  </si>
  <si>
    <t>Sum of all one-time costs identified in rows 1 to 11 inclusive.</t>
  </si>
  <si>
    <t>Please identify the resources involved.</t>
  </si>
  <si>
    <t>Where a category's costs include both one-time and ongoing costs, the applicant should prove a separate breakdown between one-time and ongoing costs.</t>
  </si>
  <si>
    <t>Test Year Versus Last Rebasing</t>
  </si>
  <si>
    <t>Test Year Versus Most Current Actuals</t>
  </si>
  <si>
    <t>Variance ($)</t>
  </si>
  <si>
    <t>Percentage Change (%)</t>
  </si>
  <si>
    <t>Total OM&amp;A</t>
  </si>
  <si>
    <t>Total - Community Relations</t>
  </si>
  <si>
    <t>Total - Administrative and General Expenses</t>
  </si>
  <si>
    <t>Appendix 2-P</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</si>
  <si>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</si>
  <si>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</si>
  <si>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</si>
  <si>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</si>
  <si>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</si>
  <si>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</si>
  <si>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</si>
  <si>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</si>
  <si>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</si>
  <si>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</si>
  <si>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</si>
  <si>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</si>
  <si>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</si>
  <si>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</si>
  <si>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</si>
  <si>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</si>
  <si>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</si>
  <si>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</si>
  <si>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</si>
  <si>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</si>
  <si>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</si>
  <si>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</si>
  <si>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t>The Board cost allocation model calculates "1+d" in worksheet O-1, cell C21. "d" is defined as Revenue Deficiency/ Revenue at Current Rates.</t>
  </si>
  <si>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</si>
  <si>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</si>
  <si>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</si>
  <si>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Applicants should complete the two tables on this page.</t>
  </si>
  <si>
    <t>Table 1:</t>
  </si>
  <si>
    <t>OM&amp;A Year-over-Year Comparisons</t>
  </si>
  <si>
    <t>Year 2 Actuals versus Year 1 Actuals</t>
  </si>
  <si>
    <t>Year 3 Actuals versus Year 2 Actuals</t>
  </si>
  <si>
    <t>Year 1 Actuals versus LRY Actuals (Not necessary if LRY = Year 1)</t>
  </si>
  <si>
    <t>Bridge Year versus Year 3 Actuals</t>
  </si>
  <si>
    <t>Test Year versus Bridge Year</t>
  </si>
  <si>
    <t>Administrative and General</t>
  </si>
  <si>
    <t>Total OM&amp;A Expenses</t>
  </si>
  <si>
    <t>Inflation Rate</t>
  </si>
  <si>
    <t>Table 2:</t>
  </si>
  <si>
    <t>Additional Total OM&amp;A Expense Comparative Information Table</t>
  </si>
  <si>
    <t>Required Total OM&amp;A Comparison</t>
  </si>
  <si>
    <t>Test Year versus LRY Board-approved</t>
  </si>
  <si>
    <t>Simple average of % variance for all years</t>
  </si>
  <si>
    <t>Compound annual growth rate for all years</t>
  </si>
  <si>
    <t>Last rebasing year (LRY) Actuals versus LRY Board approved (shown)</t>
  </si>
  <si>
    <t>Board-approved</t>
  </si>
  <si>
    <t>Actuals</t>
  </si>
  <si>
    <t>Variance</t>
  </si>
  <si>
    <t>$</t>
  </si>
  <si>
    <t>Percentage Change</t>
  </si>
  <si>
    <t>%</t>
  </si>
  <si>
    <t>Note 1</t>
  </si>
  <si>
    <t>Appendix 2-J</t>
  </si>
  <si>
    <t>Appendix 2-I</t>
  </si>
  <si>
    <t>Number of Customers</t>
  </si>
  <si>
    <t>OM&amp;A cost per customer</t>
  </si>
  <si>
    <t>Number of FTEEs</t>
  </si>
  <si>
    <t>Customers/FTEEs</t>
  </si>
  <si>
    <t>OM&amp;A Cost per FTEE</t>
  </si>
  <si>
    <t>The number of customers and the number of FTEEs should correspond to mid-year or average of January 1 and December 31 figures.</t>
  </si>
  <si>
    <t>Appendix 2-L</t>
  </si>
  <si>
    <t>Name of Company</t>
  </si>
  <si>
    <t>From</t>
  </si>
  <si>
    <t>To</t>
  </si>
  <si>
    <t>Service Offered</t>
  </si>
  <si>
    <t>Pricing Methdology</t>
  </si>
  <si>
    <t>Price for the Service</t>
  </si>
  <si>
    <t>Cost for the Service</t>
  </si>
  <si>
    <t>Percentage Allocation</t>
  </si>
  <si>
    <t>Appendix 2-O</t>
  </si>
  <si>
    <t>Appendix 2-U</t>
  </si>
  <si>
    <t>Deferred PILs Account 1592 Balances</t>
  </si>
  <si>
    <t>Stranded Meter Treatment</t>
  </si>
  <si>
    <t>Appendix 2-W</t>
  </si>
  <si>
    <t>Tax Item</t>
  </si>
  <si>
    <t>Principal as of</t>
  </si>
  <si>
    <t>December 31,</t>
  </si>
  <si>
    <t>Large Corporation Tax grossed-up proxy from 2006 EDR application PILs model for the period from May 1, 2006 to April 30, 2007</t>
  </si>
  <si>
    <t>Ontario Capital Tax rate decrease and increase in capital deduction for 2007</t>
  </si>
  <si>
    <t>Ontario Capital Tax rate decrease and increase in capital deduction for 2008</t>
  </si>
  <si>
    <t>Ontario Capital Tax rate decrease and increase in capital deduction for 2009</t>
  </si>
  <si>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</si>
  <si>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</si>
  <si>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</si>
  <si>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</si>
  <si>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</si>
  <si>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</si>
  <si>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any prior application not recorded above.  Please provide details and explanation separately.</t>
  </si>
  <si>
    <t>Revise the deferral and variance account continuity schedule to include account 1592 as a group 2 account and enter all relevant information for transactions, adjustments, etc., for all relevant years.</t>
  </si>
  <si>
    <t>Describe each type of tax item that has been recorded in account 1592.</t>
  </si>
  <si>
    <t>Provide the calculations that show how each item was determined and provide any pertinent supporting evidence and documentation.</t>
  </si>
  <si>
    <t>Please state whether or not the applicant followed the guidance provided in the FAQ of July 2007.  If not, please provide an explanation.</t>
  </si>
  <si>
    <t>4080, 4082, 4084, 4090, 4205, 4210, 4215, 4220, 4240, 4245</t>
  </si>
  <si>
    <t>Identify the account balance as of December 31, 2010 as per the 2010 Audited Financial Statements.  Identify the account balance as of December 31, 2010 as per the April 2011 2.1.7 RRR filing to the Board.  Provide a reconciliation if the balances provided are not identical to each other and to the total shown on the continuity schedule.</t>
  </si>
  <si>
    <t>Complete the above table based on the answers to the previous.  Add rows as required to complete the analysis in an informative manner.  Please provide the completed table as a working Excel spreadsheet.</t>
  </si>
  <si>
    <t>a)</t>
  </si>
  <si>
    <t>b)</t>
  </si>
  <si>
    <t>c)</t>
  </si>
  <si>
    <t>d)</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</si>
  <si>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</si>
  <si>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r>
      <t>Scenario A:</t>
    </r>
    <r>
      <rPr>
        <i/>
        <sz val="10"/>
        <rFont val="Arial"/>
        <family val="2"/>
      </rPr>
      <t xml:space="preserve">  If the stranded meter costs were transferred to "Sub-account Stranded Meter Costs" of Account 1555, the above table should be completed and the following information should be provided.</t>
    </r>
  </si>
  <si>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</si>
  <si>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</si>
  <si>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</si>
  <si>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r>
      <t xml:space="preserve">LF means Load Forecast of Annual Billing Quantities (i.e. customers or connections X 12, </t>
    </r>
    <r>
      <rPr>
        <b/>
        <u/>
        <sz val="10"/>
        <rFont val="Arial"/>
        <family val="2"/>
      </rPr>
      <t>and</t>
    </r>
    <r>
      <rPr>
        <sz val="10"/>
        <rFont val="Arial"/>
        <family val="2"/>
      </rPr>
      <t xml:space="preserve"> kWh or kW, as applicable)</t>
    </r>
  </si>
  <si>
    <t>Applicants must provide bill impacts for residential at 800 kWh and GS&lt;50kW at 2000 kWh. In addition, their filing should cover the range that is relevant</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</si>
  <si>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</si>
  <si>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This table should be completed for each of the comparisons outlined below (Note 1)</t>
  </si>
  <si>
    <t>2011 and beyond (if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</si>
  <si>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</si>
  <si>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</si>
  <si>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(16)</t>
  </si>
  <si>
    <t>(20)</t>
  </si>
  <si>
    <r>
      <t xml:space="preserve">Tables in the format outlined below covering all relevant accounts should be submitted for the Test Year, Bridge Year </t>
    </r>
    <r>
      <rPr>
        <b/>
        <sz val="10"/>
        <rFont val="Arial"/>
        <family val="2"/>
      </rPr>
      <t>and</t>
    </r>
    <r>
      <rPr>
        <sz val="10"/>
        <rFont val="Arial"/>
      </rPr>
      <t xml:space="preserve"> the relevant historical years.</t>
    </r>
  </si>
  <si>
    <r>
      <t>Scenario B:</t>
    </r>
    <r>
      <rPr>
        <i/>
        <sz val="10"/>
        <rFont val="Arial"/>
        <family val="2"/>
      </rPr>
      <t xml:space="preserve">  If the stranded meter costs remained recorded in Account 1860, the above table should be completed and the following information should be provided:</t>
    </r>
  </si>
  <si>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</si>
  <si>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r>
      <t xml:space="preserve">Ontario Clean Energy Benefit </t>
    </r>
    <r>
      <rPr>
        <b/>
        <i/>
        <vertAlign val="superscript"/>
        <sz val="10"/>
        <rFont val="Arial"/>
        <family val="2"/>
      </rPr>
      <t>1</t>
    </r>
  </si>
  <si>
    <r>
      <t>1</t>
    </r>
    <r>
      <rPr>
        <sz val="10"/>
        <rFont val="Arial"/>
      </rPr>
      <t xml:space="preserve"> Applicable to eligible customers only.  Refer to the </t>
    </r>
    <r>
      <rPr>
        <i/>
        <sz val="10"/>
        <rFont val="Arial"/>
        <family val="2"/>
      </rPr>
      <t>Ontario Clean Energy Benefit Act, 2010.</t>
    </r>
  </si>
  <si>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</si>
  <si>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table may need to be customized for a utility's asset categories or for any new asset accounts announced or authorized by the Board.</t>
  </si>
  <si>
    <t>Pale green cells represent input cells.</t>
  </si>
  <si>
    <t>Yellow cells represent drop-down lists.  The applicant should select the appropriate item from the drop-down list.</t>
  </si>
  <si>
    <t>Please complete the following four tables.</t>
  </si>
  <si>
    <t>Allocated  Costs</t>
  </si>
  <si>
    <t>Classes</t>
  </si>
  <si>
    <t>Street Lighting</t>
  </si>
  <si>
    <t>Unmetered Scattered Load (USL)</t>
  </si>
  <si>
    <t>Costs Allocated from Previous Study</t>
  </si>
  <si>
    <t>Host Distributors:  Provide information on embedded distributor(s) as a separate class, even if your proposal is to bill the embedded distributor(s) as (a) General Service customer(s).</t>
  </si>
  <si>
    <t>For the Embedded Distributor(s), the Service Revenue Requirement does not include Account 4750 - Low Voltage (LV) Costs</t>
  </si>
  <si>
    <t>Exclude costs in deferral and variance accounts.</t>
  </si>
  <si>
    <t>Include Smart Meter costs only to the extent that they are being included in Rate Base and Revenue Requirement (i.e. being transferred from accounts 1555 and 1556 as a result of a prudence review).</t>
  </si>
  <si>
    <t>Calculated Class Revenues</t>
  </si>
  <si>
    <t>Classes (same as previous table)</t>
  </si>
  <si>
    <t>Column 7B</t>
  </si>
  <si>
    <t>Column 7C</t>
  </si>
  <si>
    <t>Column 7D</t>
  </si>
  <si>
    <t>Column 7E</t>
  </si>
  <si>
    <t>Load Forecast (LF) X current approved rates</t>
  </si>
  <si>
    <t>LF X current approved rates X (1 + d)</t>
  </si>
  <si>
    <t>LF X proposed rates</t>
  </si>
  <si>
    <t>Miscellaneous Revenue</t>
  </si>
  <si>
    <t>Columns 7B to 7D</t>
  </si>
  <si>
    <t>Total OM&amp;A from Appendix 2-G</t>
  </si>
  <si>
    <t>The method of calculating the number of FTEEs must be identified.  See also Appendix 2-K.</t>
  </si>
  <si>
    <t>For most applicants, Most Recent Year would be the third year of the IRM 3 period,  e.g. if the applicant rebased in 2008 with further adjustments over 2 years, the Most recent year is 2010.</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</si>
  <si>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</si>
  <si>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</si>
  <si>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</si>
  <si>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</si>
  <si>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</si>
  <si>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</si>
  <si>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</si>
  <si>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</si>
  <si>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</si>
  <si>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</si>
  <si>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</si>
  <si>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</si>
  <si>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</si>
  <si>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</si>
  <si>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Operating Revenues</t>
  </si>
  <si>
    <t>Other Income or Deductions</t>
  </si>
  <si>
    <t>Note: Add all applicable accounts listed above to the table and include all relevant information.</t>
  </si>
  <si>
    <t>Account Breakdown Details</t>
  </si>
  <si>
    <r>
      <t xml:space="preserve">For each </t>
    </r>
    <r>
      <rPr>
        <sz val="10"/>
        <rFont val="Arial"/>
      </rPr>
      <t>"Other Operating Revenue" and "Other Income or Deductions" Account, a detailed breakdown of the account components is required.  See the example below for Account 4405, Interest and Dividend Income.</t>
    </r>
  </si>
  <si>
    <t>Services (Overhead and Underground)</t>
  </si>
  <si>
    <t>General:</t>
  </si>
  <si>
    <t>Irrespective of whether a distributor is actively deploying smart meters (except if the distributor has completed its smart meter deployment program and has had Board-approved disposition of the balances in accounts 1555 and 1556) the distributor should provide a completed table as follows:</t>
  </si>
  <si>
    <t>Any request for disposition or partial disposition of the balances in accounts 1555 and 1556 should be supported by smart meter costs information that has been audited in accordance with the requirements of Guideline G-2008-0002 or further information communicated by the Board.</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</si>
  <si>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</si>
  <si>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</si>
  <si>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</si>
  <si>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</si>
  <si>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</si>
  <si>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</si>
  <si>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Exclude revenue from rate adders and rate riders.  For Embedded Distributor(s): exclude revenue in account 4075.</t>
  </si>
  <si>
    <t>Columns 7C and 7D:</t>
  </si>
  <si>
    <t>For Embedded Distributor(s), Base Revenue Requirement does not include Account 4750 - Low Voltage Costs</t>
  </si>
  <si>
    <t>Column total in each column should equal the Base Revenue Requirement.</t>
  </si>
  <si>
    <t>Column 7C:</t>
  </si>
  <si>
    <t>Column 7E:</t>
  </si>
  <si>
    <t>If using the Board-issued Cost Allocation model, enter Miscellaneous Revenue as it appears in Worksheet O-1, row 19.</t>
  </si>
  <si>
    <t>Rebalancing Revenue-to-Cost (R/C) Ratios</t>
  </si>
  <si>
    <t>Class</t>
  </si>
  <si>
    <t>Most Recent Year:</t>
  </si>
  <si>
    <t>Status Quo Ratios</t>
  </si>
  <si>
    <t>Proposed Ratios</t>
  </si>
  <si>
    <t>Policy Range</t>
  </si>
  <si>
    <t>85 - 115</t>
  </si>
  <si>
    <t>80 - 120</t>
  </si>
  <si>
    <t>70 - 120</t>
  </si>
  <si>
    <t>Previously Approved Revenue-to-Cost Ratios</t>
  </si>
  <si>
    <t>If proposed rate classes differ from those in place in the previous Cost Allocation study, modify the rate classes to match the current application as closely as possible.</t>
  </si>
  <si>
    <t>Customer Classification</t>
  </si>
  <si>
    <t>Class Revenue Requirements</t>
  </si>
  <si>
    <t>If partially embedded, kWh pertains to the sum of the above.</t>
  </si>
  <si>
    <t>These loss factors pertain to secondary-metered customers with demand less than 5,000 kW.</t>
  </si>
  <si>
    <t>Smart Meters Installed</t>
  </si>
  <si>
    <t>Percentage of applicable customers converted</t>
  </si>
  <si>
    <t>Account 1555</t>
  </si>
  <si>
    <t>Funding Adder Revenues Collected</t>
  </si>
  <si>
    <t>Capital Expenditures</t>
  </si>
  <si>
    <t>Account 1556</t>
  </si>
  <si>
    <t>Operating Expenses</t>
  </si>
  <si>
    <r>
      <t xml:space="preserve">In addition, a distributor that is requesting an increase to its current approved smart meter funding adder (e.g. to $1.00 or another utility-specific amount), should provide the information required to support such a request in accordance with section 1.4 of </t>
    </r>
    <r>
      <rPr>
        <i/>
        <sz val="10"/>
        <rFont val="Arial"/>
        <family val="2"/>
      </rPr>
      <t>Guideline G-2008-0002:  Smart Meter Funding and Cost Recovery</t>
    </r>
    <r>
      <rPr>
        <sz val="10"/>
        <rFont val="Arial"/>
      </rPr>
      <t>, or any successor document.  Applicants should note that continuation of a smart meter funding adder past April 30, 2012 will only be allowed by the Board in exceptional circumstances.</t>
    </r>
  </si>
  <si>
    <t>For applicants that have had rates adjusted only under IRM 2, the Most Recent Year is 2006, and the applicant should enter the ratios from their Informational Filing.</t>
  </si>
  <si>
    <t>The Board's updated Cost Allocation Model yields the Status Quo Ratios in Worksheet O-1.</t>
  </si>
  <si>
    <t>Status Quo means "No Rebalancing" or "Before Rebalancing".</t>
  </si>
  <si>
    <t>Proposed Revenue-to-Cost Ratios</t>
  </si>
  <si>
    <t>Appendix 2-R</t>
  </si>
  <si>
    <t>CCA Class</t>
  </si>
  <si>
    <t>OEB</t>
  </si>
  <si>
    <t>Description</t>
  </si>
  <si>
    <t>Opening Balance</t>
  </si>
  <si>
    <t>Additions</t>
  </si>
  <si>
    <t>Disposals</t>
  </si>
  <si>
    <t>Closing Balance</t>
  </si>
  <si>
    <t>Cost</t>
  </si>
  <si>
    <t>Accumulated Depreciation</t>
  </si>
  <si>
    <t>N/A</t>
  </si>
  <si>
    <t>Land</t>
  </si>
  <si>
    <t>Buildings</t>
  </si>
  <si>
    <t>Transformer Station Equipment &gt;50 kV</t>
  </si>
  <si>
    <t>Storage Battery Equipment</t>
  </si>
  <si>
    <t>Poles, Towers &amp; Fixtures</t>
  </si>
  <si>
    <t>Line Transformers</t>
  </si>
  <si>
    <t>Meters</t>
  </si>
  <si>
    <t>Smart Meters</t>
  </si>
  <si>
    <t>CEC</t>
  </si>
  <si>
    <t>Land Rights</t>
  </si>
  <si>
    <t>Buildings &amp; Fixtures</t>
  </si>
  <si>
    <t>The method of calculating the number of customers must be identified.</t>
  </si>
  <si>
    <t>4.0% unless an applicant has proposed or been approved for a different amount.</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</si>
  <si>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</si>
  <si>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</si>
  <si>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</si>
  <si>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</si>
  <si>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</si>
  <si>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an actual or virtual meter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</si>
  <si>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</si>
  <si>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</si>
  <si>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r>
      <t>G</t>
    </r>
    <r>
      <rPr>
        <sz val="10"/>
        <rFont val="Arial"/>
        <family val="2"/>
      </rPr>
      <t xml:space="preserve"> and </t>
    </r>
    <r>
      <rPr>
        <b/>
        <sz val="10"/>
        <rFont val="Arial"/>
        <family val="2"/>
      </rPr>
      <t>I</t>
    </r>
  </si>
  <si>
    <r>
      <t xml:space="preserve">kWh corresponding to </t>
    </r>
    <r>
      <rPr>
        <b/>
        <sz val="10"/>
        <rFont val="Arial"/>
        <family val="2"/>
      </rPr>
      <t>D</t>
    </r>
    <r>
      <rPr>
        <sz val="10"/>
        <rFont val="Arial"/>
        <family val="2"/>
      </rPr>
      <t xml:space="preserve"> should equal "total billed energy sales in kWhs for each rate class" in item 1 of Section 2.1.3 of the "Electricity Reporting and Record-keeping Requirements" dated May 1, 2010 or in any successor document.</t>
    </r>
  </si>
  <si>
    <t>Distributors that wish to propose a different SFLF should provide appropriate justification for any such proposal including supporting</t>
  </si>
  <si>
    <t>calculations and any other relevant material.</t>
  </si>
  <si>
    <t xml:space="preserve">The Cost of Service Rate Application Schematic is a flowchart appended to Chapter 2 of the Filing Requirements as a guide for the components of an application and how demand and costs interrelate to derive the revenue requirement and then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 </t>
  </si>
  <si>
    <t>Note: Add all applicable asset accounts in the 1800 and 1900 series in relation to capital projects to the table and include all relevant information.</t>
  </si>
  <si>
    <t>Computer Software</t>
  </si>
  <si>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</si>
  <si>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</si>
  <si>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</si>
  <si>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</si>
  <si>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</si>
  <si>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</si>
  <si>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</si>
  <si>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</si>
  <si>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</si>
  <si>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</si>
  <si>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Transportation</t>
  </si>
  <si>
    <t>Less: Fully Allocated Depreciation</t>
  </si>
  <si>
    <t>Net Depreciation</t>
  </si>
  <si>
    <t>Depreciation Rate</t>
  </si>
  <si>
    <t>Fixed Asset Continuity Schedule</t>
  </si>
  <si>
    <t>Leasehold Improvements</t>
  </si>
  <si>
    <t>Net Book Value</t>
  </si>
  <si>
    <t>File Number:</t>
  </si>
  <si>
    <t>Exhibit:</t>
  </si>
  <si>
    <t>Tab:</t>
  </si>
  <si>
    <t>Schedule:</t>
  </si>
  <si>
    <t>Page:</t>
  </si>
  <si>
    <t>Date:</t>
  </si>
  <si>
    <t>X</t>
  </si>
  <si>
    <t>Y</t>
  </si>
  <si>
    <t>Z</t>
  </si>
  <si>
    <t>xx</t>
  </si>
  <si>
    <t>Capitalization/Cost of Capital</t>
  </si>
  <si>
    <t>Line No.</t>
  </si>
  <si>
    <t>Particulars</t>
  </si>
  <si>
    <t>Capitalization Ratio</t>
  </si>
  <si>
    <t>Cost Rate</t>
  </si>
  <si>
    <t>Return</t>
  </si>
  <si>
    <t>Application</t>
  </si>
  <si>
    <t>(%)</t>
  </si>
  <si>
    <t>($)</t>
  </si>
  <si>
    <t>Debt</t>
  </si>
  <si>
    <t xml:space="preserve">  Long-term Debt</t>
  </si>
  <si>
    <t xml:space="preserve">  Short-term Debt</t>
  </si>
  <si>
    <t>(1)</t>
  </si>
  <si>
    <t>Total Debt</t>
  </si>
  <si>
    <t>Equity</t>
  </si>
  <si>
    <t xml:space="preserve">  Common Equity</t>
  </si>
  <si>
    <t xml:space="preserve">  Preferred Shares</t>
  </si>
  <si>
    <t>Total Equity</t>
  </si>
  <si>
    <t>Notes</t>
  </si>
  <si>
    <t>Executive</t>
  </si>
  <si>
    <t>Management</t>
  </si>
  <si>
    <t>Non-Union</t>
  </si>
  <si>
    <t>Union</t>
  </si>
  <si>
    <t>Number of Part-Time Employees</t>
  </si>
  <si>
    <t>Total Salary and Wages</t>
  </si>
  <si>
    <t>Total Compensation (Salary, Wages, &amp; Benefits)</t>
  </si>
  <si>
    <t>Total Compensation</t>
  </si>
  <si>
    <t>Total Compensation Charged to OM&amp;A</t>
  </si>
  <si>
    <t>Total Compensation Capitalized</t>
  </si>
  <si>
    <t>Current Benefits</t>
  </si>
  <si>
    <t>Accrued Pension and Post-Retirement Benefits</t>
  </si>
  <si>
    <t>Total Benefits (Current + Accrued)</t>
  </si>
  <si>
    <t>Employee Costs</t>
  </si>
  <si>
    <t>Depreciation and Amortization Expense</t>
  </si>
  <si>
    <t>Account</t>
  </si>
  <si>
    <t>(a)</t>
  </si>
  <si>
    <t>(b)</t>
  </si>
  <si>
    <t>Net for Depreciation</t>
  </si>
  <si>
    <t>(d)</t>
  </si>
  <si>
    <t>Total for Depreciation</t>
  </si>
  <si>
    <t>Years</t>
  </si>
  <si>
    <t>(f)</t>
  </si>
  <si>
    <t>(g) = 1 / (f)</t>
  </si>
  <si>
    <t>Depreciation Expense</t>
  </si>
  <si>
    <t>(h) = (e) / (f)</t>
  </si>
  <si>
    <t>etc.</t>
  </si>
  <si>
    <t>(2)</t>
  </si>
  <si>
    <t>(c) = (a) - (b)</t>
  </si>
  <si>
    <t>Notes:</t>
  </si>
  <si>
    <t>Consumption</t>
  </si>
  <si>
    <t xml:space="preserve"> kWh</t>
  </si>
  <si>
    <t>Current Board-Approved</t>
  </si>
  <si>
    <t>Proposed</t>
  </si>
  <si>
    <t>Impact</t>
  </si>
  <si>
    <t>Charge Unit</t>
  </si>
  <si>
    <t>Rate</t>
  </si>
  <si>
    <t>Volume</t>
  </si>
  <si>
    <t>Charge</t>
  </si>
  <si>
    <t>$ Change</t>
  </si>
  <si>
    <t>% Change</t>
  </si>
  <si>
    <t>Monthly Service Charge</t>
  </si>
  <si>
    <t>Smart Meter Rate Adder</t>
  </si>
  <si>
    <t>Service Charge Rate Adder(s)</t>
  </si>
  <si>
    <t>Service Charge Rate Rider(s)</t>
  </si>
  <si>
    <t>Distribution Volumetric Rate</t>
  </si>
  <si>
    <t>Low Voltage Rate Adder</t>
  </si>
  <si>
    <t>Volumetric Rate Adder(s)</t>
  </si>
  <si>
    <t>Volumetric Rate Rider(s)</t>
  </si>
  <si>
    <t>Smart Meter Disposition Rider</t>
  </si>
  <si>
    <t>LRAM &amp; SSM Rate Rider</t>
  </si>
  <si>
    <t>Deferral/Variance Account Disposition Rate Rider</t>
  </si>
  <si>
    <t>Sub-Total A - Distribution</t>
  </si>
  <si>
    <t>RTSR - Network</t>
  </si>
  <si>
    <t>RTSR - Line and Transformation Connection</t>
  </si>
  <si>
    <t>Sub-Total B - Delivery (including Sub-Total A)</t>
  </si>
  <si>
    <t>Wholesale Market Service Charge (WMSC)</t>
  </si>
  <si>
    <t>Rural and Remote Rate Protection (RRRP)</t>
  </si>
  <si>
    <t>Special Purpose Charge</t>
  </si>
  <si>
    <t>Standard Supply Service Charge</t>
  </si>
  <si>
    <t>Debt Retirement Charge (DRC)</t>
  </si>
  <si>
    <t>Energy</t>
  </si>
  <si>
    <t>Total Bill (before Taxes)</t>
  </si>
  <si>
    <t>HST</t>
  </si>
  <si>
    <t>Total Bill (including Sub-total B)</t>
  </si>
  <si>
    <t>Loss Factor (%)</t>
  </si>
  <si>
    <t>Customer Class:</t>
  </si>
  <si>
    <t>Year</t>
  </si>
  <si>
    <t>Gross Asset Value</t>
  </si>
  <si>
    <t>Accumulated Amortization</t>
  </si>
  <si>
    <t>Net Asset</t>
  </si>
  <si>
    <t>Proceeds on Disposition</t>
  </si>
  <si>
    <t>Residual Net Book Value</t>
  </si>
  <si>
    <t>(A)</t>
  </si>
  <si>
    <t>(B)</t>
  </si>
  <si>
    <t>(D)</t>
  </si>
  <si>
    <t>(E)</t>
  </si>
  <si>
    <t>Compensation - Actual Yearly Base Wages</t>
  </si>
  <si>
    <t>Compensation - Actual Yearly Overtime</t>
  </si>
  <si>
    <t>Compensation - Actual Yearly Incentive Pay</t>
  </si>
  <si>
    <t>Compensation - Actual Yearly Benefits</t>
  </si>
  <si>
    <t>Payroll &amp; Benefits</t>
  </si>
  <si>
    <t>O/H &amp; U/G Maintenance Expenses</t>
  </si>
  <si>
    <t>Meter Reading/Customer Billing</t>
  </si>
  <si>
    <t>Third Party Professional Services</t>
  </si>
  <si>
    <t>Bad Debts Write Offs</t>
  </si>
  <si>
    <t>Miscellaneous</t>
  </si>
  <si>
    <t>Last Rebasing Year 2006</t>
  </si>
  <si>
    <t>On-Going</t>
  </si>
  <si>
    <t>On-Time</t>
  </si>
  <si>
    <t>Any other costs for regulatory matters (Misc and LEAP)</t>
  </si>
  <si>
    <t>E.L.K. Energy Inc</t>
  </si>
  <si>
    <t>E.L.K. Solutions</t>
  </si>
  <si>
    <t>Town of Essex</t>
  </si>
  <si>
    <t>Billing Function for Water 
Department</t>
  </si>
  <si>
    <t>Streetlighting, Sentinel Lighting 
and Water Heaters</t>
  </si>
  <si>
    <t>Test Year
2012</t>
  </si>
  <si>
    <t>Serv Tx Requests</t>
  </si>
  <si>
    <t>Rent from Electric Property</t>
  </si>
  <si>
    <t>Other Utility Operating Income</t>
  </si>
  <si>
    <t>Interest and Dividend Income</t>
  </si>
  <si>
    <t>Miscellaneous Service Charges</t>
  </si>
  <si>
    <t>Revenues from merchandise, Jobbing</t>
  </si>
  <si>
    <t>Costs &amp; expenses of merchandising, jobbing</t>
  </si>
  <si>
    <t>Gain on Disposition of utility &amp; other property</t>
  </si>
  <si>
    <t>Revenues from non-utility operations</t>
  </si>
  <si>
    <t>Expenses of non-utility operations</t>
  </si>
  <si>
    <t>Miscellaneous non-operating income</t>
  </si>
  <si>
    <t>Special Purpose Charge Recovery</t>
  </si>
  <si>
    <t>Poles, Towers and Fixtures</t>
  </si>
  <si>
    <t>Services</t>
  </si>
  <si>
    <t>Transportation Equipement</t>
  </si>
  <si>
    <t>Tools Shop &amp; Garage Equipment</t>
  </si>
  <si>
    <t>Cottam 
Conversion</t>
  </si>
  <si>
    <t>Kingsville
Conversion</t>
  </si>
  <si>
    <t>Viscount 
Estates</t>
  </si>
  <si>
    <t>Galos Ph 3
OTC</t>
  </si>
  <si>
    <t>Coopers 4B
OTC</t>
  </si>
  <si>
    <t>Truck</t>
  </si>
  <si>
    <t>Other 
Misc</t>
  </si>
  <si>
    <t>Computer Hardware</t>
  </si>
  <si>
    <t>Cost Base plus mark-up</t>
  </si>
  <si>
    <t>Bacon Ph 4B</t>
  </si>
  <si>
    <t>Galos Ph 1B</t>
  </si>
  <si>
    <t>Mettawas</t>
  </si>
  <si>
    <t>Royal Oak 
Phase 4</t>
  </si>
  <si>
    <t>Woodview 
Phase 1A</t>
  </si>
  <si>
    <t>Other Misc</t>
  </si>
  <si>
    <t>Labour</t>
  </si>
  <si>
    <t>Bacon Ph 4 B</t>
  </si>
  <si>
    <t>Galos 1B</t>
  </si>
  <si>
    <t>Royal Oak
Phase 4</t>
  </si>
  <si>
    <t>Woodview
Phase 1A</t>
  </si>
  <si>
    <t>Bacon Ph 4C</t>
  </si>
  <si>
    <t>Cooper Ph 3A</t>
  </si>
  <si>
    <t>Bruner/Angel
Court</t>
  </si>
  <si>
    <t>Royal Oak 
Ph 6A</t>
  </si>
  <si>
    <t>Cooper Ph 3B</t>
  </si>
  <si>
    <t>Cooper Ph
 4A</t>
  </si>
  <si>
    <t>Communication Equipment</t>
  </si>
  <si>
    <t>Office Furniture &amp; Equipment</t>
  </si>
  <si>
    <t>Harris Northstar
CIS</t>
  </si>
  <si>
    <t>Trucks</t>
  </si>
  <si>
    <t>Dunn Paving</t>
  </si>
  <si>
    <t>Sentinel Light Rentals</t>
  </si>
  <si>
    <t>Depreciation Rate - Years</t>
  </si>
  <si>
    <t>Computer Equip.-Hardware</t>
  </si>
  <si>
    <t>2006 Actual</t>
  </si>
  <si>
    <t>2007 Actual</t>
  </si>
  <si>
    <t>2008 Actual</t>
  </si>
  <si>
    <t>2009 Actual</t>
  </si>
  <si>
    <t>2010 Actual</t>
  </si>
  <si>
    <t>2011 Actual</t>
  </si>
  <si>
    <t>2012 Test</t>
  </si>
  <si>
    <t>Special Purpose Charge Expense</t>
  </si>
  <si>
    <t>2006 - Board Approved</t>
  </si>
  <si>
    <t>2006 - Actual</t>
  </si>
  <si>
    <t>2012 Test Year</t>
  </si>
  <si>
    <t>2007 - Actual</t>
  </si>
  <si>
    <t>2008 - Actual</t>
  </si>
  <si>
    <t>2009 - Actual</t>
  </si>
  <si>
    <t>2010 - Actual</t>
  </si>
  <si>
    <t>2011 - Actual</t>
  </si>
  <si>
    <t>Most Current Actual Year (2011)</t>
  </si>
  <si>
    <t>Test Year (2012)</t>
  </si>
  <si>
    <t>Last Board-approved Rebasing Year (2006 Actuals)</t>
  </si>
  <si>
    <t>Embedded distributor</t>
  </si>
  <si>
    <t>Previous Ratios</t>
  </si>
  <si>
    <t>Appendix 2-S  -Not applicable, have used cost allocation model to define costs</t>
  </si>
  <si>
    <t>Test Average Customer/Connections</t>
  </si>
  <si>
    <t>No</t>
  </si>
  <si>
    <t>HST/OVAT Input Tax Credits (ITCs)</t>
  </si>
  <si>
    <t>Unrealized (Gain) Loss on Investment</t>
  </si>
  <si>
    <t>Cottam
Conversion</t>
  </si>
  <si>
    <t>Transformers for Cottam
&amp; Kingsville Conversion</t>
  </si>
  <si>
    <t>Appendix 2-V - Refer to RRWF for Bill Impacts</t>
  </si>
  <si>
    <t>General Service Customer #1</t>
  </si>
  <si>
    <t>General Service Customer #2</t>
  </si>
  <si>
    <t>General Service Customer
 #1</t>
  </si>
  <si>
    <t>General Service Customer 
#2</t>
  </si>
  <si>
    <t>Coopers 
Ph
3B</t>
  </si>
  <si>
    <t>General Service Customer
 #3</t>
  </si>
  <si>
    <t>General Service Customer
 #4</t>
  </si>
  <si>
    <t>General Service Customer 
#5</t>
  </si>
  <si>
    <t>Replace Trans
in
 Inventory</t>
  </si>
  <si>
    <t>Jakana 
OTC</t>
  </si>
  <si>
    <t>General Service Customer 
#3</t>
  </si>
  <si>
    <t>Comber 
Microfit 
OTC</t>
  </si>
  <si>
    <t>Belle
 River 
Relocation</t>
  </si>
  <si>
    <t>General 
Labour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</si>
</sst>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quot;$&quot;#,##0_);[Red]\(&quot;$&quot;#,##0\)"/>
    <numFmt numFmtId="165" formatCode="\(#\)"/>
    <numFmt numFmtId="166" formatCode="&quot;$&quot;#,##0_);[Red]\(&quot;$&quot;#,##0\);&quot;$&quot;\ \-"/>
    <numFmt numFmtId="167" formatCode="0.0%"/>
    <numFmt numFmtId="168" formatCode="_-&quot;$&quot;* #,##0_-;\-&quot;$&quot;* #,##0_-;_-&quot;$&quot;* &quot;-&quot;??_-;_-@_-"/>
    <numFmt numFmtId="169" formatCode="_-* #,##0.0_-;\-* #,##0.0_-;_-* &quot;-&quot;??_-;_-@_-"/>
    <numFmt numFmtId="170" formatCode="_-* #,##0_-;\-* #,##0_-;_-* &quot;-&quot;??_-;_-@_-"/>
    <numFmt numFmtId="171" formatCode="_-&quot;$&quot;* #,##0.0000_-;\-&quot;$&quot;* #,##0.0000_-;_-&quot;$&quot;* &quot;-&quot;??_-;_-@_-"/>
    <numFmt numFmtId="172" formatCode="_-&quot;$&quot;* #,##0.0000000_-;\-&quot;$&quot;* #,##0.0000000_-;_-&quot;$&quot;* &quot;-&quot;??_-;_-@_-"/>
    <numFmt numFmtId="173" formatCode="[$-1009]mmmm\ d\,\ yyyy;@"/>
    <numFmt numFmtId="174" formatCode="0.000"/>
  </numFmts>
  <fonts count="53" x14ac:knownFonts="1">
    <font>
      <sz val="10"/>
      <name val="Arial"/>
    </font>
    <font>
      <sz val="10"/>
      <name val="Arial"/>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6"/>
      <color indexed="12"/>
      <name val="Algerian"/>
      <family val="5"/>
    </font>
    <font>
      <sz val="14"/>
      <name val="Arial"/>
      <family val="2"/>
    </font>
    <font>
      <i/>
      <sz val="10"/>
      <name val="Arial"/>
      <family val="2"/>
    </font>
    <font>
      <b/>
      <i/>
      <sz val="10"/>
      <name val="Arial"/>
      <family val="2"/>
    </font>
    <font>
      <sz val="12"/>
      <name val="Arial"/>
      <family val="2"/>
    </font>
    <font>
      <sz val="10"/>
      <color indexed="10"/>
      <name val="Arial"/>
      <family val="2"/>
    </font>
    <font>
      <b/>
      <u/>
      <sz val="10"/>
      <color indexed="12"/>
      <name val="Arial"/>
      <family val="2"/>
    </font>
    <font>
      <u/>
      <sz val="10"/>
      <name val="Arial"/>
      <family val="2"/>
    </font>
    <font>
      <b/>
      <i/>
      <u/>
      <sz val="10"/>
      <name val="Arial"/>
      <family val="2"/>
    </font>
    <font>
      <u/>
      <sz val="10"/>
      <name val="Arial"/>
      <family val="2"/>
    </font>
    <font>
      <b/>
      <sz val="10"/>
      <name val="Arial"/>
      <family val="2"/>
    </font>
    <font>
      <sz val="10"/>
      <name val="Arial"/>
      <family val="2"/>
    </font>
    <font>
      <sz val="10"/>
      <color indexed="52"/>
      <name val="Arial"/>
      <family val="2"/>
    </font>
    <font>
      <b/>
      <sz val="11"/>
      <name val="Arial"/>
      <family val="2"/>
    </font>
    <font>
      <vertAlign val="superscript"/>
      <sz val="10"/>
      <name val="Arial"/>
      <family val="2"/>
    </font>
    <font>
      <b/>
      <sz val="10"/>
      <color indexed="10"/>
      <name val="Arial"/>
      <family val="2"/>
    </font>
    <font>
      <b/>
      <vertAlign val="superscript"/>
      <sz val="10"/>
      <color indexed="10"/>
      <name val="Arial"/>
      <family val="2"/>
    </font>
    <font>
      <sz val="10"/>
      <color indexed="10"/>
      <name val="Arial"/>
      <family val="2"/>
    </font>
    <font>
      <b/>
      <u/>
      <sz val="14"/>
      <name val="Arial"/>
      <family val="2"/>
    </font>
    <font>
      <b/>
      <i/>
      <vertAlign val="superscript"/>
      <sz val="10"/>
      <name val="Arial"/>
      <family val="2"/>
    </font>
    <font>
      <sz val="10"/>
      <name val="Arial"/>
      <family val="2"/>
    </font>
    <font>
      <sz val="10"/>
      <name val="Arial"/>
      <family val="2"/>
    </font>
    <font>
      <sz val="10"/>
      <name val="Arial"/>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8"/>
        <bgColor indexed="64"/>
      </patternFill>
    </fill>
    <fill>
      <patternFill patternType="solid">
        <fgColor indexed="22"/>
        <bgColor indexed="64"/>
      </patternFill>
    </fill>
    <fill>
      <patternFill patternType="solid">
        <fgColor rgb="FFFFC000"/>
        <bgColor indexed="64"/>
      </patternFill>
    </fill>
    <fill>
      <patternFill patternType="solid">
        <fgColor rgb="FFCCFFCC"/>
        <bgColor indexed="64"/>
      </patternFill>
    </fill>
    <fill>
      <patternFill patternType="solid">
        <fgColor rgb="FFFFFF00"/>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s>
  <cellStyleXfs count="4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52"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 fillId="0" borderId="0" applyNumberFormat="0" applyFill="0" applyBorder="0" applyAlignment="0" applyProtection="0">
      <alignment vertical="top"/>
      <protection locked="0"/>
    </xf>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24" fillId="0" borderId="0"/>
    <xf numFmtId="0" fontId="24"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908">
    <xf numFmtId="0" fontId="0" fillId="0" borderId="0" xfId="0"/>
    <xf numFmtId="0" fontId="0" fillId="0" borderId="0" xfId="0" applyAlignment="1">
      <alignment horizontal="center"/>
    </xf>
    <xf numFmtId="0" fontId="0" fillId="0" borderId="10" xfId="0" applyBorder="1"/>
    <xf numFmtId="0" fontId="0" fillId="0" borderId="0" xfId="0" applyBorder="1"/>
    <xf numFmtId="0" fontId="0" fillId="0" borderId="11" xfId="0" applyBorder="1"/>
    <xf numFmtId="0" fontId="0" fillId="0" borderId="0" xfId="0" applyAlignment="1"/>
    <xf numFmtId="0" fontId="0" fillId="0" borderId="0" xfId="0" applyFill="1" applyBorder="1" applyAlignment="1"/>
    <xf numFmtId="0" fontId="0" fillId="0" borderId="10" xfId="0" applyBorder="1" applyAlignment="1">
      <alignment horizontal="center"/>
    </xf>
    <xf numFmtId="0" fontId="5" fillId="0" borderId="0" xfId="0" applyFont="1" applyAlignment="1">
      <alignment horizontal="center"/>
    </xf>
    <xf numFmtId="0" fontId="0" fillId="0" borderId="0" xfId="0" applyProtection="1"/>
    <xf numFmtId="0" fontId="0" fillId="0" borderId="0" xfId="0" applyBorder="1" applyProtection="1"/>
    <xf numFmtId="0" fontId="4" fillId="0" borderId="12"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Protection="1"/>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Alignment="1" applyProtection="1">
      <alignment horizontal="right"/>
    </xf>
    <xf numFmtId="0" fontId="0" fillId="0" borderId="0" xfId="0" quotePrefix="1" applyBorder="1" applyProtection="1"/>
    <xf numFmtId="165" fontId="0" fillId="24" borderId="0" xfId="0" applyNumberFormat="1" applyFill="1" applyProtection="1">
      <protection locked="0"/>
    </xf>
    <xf numFmtId="166" fontId="0" fillId="0" borderId="0" xfId="0" applyNumberFormat="1" applyBorder="1" applyProtection="1"/>
    <xf numFmtId="0" fontId="0" fillId="0" borderId="0" xfId="0" applyBorder="1" applyAlignment="1" applyProtection="1"/>
    <xf numFmtId="0" fontId="0" fillId="0" borderId="0" xfId="0" quotePrefix="1" applyBorder="1" applyAlignment="1" applyProtection="1"/>
    <xf numFmtId="167" fontId="0" fillId="0" borderId="13" xfId="0" applyNumberFormat="1" applyBorder="1" applyProtection="1"/>
    <xf numFmtId="9" fontId="0" fillId="0" borderId="13" xfId="0" applyNumberFormat="1" applyBorder="1" applyProtection="1"/>
    <xf numFmtId="0" fontId="4" fillId="0" borderId="0" xfId="0" quotePrefix="1" applyFont="1" applyProtection="1"/>
    <xf numFmtId="0" fontId="0" fillId="0" borderId="0" xfId="0" applyAlignment="1">
      <alignment horizontal="center" vertical="center" wrapText="1"/>
    </xf>
    <xf numFmtId="0" fontId="4" fillId="0" borderId="10" xfId="0" applyFont="1" applyBorder="1"/>
    <xf numFmtId="168" fontId="0" fillId="0" borderId="10" xfId="29" applyNumberFormat="1" applyFont="1" applyBorder="1"/>
    <xf numFmtId="168" fontId="0" fillId="0" borderId="10" xfId="0" applyNumberFormat="1" applyBorder="1"/>
    <xf numFmtId="168" fontId="0" fillId="0" borderId="14" xfId="29" applyNumberFormat="1" applyFont="1" applyBorder="1"/>
    <xf numFmtId="170" fontId="1" fillId="0" borderId="10" xfId="28" applyNumberFormat="1" applyBorder="1"/>
    <xf numFmtId="168" fontId="1" fillId="0" borderId="10" xfId="29" applyNumberFormat="1" applyBorder="1"/>
    <xf numFmtId="168" fontId="4" fillId="0" borderId="10" xfId="0" applyNumberFormat="1" applyFont="1" applyBorder="1"/>
    <xf numFmtId="0" fontId="4" fillId="0" borderId="0" xfId="0" applyFont="1" applyBorder="1"/>
    <xf numFmtId="168" fontId="4" fillId="0" borderId="10" xfId="29" applyNumberFormat="1" applyFont="1" applyBorder="1"/>
    <xf numFmtId="10" fontId="1" fillId="24" borderId="0" xfId="45" applyNumberFormat="1" applyFont="1" applyFill="1" applyBorder="1" applyProtection="1"/>
    <xf numFmtId="166" fontId="1" fillId="0" borderId="0" xfId="29" applyNumberFormat="1" applyFont="1" applyBorder="1" applyProtection="1"/>
    <xf numFmtId="10" fontId="1" fillId="24" borderId="12" xfId="45" applyNumberFormat="1" applyFont="1" applyFill="1" applyBorder="1" applyProtection="1"/>
    <xf numFmtId="166" fontId="1" fillId="0" borderId="12" xfId="29" applyNumberFormat="1" applyFont="1" applyBorder="1" applyProtection="1"/>
    <xf numFmtId="167" fontId="1" fillId="0" borderId="15" xfId="45" applyNumberFormat="1" applyFont="1" applyBorder="1" applyProtection="1"/>
    <xf numFmtId="166" fontId="1" fillId="0" borderId="15" xfId="29" applyNumberFormat="1" applyFont="1" applyBorder="1" applyProtection="1"/>
    <xf numFmtId="10" fontId="1" fillId="0" borderId="15" xfId="45" applyNumberFormat="1" applyFont="1" applyBorder="1" applyProtection="1"/>
    <xf numFmtId="167" fontId="1" fillId="0" borderId="0" xfId="45" applyNumberFormat="1" applyFont="1" applyBorder="1" applyProtection="1"/>
    <xf numFmtId="10" fontId="1" fillId="0" borderId="0" xfId="45" applyNumberFormat="1" applyFont="1" applyBorder="1" applyProtection="1"/>
    <xf numFmtId="10" fontId="1" fillId="24" borderId="0" xfId="45" applyNumberFormat="1" applyFont="1" applyFill="1" applyBorder="1" applyAlignment="1" applyProtection="1"/>
    <xf numFmtId="166" fontId="1" fillId="0" borderId="0" xfId="29" applyNumberFormat="1" applyFont="1" applyBorder="1" applyAlignment="1" applyProtection="1"/>
    <xf numFmtId="10" fontId="1" fillId="24" borderId="12" xfId="45" applyNumberFormat="1" applyFont="1" applyFill="1" applyBorder="1" applyAlignment="1" applyProtection="1"/>
    <xf numFmtId="166" fontId="1" fillId="0" borderId="12" xfId="29" applyNumberFormat="1" applyFont="1" applyBorder="1" applyAlignment="1" applyProtection="1"/>
    <xf numFmtId="166" fontId="1" fillId="24" borderId="13" xfId="29" applyNumberFormat="1" applyFont="1" applyFill="1" applyBorder="1" applyProtection="1"/>
    <xf numFmtId="10" fontId="1" fillId="0" borderId="13" xfId="45" applyNumberFormat="1" applyFont="1" applyBorder="1" applyProtection="1"/>
    <xf numFmtId="166" fontId="1" fillId="0" borderId="13" xfId="29" applyNumberFormat="1" applyFont="1" applyBorder="1" applyProtection="1"/>
    <xf numFmtId="0" fontId="0" fillId="0" borderId="0" xfId="0" applyFill="1" applyBorder="1"/>
    <xf numFmtId="0" fontId="4" fillId="0" borderId="0" xfId="0" applyFont="1"/>
    <xf numFmtId="167" fontId="1" fillId="0" borderId="15" xfId="45" applyNumberFormat="1" applyFont="1" applyFill="1" applyBorder="1" applyProtection="1"/>
    <xf numFmtId="167" fontId="1" fillId="0" borderId="0" xfId="45" applyNumberFormat="1" applyFont="1" applyFill="1" applyBorder="1" applyProtection="1"/>
    <xf numFmtId="10" fontId="1" fillId="0" borderId="0" xfId="45" applyNumberFormat="1" applyFont="1" applyFill="1" applyBorder="1" applyProtection="1"/>
    <xf numFmtId="10" fontId="1" fillId="0" borderId="0" xfId="45" applyNumberFormat="1" applyFont="1" applyFill="1" applyBorder="1" applyAlignment="1" applyProtection="1"/>
    <xf numFmtId="0" fontId="4" fillId="0" borderId="0" xfId="0" applyFont="1" applyBorder="1" applyAlignment="1" applyProtection="1">
      <alignment horizontal="center" vertical="center"/>
    </xf>
    <xf numFmtId="0" fontId="0" fillId="0" borderId="0" xfId="0" applyFill="1" applyBorder="1" applyProtection="1"/>
    <xf numFmtId="0" fontId="4" fillId="0" borderId="16" xfId="0" applyFont="1" applyBorder="1" applyProtection="1"/>
    <xf numFmtId="0" fontId="0" fillId="0" borderId="17" xfId="0" applyBorder="1" applyProtection="1"/>
    <xf numFmtId="0" fontId="0" fillId="0" borderId="17" xfId="0" applyBorder="1" applyAlignment="1" applyProtection="1">
      <alignment horizontal="center"/>
    </xf>
    <xf numFmtId="0" fontId="0" fillId="0" borderId="18" xfId="0" applyBorder="1"/>
    <xf numFmtId="0" fontId="4" fillId="0" borderId="19" xfId="0" applyFont="1" applyBorder="1" applyProtection="1"/>
    <xf numFmtId="0" fontId="0" fillId="0" borderId="20" xfId="0" applyBorder="1"/>
    <xf numFmtId="0" fontId="4" fillId="24" borderId="10" xfId="0" applyFont="1" applyFill="1" applyBorder="1" applyProtection="1">
      <protection locked="0"/>
    </xf>
    <xf numFmtId="0" fontId="10" fillId="0" borderId="0" xfId="0" applyFont="1" applyProtection="1"/>
    <xf numFmtId="165" fontId="0" fillId="24" borderId="0" xfId="0" applyNumberFormat="1" applyFill="1" applyBorder="1" applyProtection="1">
      <protection locked="0"/>
    </xf>
    <xf numFmtId="165" fontId="0" fillId="0" borderId="0" xfId="0" applyNumberFormat="1" applyFill="1" applyBorder="1" applyProtection="1">
      <protection locked="0"/>
    </xf>
    <xf numFmtId="165" fontId="0" fillId="0" borderId="0" xfId="0" quotePrefix="1" applyNumberFormat="1" applyFill="1" applyBorder="1" applyProtection="1">
      <protection locked="0"/>
    </xf>
    <xf numFmtId="0" fontId="4" fillId="0" borderId="19" xfId="0" applyFont="1" applyBorder="1" applyAlignment="1" applyProtection="1"/>
    <xf numFmtId="0" fontId="4" fillId="0" borderId="21" xfId="0" applyFont="1" applyBorder="1" applyProtection="1"/>
    <xf numFmtId="0" fontId="0" fillId="0" borderId="12" xfId="0" applyBorder="1" applyProtection="1"/>
    <xf numFmtId="0" fontId="0" fillId="0" borderId="22" xfId="0" applyBorder="1"/>
    <xf numFmtId="0" fontId="4" fillId="0" borderId="0" xfId="0" applyFont="1" applyBorder="1" applyProtection="1"/>
    <xf numFmtId="0" fontId="0" fillId="0" borderId="0" xfId="0" quotePrefix="1" applyBorder="1" applyAlignment="1" applyProtection="1">
      <alignment horizontal="center"/>
    </xf>
    <xf numFmtId="0" fontId="10" fillId="0" borderId="0" xfId="0" applyFont="1" applyFill="1" applyProtection="1"/>
    <xf numFmtId="0" fontId="4" fillId="0" borderId="0" xfId="0" applyFont="1" applyAlignment="1" applyProtection="1"/>
    <xf numFmtId="0" fontId="4" fillId="0" borderId="0" xfId="0" applyFont="1" applyAlignment="1" applyProtection="1">
      <alignment horizontal="center"/>
    </xf>
    <xf numFmtId="0" fontId="4" fillId="0" borderId="23" xfId="0" applyFont="1" applyBorder="1" applyAlignment="1" applyProtection="1">
      <alignment horizontal="center"/>
    </xf>
    <xf numFmtId="0" fontId="4" fillId="0" borderId="20" xfId="0" applyFont="1" applyBorder="1" applyAlignment="1" applyProtection="1">
      <alignment horizontal="center"/>
    </xf>
    <xf numFmtId="0" fontId="4" fillId="0" borderId="18" xfId="0" applyFont="1" applyBorder="1" applyAlignment="1" applyProtection="1">
      <alignment horizontal="center"/>
    </xf>
    <xf numFmtId="0" fontId="4" fillId="0" borderId="24" xfId="0" quotePrefix="1" applyFont="1" applyBorder="1" applyAlignment="1" applyProtection="1">
      <alignment horizontal="center"/>
    </xf>
    <xf numFmtId="0" fontId="4" fillId="0" borderId="22" xfId="0" quotePrefix="1" applyFont="1" applyBorder="1" applyAlignment="1" applyProtection="1">
      <alignment horizontal="center"/>
    </xf>
    <xf numFmtId="0" fontId="0" fillId="0" borderId="0" xfId="0" applyAlignment="1" applyProtection="1">
      <alignment vertical="top"/>
    </xf>
    <xf numFmtId="0" fontId="0" fillId="25" borderId="0" xfId="0" applyFill="1" applyAlignment="1" applyProtection="1">
      <alignment vertical="top"/>
      <protection locked="0"/>
    </xf>
    <xf numFmtId="0" fontId="0" fillId="0" borderId="0" xfId="0" applyFill="1" applyAlignment="1" applyProtection="1">
      <alignment vertical="top"/>
    </xf>
    <xf numFmtId="171" fontId="1" fillId="24" borderId="11" xfId="29" applyNumberFormat="1" applyFill="1" applyBorder="1" applyAlignment="1" applyProtection="1">
      <alignment vertical="top"/>
      <protection locked="0"/>
    </xf>
    <xf numFmtId="0" fontId="0" fillId="0" borderId="11" xfId="0" applyFill="1" applyBorder="1" applyAlignment="1" applyProtection="1">
      <alignment vertical="top"/>
    </xf>
    <xf numFmtId="44" fontId="1" fillId="0" borderId="20" xfId="29" applyBorder="1" applyAlignment="1" applyProtection="1">
      <alignment vertical="top"/>
    </xf>
    <xf numFmtId="0" fontId="0" fillId="0" borderId="20" xfId="0" applyFill="1" applyBorder="1" applyAlignment="1" applyProtection="1">
      <alignment vertical="top"/>
    </xf>
    <xf numFmtId="44" fontId="0" fillId="0" borderId="11" xfId="0" applyNumberFormat="1" applyBorder="1" applyAlignment="1" applyProtection="1">
      <alignment vertical="top"/>
    </xf>
    <xf numFmtId="10" fontId="1" fillId="0" borderId="20" xfId="45" applyNumberFormat="1" applyBorder="1" applyAlignment="1" applyProtection="1">
      <alignment vertical="top"/>
    </xf>
    <xf numFmtId="0" fontId="0" fillId="0" borderId="0" xfId="0" applyAlignment="1" applyProtection="1">
      <alignment vertical="top" wrapText="1"/>
    </xf>
    <xf numFmtId="0" fontId="0" fillId="24" borderId="0" xfId="0" applyFill="1" applyAlignment="1" applyProtection="1">
      <alignment vertical="top"/>
      <protection locked="0"/>
    </xf>
    <xf numFmtId="0" fontId="0" fillId="24" borderId="11" xfId="0" applyFill="1" applyBorder="1" applyAlignment="1" applyProtection="1">
      <alignment vertical="top"/>
      <protection locked="0"/>
    </xf>
    <xf numFmtId="0" fontId="0" fillId="24" borderId="20" xfId="0" applyFill="1" applyBorder="1" applyAlignment="1" applyProtection="1">
      <alignment vertical="top"/>
      <protection locked="0"/>
    </xf>
    <xf numFmtId="0" fontId="0" fillId="0" borderId="0" xfId="0" applyFill="1" applyProtection="1"/>
    <xf numFmtId="0" fontId="0" fillId="0" borderId="25" xfId="0" applyBorder="1" applyProtection="1"/>
    <xf numFmtId="0" fontId="0" fillId="0" borderId="26" xfId="0" applyBorder="1" applyProtection="1"/>
    <xf numFmtId="44" fontId="4" fillId="0" borderId="27" xfId="0" applyNumberFormat="1" applyFont="1" applyBorder="1" applyProtection="1"/>
    <xf numFmtId="0" fontId="0" fillId="0" borderId="28" xfId="0" applyBorder="1" applyProtection="1"/>
    <xf numFmtId="44" fontId="4" fillId="0" borderId="25" xfId="0" applyNumberFormat="1" applyFont="1" applyBorder="1" applyProtection="1"/>
    <xf numFmtId="10" fontId="4" fillId="0" borderId="27" xfId="45" applyNumberFormat="1" applyFont="1" applyBorder="1" applyProtection="1"/>
    <xf numFmtId="0" fontId="0" fillId="0" borderId="0" xfId="0" applyAlignment="1" applyProtection="1">
      <alignment vertical="center"/>
    </xf>
    <xf numFmtId="0" fontId="0" fillId="25" borderId="0" xfId="0" applyFill="1" applyAlignment="1" applyProtection="1">
      <alignment vertical="center"/>
      <protection locked="0"/>
    </xf>
    <xf numFmtId="0" fontId="0" fillId="0" borderId="0" xfId="0" applyFill="1" applyAlignment="1" applyProtection="1">
      <alignment vertical="center"/>
    </xf>
    <xf numFmtId="0" fontId="0" fillId="0" borderId="11" xfId="0" applyFill="1" applyBorder="1" applyAlignment="1" applyProtection="1">
      <alignment vertical="center"/>
    </xf>
    <xf numFmtId="0" fontId="0" fillId="0" borderId="20" xfId="0" applyFill="1" applyBorder="1" applyAlignment="1" applyProtection="1">
      <alignment vertical="center"/>
    </xf>
    <xf numFmtId="44" fontId="0" fillId="0" borderId="11" xfId="0" applyNumberFormat="1" applyBorder="1" applyAlignment="1" applyProtection="1">
      <alignment vertical="center"/>
    </xf>
    <xf numFmtId="0" fontId="0" fillId="0" borderId="0" xfId="0" applyAlignment="1" applyProtection="1">
      <alignment vertical="center" wrapText="1"/>
    </xf>
    <xf numFmtId="0" fontId="4" fillId="0" borderId="0" xfId="0" applyFont="1" applyAlignment="1" applyProtection="1">
      <alignment vertical="top" wrapText="1"/>
    </xf>
    <xf numFmtId="0" fontId="0" fillId="0" borderId="25" xfId="0" applyBorder="1" applyAlignment="1" applyProtection="1">
      <alignment vertical="top"/>
    </xf>
    <xf numFmtId="0" fontId="0" fillId="0" borderId="26" xfId="0" applyBorder="1" applyAlignment="1" applyProtection="1">
      <alignment vertical="top"/>
    </xf>
    <xf numFmtId="44" fontId="4" fillId="0" borderId="27" xfId="0" applyNumberFormat="1" applyFont="1" applyBorder="1" applyAlignment="1" applyProtection="1">
      <alignment vertical="top"/>
    </xf>
    <xf numFmtId="0" fontId="4" fillId="0" borderId="0" xfId="0" applyFont="1" applyAlignment="1" applyProtection="1">
      <alignment vertical="top"/>
    </xf>
    <xf numFmtId="0" fontId="4" fillId="0" borderId="25" xfId="0" applyFont="1" applyBorder="1" applyAlignment="1" applyProtection="1">
      <alignment vertical="top"/>
    </xf>
    <xf numFmtId="0" fontId="4" fillId="0" borderId="28" xfId="0" applyFont="1" applyBorder="1" applyAlignment="1" applyProtection="1">
      <alignment vertical="top"/>
    </xf>
    <xf numFmtId="44" fontId="4" fillId="0" borderId="25" xfId="0" applyNumberFormat="1" applyFont="1" applyBorder="1" applyAlignment="1" applyProtection="1">
      <alignment vertical="top"/>
    </xf>
    <xf numFmtId="10" fontId="4" fillId="0" borderId="27" xfId="45" applyNumberFormat="1" applyFont="1" applyBorder="1" applyAlignment="1" applyProtection="1">
      <alignment vertical="top"/>
    </xf>
    <xf numFmtId="172" fontId="1" fillId="24" borderId="11" xfId="29" applyNumberFormat="1" applyFill="1" applyBorder="1" applyAlignment="1" applyProtection="1">
      <alignment vertical="top"/>
      <protection locked="0"/>
    </xf>
    <xf numFmtId="0" fontId="0" fillId="24" borderId="0" xfId="0" applyFill="1" applyAlignment="1" applyProtection="1">
      <alignment vertical="top"/>
    </xf>
    <xf numFmtId="0" fontId="0" fillId="24" borderId="11" xfId="0" applyFill="1" applyBorder="1" applyAlignment="1" applyProtection="1">
      <alignment vertical="top"/>
    </xf>
    <xf numFmtId="0" fontId="0" fillId="24" borderId="20" xfId="0" applyFill="1" applyBorder="1" applyAlignment="1" applyProtection="1">
      <alignment vertical="top"/>
    </xf>
    <xf numFmtId="0" fontId="4" fillId="0" borderId="0" xfId="0" applyFont="1" applyFill="1" applyAlignment="1" applyProtection="1">
      <alignment vertical="top"/>
    </xf>
    <xf numFmtId="9" fontId="0" fillId="0" borderId="25" xfId="0" applyNumberFormat="1" applyBorder="1" applyAlignment="1" applyProtection="1">
      <alignment vertical="top"/>
    </xf>
    <xf numFmtId="9" fontId="0" fillId="0" borderId="26" xfId="0" applyNumberFormat="1" applyBorder="1" applyAlignment="1" applyProtection="1">
      <alignment vertical="top"/>
    </xf>
    <xf numFmtId="9" fontId="4" fillId="0" borderId="25" xfId="0" applyNumberFormat="1" applyFont="1" applyBorder="1" applyAlignment="1" applyProtection="1">
      <alignment vertical="top"/>
    </xf>
    <xf numFmtId="9" fontId="4" fillId="0" borderId="28" xfId="0" applyNumberFormat="1" applyFont="1" applyBorder="1" applyAlignment="1" applyProtection="1">
      <alignment vertical="top"/>
    </xf>
    <xf numFmtId="9" fontId="0" fillId="24" borderId="11" xfId="0" applyNumberFormat="1" applyFill="1" applyBorder="1" applyAlignment="1" applyProtection="1">
      <alignment vertical="top"/>
      <protection locked="0"/>
    </xf>
    <xf numFmtId="0" fontId="0" fillId="0" borderId="11" xfId="0" applyBorder="1" applyAlignment="1" applyProtection="1">
      <alignment vertical="top"/>
    </xf>
    <xf numFmtId="44" fontId="0" fillId="0" borderId="20" xfId="0" applyNumberFormat="1" applyBorder="1" applyAlignment="1" applyProtection="1">
      <alignment vertical="top"/>
    </xf>
    <xf numFmtId="0" fontId="0" fillId="0" borderId="20" xfId="0" applyBorder="1" applyAlignment="1" applyProtection="1">
      <alignment vertical="top"/>
    </xf>
    <xf numFmtId="10" fontId="1" fillId="24" borderId="10" xfId="45" applyNumberFormat="1" applyFill="1" applyBorder="1" applyProtection="1">
      <protection locked="0"/>
    </xf>
    <xf numFmtId="0" fontId="0" fillId="26" borderId="0" xfId="0" applyFill="1" applyBorder="1" applyProtection="1"/>
    <xf numFmtId="0" fontId="0" fillId="26" borderId="0" xfId="0" applyFill="1" applyBorder="1" applyAlignment="1" applyProtection="1">
      <alignment horizontal="left" indent="1"/>
    </xf>
    <xf numFmtId="0" fontId="6" fillId="26" borderId="0" xfId="0" applyFont="1" applyFill="1" applyBorder="1" applyAlignment="1" applyProtection="1"/>
    <xf numFmtId="0" fontId="31" fillId="26" borderId="0" xfId="0" applyFont="1" applyFill="1" applyBorder="1" applyAlignment="1" applyProtection="1"/>
    <xf numFmtId="0" fontId="30" fillId="26" borderId="0" xfId="0" applyFont="1" applyFill="1" applyAlignment="1" applyProtection="1">
      <alignment vertical="top" wrapText="1"/>
    </xf>
    <xf numFmtId="0" fontId="6" fillId="0" borderId="0" xfId="0" applyFont="1" applyAlignment="1" applyProtection="1">
      <alignment horizontal="center"/>
    </xf>
    <xf numFmtId="0" fontId="4" fillId="0" borderId="0" xfId="0" applyFont="1" applyAlignment="1" applyProtection="1">
      <alignment horizontal="right"/>
    </xf>
    <xf numFmtId="0" fontId="0" fillId="0" borderId="0" xfId="0" quotePrefix="1"/>
    <xf numFmtId="0" fontId="4" fillId="0" borderId="10" xfId="0" applyFont="1" applyBorder="1" applyAlignment="1">
      <alignment horizontal="center"/>
    </xf>
    <xf numFmtId="0" fontId="4" fillId="0" borderId="29" xfId="0" applyFont="1" applyBorder="1" applyAlignment="1">
      <alignment horizontal="center"/>
    </xf>
    <xf numFmtId="0" fontId="0" fillId="0" borderId="30" xfId="0" applyBorder="1"/>
    <xf numFmtId="168" fontId="0" fillId="0" borderId="31" xfId="29" applyNumberFormat="1" applyFont="1" applyBorder="1"/>
    <xf numFmtId="168" fontId="0" fillId="0" borderId="32" xfId="29" applyNumberFormat="1" applyFont="1" applyBorder="1"/>
    <xf numFmtId="0" fontId="32" fillId="0" borderId="0" xfId="0" applyFont="1"/>
    <xf numFmtId="0" fontId="0" fillId="0" borderId="30" xfId="0" applyBorder="1" applyAlignment="1">
      <alignment horizontal="center"/>
    </xf>
    <xf numFmtId="0" fontId="0" fillId="0" borderId="33" xfId="0" applyBorder="1" applyAlignment="1">
      <alignment horizontal="center"/>
    </xf>
    <xf numFmtId="0" fontId="0" fillId="0" borderId="32" xfId="0" quotePrefix="1" applyBorder="1" applyAlignment="1">
      <alignment horizontal="center"/>
    </xf>
    <xf numFmtId="0" fontId="0" fillId="24" borderId="0" xfId="0" applyFill="1"/>
    <xf numFmtId="0" fontId="0" fillId="0" borderId="34" xfId="0" applyBorder="1"/>
    <xf numFmtId="0" fontId="0" fillId="0" borderId="35" xfId="0" applyBorder="1"/>
    <xf numFmtId="0" fontId="0" fillId="0" borderId="36" xfId="0" applyBorder="1"/>
    <xf numFmtId="0" fontId="4" fillId="0" borderId="37" xfId="0" applyFont="1" applyBorder="1"/>
    <xf numFmtId="0" fontId="4" fillId="0" borderId="29" xfId="0" applyFont="1" applyBorder="1"/>
    <xf numFmtId="44" fontId="0" fillId="0" borderId="10" xfId="29" applyFont="1" applyBorder="1"/>
    <xf numFmtId="44" fontId="0" fillId="0" borderId="31" xfId="29" applyFont="1" applyBorder="1"/>
    <xf numFmtId="0" fontId="0" fillId="24" borderId="10" xfId="0" applyFill="1" applyBorder="1"/>
    <xf numFmtId="0" fontId="4" fillId="24" borderId="29" xfId="0" applyFont="1" applyFill="1" applyBorder="1"/>
    <xf numFmtId="168" fontId="0" fillId="24" borderId="10" xfId="29" applyNumberFormat="1" applyFont="1" applyFill="1" applyBorder="1"/>
    <xf numFmtId="0" fontId="7" fillId="0" borderId="0" xfId="0" applyFont="1"/>
    <xf numFmtId="0" fontId="6" fillId="0" borderId="0" xfId="0" applyFont="1"/>
    <xf numFmtId="168" fontId="0" fillId="24" borderId="0" xfId="29" applyNumberFormat="1" applyFont="1" applyFill="1"/>
    <xf numFmtId="168" fontId="0" fillId="24" borderId="12" xfId="29" applyNumberFormat="1" applyFont="1" applyFill="1" applyBorder="1"/>
    <xf numFmtId="0" fontId="4" fillId="24" borderId="29" xfId="0" applyFont="1" applyFill="1" applyBorder="1" applyAlignment="1">
      <alignment horizontal="center"/>
    </xf>
    <xf numFmtId="168" fontId="0" fillId="0" borderId="38" xfId="29" applyNumberFormat="1" applyFont="1" applyBorder="1"/>
    <xf numFmtId="0" fontId="0" fillId="24" borderId="30" xfId="0" applyFill="1" applyBorder="1"/>
    <xf numFmtId="168" fontId="0" fillId="24" borderId="31" xfId="29" applyNumberFormat="1" applyFont="1" applyFill="1" applyBorder="1"/>
    <xf numFmtId="0" fontId="0" fillId="24" borderId="31" xfId="0" applyFill="1" applyBorder="1"/>
    <xf numFmtId="0" fontId="0" fillId="24" borderId="39" xfId="0" applyFill="1" applyBorder="1"/>
    <xf numFmtId="170" fontId="1" fillId="24" borderId="10" xfId="28" applyNumberFormat="1" applyFill="1" applyBorder="1"/>
    <xf numFmtId="168" fontId="1" fillId="24" borderId="10" xfId="29" applyNumberFormat="1" applyFill="1" applyBorder="1"/>
    <xf numFmtId="44" fontId="1" fillId="24" borderId="10" xfId="29" applyFill="1" applyBorder="1"/>
    <xf numFmtId="44" fontId="0" fillId="24" borderId="10" xfId="29" applyFont="1" applyFill="1" applyBorder="1"/>
    <xf numFmtId="43" fontId="0" fillId="24" borderId="10" xfId="28" applyFont="1" applyFill="1" applyBorder="1"/>
    <xf numFmtId="44" fontId="4" fillId="0" borderId="36" xfId="0" applyNumberFormat="1" applyFont="1" applyBorder="1" applyAlignment="1" applyProtection="1">
      <alignment vertical="top"/>
    </xf>
    <xf numFmtId="10" fontId="4" fillId="0" borderId="36" xfId="45" applyNumberFormat="1" applyFont="1" applyBorder="1" applyAlignment="1" applyProtection="1">
      <alignment vertical="top"/>
    </xf>
    <xf numFmtId="44" fontId="4" fillId="0" borderId="40" xfId="0" applyNumberFormat="1" applyFont="1" applyBorder="1" applyAlignment="1" applyProtection="1">
      <alignment vertical="top"/>
    </xf>
    <xf numFmtId="0" fontId="4" fillId="0" borderId="41" xfId="0" applyFont="1" applyBorder="1" applyAlignment="1" applyProtection="1">
      <alignment vertical="top"/>
    </xf>
    <xf numFmtId="0" fontId="4" fillId="0" borderId="40" xfId="0" applyFont="1" applyBorder="1" applyAlignment="1" applyProtection="1">
      <alignment vertical="top"/>
    </xf>
    <xf numFmtId="0" fontId="0" fillId="0" borderId="28" xfId="0" applyBorder="1" applyAlignment="1" applyProtection="1">
      <alignment vertical="top"/>
    </xf>
    <xf numFmtId="0" fontId="0" fillId="0" borderId="41" xfId="0" applyBorder="1" applyAlignment="1" applyProtection="1">
      <alignment vertical="top"/>
    </xf>
    <xf numFmtId="0" fontId="0" fillId="0" borderId="40" xfId="0" applyBorder="1" applyAlignment="1" applyProtection="1">
      <alignment vertical="top"/>
    </xf>
    <xf numFmtId="0" fontId="33" fillId="0" borderId="0" xfId="0" applyFont="1" applyAlignment="1" applyProtection="1">
      <alignment vertical="top" wrapText="1"/>
    </xf>
    <xf numFmtId="0" fontId="34" fillId="0" borderId="0" xfId="0" applyFont="1"/>
    <xf numFmtId="0" fontId="34" fillId="24" borderId="42" xfId="0" applyFont="1" applyFill="1" applyBorder="1"/>
    <xf numFmtId="0" fontId="4" fillId="0" borderId="43" xfId="0" applyFont="1" applyBorder="1"/>
    <xf numFmtId="0" fontId="4" fillId="0" borderId="44" xfId="0" applyFont="1" applyBorder="1"/>
    <xf numFmtId="0" fontId="4" fillId="0" borderId="43" xfId="0" applyFont="1" applyBorder="1" applyAlignment="1">
      <alignment horizontal="center" wrapText="1"/>
    </xf>
    <xf numFmtId="0" fontId="4" fillId="0" borderId="44" xfId="0" applyFont="1" applyBorder="1" applyAlignment="1">
      <alignment horizontal="center"/>
    </xf>
    <xf numFmtId="0" fontId="4" fillId="0" borderId="45" xfId="0" applyFont="1" applyBorder="1" applyAlignment="1">
      <alignment horizontal="center" wrapText="1"/>
    </xf>
    <xf numFmtId="0" fontId="4" fillId="0" borderId="34" xfId="0" applyFont="1" applyBorder="1" applyAlignment="1">
      <alignment horizontal="center"/>
    </xf>
    <xf numFmtId="0" fontId="0" fillId="0" borderId="46" xfId="0" applyBorder="1"/>
    <xf numFmtId="0" fontId="0" fillId="0" borderId="44" xfId="0" applyBorder="1"/>
    <xf numFmtId="0" fontId="0" fillId="0" borderId="46" xfId="0" quotePrefix="1" applyBorder="1" applyAlignment="1">
      <alignment horizontal="center"/>
    </xf>
    <xf numFmtId="0" fontId="0" fillId="0" borderId="44" xfId="0" applyBorder="1" applyAlignment="1">
      <alignment horizontal="center"/>
    </xf>
    <xf numFmtId="0" fontId="0" fillId="0" borderId="45" xfId="0" quotePrefix="1" applyBorder="1" applyAlignment="1">
      <alignment horizontal="center"/>
    </xf>
    <xf numFmtId="0" fontId="0" fillId="0" borderId="34" xfId="0" applyBorder="1" applyAlignment="1">
      <alignment horizontal="center"/>
    </xf>
    <xf numFmtId="0" fontId="0" fillId="0" borderId="36" xfId="0" quotePrefix="1" applyBorder="1" applyAlignment="1">
      <alignment horizontal="center"/>
    </xf>
    <xf numFmtId="0" fontId="0" fillId="0" borderId="47" xfId="0" applyBorder="1"/>
    <xf numFmtId="44" fontId="1" fillId="24" borderId="47" xfId="29" applyFill="1" applyBorder="1"/>
    <xf numFmtId="44" fontId="1" fillId="0" borderId="45" xfId="29" applyFill="1" applyBorder="1"/>
    <xf numFmtId="44" fontId="1" fillId="0" borderId="48" xfId="29" applyBorder="1"/>
    <xf numFmtId="0" fontId="0" fillId="0" borderId="49" xfId="0" applyBorder="1"/>
    <xf numFmtId="44" fontId="1" fillId="24" borderId="49" xfId="29" applyFill="1" applyBorder="1"/>
    <xf numFmtId="44" fontId="1" fillId="0" borderId="50" xfId="29" applyBorder="1"/>
    <xf numFmtId="44" fontId="1" fillId="24" borderId="46" xfId="29" applyFill="1" applyBorder="1"/>
    <xf numFmtId="44" fontId="1" fillId="0" borderId="51" xfId="29" applyFill="1" applyBorder="1"/>
    <xf numFmtId="44" fontId="1" fillId="0" borderId="36" xfId="29" applyBorder="1"/>
    <xf numFmtId="0" fontId="0" fillId="0" borderId="43" xfId="0" applyBorder="1" applyAlignment="1">
      <alignment horizontal="center"/>
    </xf>
    <xf numFmtId="0" fontId="0" fillId="0" borderId="42" xfId="0" applyBorder="1"/>
    <xf numFmtId="0" fontId="0" fillId="0" borderId="43" xfId="0" applyBorder="1"/>
    <xf numFmtId="0" fontId="4" fillId="0" borderId="46" xfId="0" applyFont="1" applyBorder="1"/>
    <xf numFmtId="0" fontId="4" fillId="0" borderId="51" xfId="0" applyFont="1" applyBorder="1" applyAlignment="1">
      <alignment horizontal="center" wrapText="1"/>
    </xf>
    <xf numFmtId="0" fontId="4" fillId="0" borderId="46" xfId="0" applyFont="1" applyBorder="1" applyAlignment="1">
      <alignment horizontal="center" wrapText="1"/>
    </xf>
    <xf numFmtId="0" fontId="4" fillId="0" borderId="44" xfId="0" applyFont="1" applyBorder="1" applyAlignment="1">
      <alignment horizontal="center" wrapText="1"/>
    </xf>
    <xf numFmtId="0" fontId="4" fillId="0" borderId="46" xfId="0" applyFont="1" applyBorder="1" applyAlignment="1">
      <alignment horizontal="center"/>
    </xf>
    <xf numFmtId="0" fontId="0" fillId="0" borderId="52" xfId="0" applyBorder="1"/>
    <xf numFmtId="43" fontId="1" fillId="24" borderId="47" xfId="28" applyFill="1" applyBorder="1"/>
    <xf numFmtId="170" fontId="1" fillId="24" borderId="47" xfId="28" applyNumberFormat="1" applyFill="1" applyBorder="1"/>
    <xf numFmtId="170" fontId="0" fillId="0" borderId="44" xfId="0" applyNumberFormat="1" applyBorder="1"/>
    <xf numFmtId="0" fontId="0" fillId="0" borderId="44" xfId="0" applyFill="1" applyBorder="1"/>
    <xf numFmtId="0" fontId="0" fillId="0" borderId="44" xfId="0" quotePrefix="1" applyBorder="1"/>
    <xf numFmtId="10" fontId="1" fillId="0" borderId="34" xfId="45" applyNumberFormat="1" applyBorder="1"/>
    <xf numFmtId="43" fontId="1" fillId="24" borderId="53" xfId="28" applyFill="1" applyBorder="1"/>
    <xf numFmtId="43" fontId="1" fillId="24" borderId="44" xfId="28" applyFill="1" applyBorder="1"/>
    <xf numFmtId="170" fontId="1" fillId="24" borderId="53" xfId="28" applyNumberFormat="1" applyFill="1" applyBorder="1"/>
    <xf numFmtId="170" fontId="1" fillId="24" borderId="49" xfId="28" applyNumberFormat="1" applyFill="1" applyBorder="1"/>
    <xf numFmtId="0" fontId="0" fillId="0" borderId="54" xfId="0" applyBorder="1"/>
    <xf numFmtId="43" fontId="1" fillId="24" borderId="54" xfId="28" applyFill="1" applyBorder="1"/>
    <xf numFmtId="170" fontId="1" fillId="24" borderId="54" xfId="28" applyNumberFormat="1" applyFill="1" applyBorder="1"/>
    <xf numFmtId="170" fontId="0" fillId="0" borderId="46" xfId="0" applyNumberFormat="1" applyBorder="1"/>
    <xf numFmtId="170" fontId="1" fillId="24" borderId="46" xfId="28" applyNumberFormat="1" applyFill="1" applyBorder="1"/>
    <xf numFmtId="0" fontId="0" fillId="0" borderId="46" xfId="0" applyFill="1" applyBorder="1"/>
    <xf numFmtId="0" fontId="0" fillId="0" borderId="46" xfId="0" quotePrefix="1" applyBorder="1"/>
    <xf numFmtId="10" fontId="1" fillId="0" borderId="36" xfId="45" applyNumberFormat="1" applyBorder="1"/>
    <xf numFmtId="0" fontId="4" fillId="0" borderId="0" xfId="0" applyFont="1" applyBorder="1" applyAlignment="1">
      <alignment horizontal="center"/>
    </xf>
    <xf numFmtId="0" fontId="4" fillId="0" borderId="34" xfId="0" applyFont="1" applyBorder="1" applyAlignment="1">
      <alignment wrapText="1"/>
    </xf>
    <xf numFmtId="0" fontId="0" fillId="0" borderId="44" xfId="0" quotePrefix="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44" xfId="0" quotePrefix="1" applyFill="1" applyBorder="1" applyAlignment="1">
      <alignment horizontal="center"/>
    </xf>
    <xf numFmtId="171" fontId="1" fillId="0" borderId="43" xfId="29" applyNumberFormat="1" applyBorder="1"/>
    <xf numFmtId="44" fontId="0" fillId="0" borderId="44" xfId="0" applyNumberFormat="1" applyBorder="1"/>
    <xf numFmtId="171" fontId="0" fillId="0" borderId="43" xfId="0" applyNumberFormat="1" applyBorder="1"/>
    <xf numFmtId="171" fontId="1" fillId="0" borderId="44" xfId="29" applyNumberFormat="1" applyBorder="1"/>
    <xf numFmtId="171" fontId="0" fillId="0" borderId="44" xfId="0" applyNumberFormat="1" applyBorder="1"/>
    <xf numFmtId="44" fontId="0" fillId="0" borderId="46" xfId="0" applyNumberFormat="1" applyBorder="1"/>
    <xf numFmtId="171" fontId="1" fillId="0" borderId="46" xfId="29" applyNumberFormat="1" applyBorder="1"/>
    <xf numFmtId="44" fontId="0" fillId="0" borderId="0" xfId="0" applyNumberFormat="1" applyBorder="1"/>
    <xf numFmtId="171" fontId="1" fillId="0" borderId="0" xfId="29" applyNumberFormat="1" applyBorder="1"/>
    <xf numFmtId="171" fontId="0" fillId="0" borderId="55" xfId="0" applyNumberFormat="1" applyBorder="1"/>
    <xf numFmtId="171" fontId="0" fillId="0" borderId="42" xfId="0" applyNumberFormat="1" applyBorder="1"/>
    <xf numFmtId="0" fontId="0" fillId="0" borderId="34" xfId="0" quotePrefix="1" applyBorder="1" applyAlignment="1">
      <alignment horizontal="center"/>
    </xf>
    <xf numFmtId="0" fontId="0" fillId="0" borderId="46" xfId="0" applyBorder="1" applyAlignment="1">
      <alignment horizontal="center"/>
    </xf>
    <xf numFmtId="10" fontId="1" fillId="24" borderId="43" xfId="45" applyNumberFormat="1" applyFill="1" applyBorder="1"/>
    <xf numFmtId="10" fontId="1" fillId="24" borderId="56" xfId="45" applyNumberFormat="1" applyFill="1" applyBorder="1"/>
    <xf numFmtId="0" fontId="0" fillId="0" borderId="43" xfId="0" quotePrefix="1" applyBorder="1"/>
    <xf numFmtId="10" fontId="1" fillId="0" borderId="56" xfId="45" applyNumberFormat="1" applyBorder="1"/>
    <xf numFmtId="10" fontId="1" fillId="24" borderId="46" xfId="45" applyNumberFormat="1" applyFill="1" applyBorder="1"/>
    <xf numFmtId="10" fontId="1" fillId="24" borderId="36" xfId="45" applyNumberFormat="1" applyFill="1" applyBorder="1"/>
    <xf numFmtId="10" fontId="1" fillId="0" borderId="42" xfId="45" applyNumberFormat="1" applyBorder="1"/>
    <xf numFmtId="0" fontId="0" fillId="0" borderId="27" xfId="0" applyBorder="1"/>
    <xf numFmtId="10" fontId="1" fillId="24" borderId="44" xfId="45" applyNumberFormat="1" applyFill="1" applyBorder="1"/>
    <xf numFmtId="10" fontId="1" fillId="24" borderId="34" xfId="45" applyNumberFormat="1" applyFill="1" applyBorder="1"/>
    <xf numFmtId="9" fontId="1" fillId="24" borderId="27" xfId="45" applyFill="1" applyBorder="1"/>
    <xf numFmtId="10" fontId="1" fillId="0" borderId="46" xfId="45" applyNumberFormat="1" applyBorder="1"/>
    <xf numFmtId="0" fontId="35" fillId="0" borderId="0" xfId="0" applyFont="1"/>
    <xf numFmtId="0" fontId="4" fillId="0" borderId="51" xfId="0" applyFont="1" applyBorder="1"/>
    <xf numFmtId="0" fontId="0" fillId="24" borderId="44" xfId="0" applyFill="1" applyBorder="1"/>
    <xf numFmtId="170" fontId="1" fillId="24" borderId="44" xfId="28" applyNumberFormat="1" applyFill="1" applyBorder="1"/>
    <xf numFmtId="170" fontId="1" fillId="24" borderId="34" xfId="28" applyNumberFormat="1" applyFill="1" applyBorder="1"/>
    <xf numFmtId="44" fontId="1" fillId="24" borderId="44" xfId="29" applyFill="1" applyBorder="1"/>
    <xf numFmtId="171" fontId="1" fillId="24" borderId="44" xfId="29" applyNumberFormat="1" applyFill="1" applyBorder="1"/>
    <xf numFmtId="168" fontId="1" fillId="24" borderId="44" xfId="29" applyNumberFormat="1" applyFill="1" applyBorder="1"/>
    <xf numFmtId="168" fontId="1" fillId="0" borderId="44" xfId="29" applyNumberFormat="1" applyBorder="1"/>
    <xf numFmtId="168" fontId="1" fillId="0" borderId="34" xfId="29" applyNumberFormat="1" applyBorder="1"/>
    <xf numFmtId="168" fontId="0" fillId="0" borderId="46" xfId="0" applyNumberFormat="1" applyBorder="1"/>
    <xf numFmtId="168" fontId="0" fillId="0" borderId="36" xfId="0" applyNumberFormat="1" applyBorder="1"/>
    <xf numFmtId="0" fontId="10" fillId="0" borderId="0" xfId="0" applyFont="1"/>
    <xf numFmtId="168" fontId="0" fillId="24" borderId="32" xfId="29" applyNumberFormat="1" applyFont="1" applyFill="1" applyBorder="1"/>
    <xf numFmtId="0" fontId="33" fillId="0" borderId="0" xfId="0" applyFont="1"/>
    <xf numFmtId="0" fontId="8" fillId="0" borderId="0" xfId="0" applyFont="1" applyAlignment="1">
      <alignment horizontal="center"/>
    </xf>
    <xf numFmtId="0" fontId="0" fillId="0" borderId="0" xfId="0" applyAlignment="1">
      <alignment horizontal="left"/>
    </xf>
    <xf numFmtId="0" fontId="0" fillId="0" borderId="45" xfId="0" applyBorder="1"/>
    <xf numFmtId="0" fontId="0" fillId="0" borderId="57" xfId="0" applyBorder="1"/>
    <xf numFmtId="0" fontId="0" fillId="0" borderId="58" xfId="0" applyBorder="1"/>
    <xf numFmtId="0" fontId="0" fillId="0" borderId="59" xfId="0" applyBorder="1"/>
    <xf numFmtId="168" fontId="0" fillId="24" borderId="11" xfId="29" applyNumberFormat="1" applyFont="1" applyFill="1" applyBorder="1"/>
    <xf numFmtId="168" fontId="0" fillId="24" borderId="34" xfId="29" applyNumberFormat="1" applyFont="1" applyFill="1" applyBorder="1"/>
    <xf numFmtId="168" fontId="0" fillId="24" borderId="50" xfId="29" applyNumberFormat="1" applyFont="1" applyFill="1" applyBorder="1"/>
    <xf numFmtId="168" fontId="0" fillId="24" borderId="39" xfId="29" applyNumberFormat="1" applyFont="1" applyFill="1" applyBorder="1"/>
    <xf numFmtId="168" fontId="0" fillId="24" borderId="60" xfId="29" applyNumberFormat="1" applyFont="1" applyFill="1" applyBorder="1"/>
    <xf numFmtId="0" fontId="0" fillId="0" borderId="61" xfId="0" applyBorder="1"/>
    <xf numFmtId="0" fontId="4" fillId="0" borderId="58" xfId="0" applyFont="1" applyBorder="1"/>
    <xf numFmtId="0" fontId="4" fillId="0" borderId="59" xfId="0" applyFont="1" applyBorder="1"/>
    <xf numFmtId="0" fontId="0" fillId="0" borderId="62" xfId="0" applyBorder="1"/>
    <xf numFmtId="0" fontId="4" fillId="24" borderId="29" xfId="0" applyFont="1" applyFill="1" applyBorder="1" applyAlignment="1">
      <alignment horizontal="center" wrapText="1"/>
    </xf>
    <xf numFmtId="0" fontId="0" fillId="0" borderId="63" xfId="0" applyBorder="1"/>
    <xf numFmtId="0" fontId="0" fillId="0" borderId="64" xfId="0" applyBorder="1"/>
    <xf numFmtId="0" fontId="0" fillId="0" borderId="65" xfId="0" applyBorder="1"/>
    <xf numFmtId="168" fontId="0" fillId="0" borderId="66" xfId="29" applyNumberFormat="1" applyFont="1" applyBorder="1"/>
    <xf numFmtId="0" fontId="4" fillId="0" borderId="29" xfId="0" applyFont="1" applyFill="1" applyBorder="1" applyAlignment="1">
      <alignment horizontal="center" wrapText="1"/>
    </xf>
    <xf numFmtId="0" fontId="4" fillId="0" borderId="48" xfId="0" applyFont="1" applyFill="1" applyBorder="1" applyAlignment="1">
      <alignment horizontal="center" wrapText="1"/>
    </xf>
    <xf numFmtId="0" fontId="0" fillId="0" borderId="67" xfId="0" applyBorder="1"/>
    <xf numFmtId="168" fontId="0" fillId="24" borderId="23" xfId="29" applyNumberFormat="1" applyFont="1" applyFill="1" applyBorder="1"/>
    <xf numFmtId="168" fontId="0" fillId="0" borderId="68" xfId="29" applyNumberFormat="1" applyFont="1" applyBorder="1"/>
    <xf numFmtId="0" fontId="4" fillId="0" borderId="69" xfId="0" applyFont="1" applyBorder="1"/>
    <xf numFmtId="168" fontId="0" fillId="24" borderId="70" xfId="29" applyNumberFormat="1" applyFont="1" applyFill="1" applyBorder="1"/>
    <xf numFmtId="0" fontId="4" fillId="0" borderId="71" xfId="0" applyFont="1" applyFill="1" applyBorder="1" applyAlignment="1">
      <alignment horizontal="center" wrapText="1"/>
    </xf>
    <xf numFmtId="0" fontId="0" fillId="0" borderId="0" xfId="0" applyAlignment="1">
      <alignment vertical="top"/>
    </xf>
    <xf numFmtId="0" fontId="4" fillId="0" borderId="0" xfId="0" applyFont="1" applyAlignment="1">
      <alignment vertical="top"/>
    </xf>
    <xf numFmtId="0" fontId="36" fillId="0" borderId="0" xfId="38" quotePrefix="1" applyFont="1" applyAlignment="1" applyProtection="1"/>
    <xf numFmtId="0" fontId="0" fillId="0" borderId="0" xfId="0" applyFill="1"/>
    <xf numFmtId="0" fontId="0" fillId="0" borderId="31" xfId="0" applyBorder="1"/>
    <xf numFmtId="0" fontId="0" fillId="0" borderId="72" xfId="0" applyBorder="1"/>
    <xf numFmtId="0" fontId="4" fillId="24" borderId="71" xfId="0" applyFont="1" applyFill="1" applyBorder="1"/>
    <xf numFmtId="0" fontId="4" fillId="0" borderId="30" xfId="0" applyFont="1" applyBorder="1"/>
    <xf numFmtId="0" fontId="4" fillId="0" borderId="40" xfId="0" applyFont="1" applyBorder="1"/>
    <xf numFmtId="0" fontId="0" fillId="0" borderId="10" xfId="0" quotePrefix="1" applyBorder="1" applyAlignment="1">
      <alignment horizontal="center"/>
    </xf>
    <xf numFmtId="0" fontId="0" fillId="0" borderId="10" xfId="0" applyBorder="1" applyAlignment="1">
      <alignment vertical="top" wrapText="1"/>
    </xf>
    <xf numFmtId="0" fontId="0" fillId="24" borderId="10" xfId="0" applyFill="1" applyBorder="1" applyAlignment="1">
      <alignment vertical="top"/>
    </xf>
    <xf numFmtId="168" fontId="0" fillId="24" borderId="10" xfId="29" applyNumberFormat="1" applyFont="1" applyFill="1" applyBorder="1" applyAlignment="1">
      <alignment vertical="top"/>
    </xf>
    <xf numFmtId="0" fontId="0" fillId="27" borderId="10" xfId="0" applyFill="1" applyBorder="1" applyAlignment="1">
      <alignment vertical="top"/>
    </xf>
    <xf numFmtId="0" fontId="0" fillId="0" borderId="31" xfId="0" quotePrefix="1" applyBorder="1" applyAlignment="1">
      <alignment horizontal="center"/>
    </xf>
    <xf numFmtId="0" fontId="0" fillId="0" borderId="31" xfId="0" applyBorder="1" applyAlignment="1">
      <alignment vertical="top"/>
    </xf>
    <xf numFmtId="0" fontId="0" fillId="0" borderId="32" xfId="0" applyBorder="1" applyAlignment="1">
      <alignment vertical="top" wrapText="1"/>
    </xf>
    <xf numFmtId="0" fontId="0" fillId="0" borderId="38" xfId="0" applyBorder="1" applyAlignment="1">
      <alignment vertical="top" wrapText="1"/>
    </xf>
    <xf numFmtId="0" fontId="0" fillId="28" borderId="38" xfId="0" applyFill="1" applyBorder="1" applyAlignment="1">
      <alignment vertical="top"/>
    </xf>
    <xf numFmtId="168" fontId="0" fillId="0" borderId="38" xfId="29" applyNumberFormat="1" applyFont="1" applyBorder="1" applyAlignment="1">
      <alignment vertical="top"/>
    </xf>
    <xf numFmtId="0" fontId="0" fillId="0" borderId="39" xfId="0" applyBorder="1" applyAlignment="1">
      <alignment vertical="top" wrapText="1"/>
    </xf>
    <xf numFmtId="0" fontId="0" fillId="28" borderId="39" xfId="0" applyFill="1" applyBorder="1" applyAlignment="1">
      <alignment vertical="top"/>
    </xf>
    <xf numFmtId="168" fontId="0" fillId="0" borderId="39" xfId="29" applyNumberFormat="1" applyFont="1" applyBorder="1" applyAlignment="1">
      <alignment vertical="top"/>
    </xf>
    <xf numFmtId="0" fontId="0" fillId="0" borderId="24" xfId="0" applyBorder="1" applyAlignment="1">
      <alignment vertical="top" wrapText="1"/>
    </xf>
    <xf numFmtId="0" fontId="0" fillId="28" borderId="24" xfId="0" applyFill="1" applyBorder="1" applyAlignment="1">
      <alignment vertical="top"/>
    </xf>
    <xf numFmtId="168" fontId="0" fillId="0" borderId="24" xfId="29" applyNumberFormat="1" applyFont="1" applyBorder="1" applyAlignment="1">
      <alignment vertical="top"/>
    </xf>
    <xf numFmtId="10" fontId="0" fillId="0" borderId="10" xfId="45" applyNumberFormat="1" applyFont="1" applyBorder="1" applyAlignment="1">
      <alignment vertical="top"/>
    </xf>
    <xf numFmtId="10" fontId="0" fillId="0" borderId="31" xfId="45" applyNumberFormat="1" applyFont="1" applyBorder="1" applyAlignment="1">
      <alignment vertical="top"/>
    </xf>
    <xf numFmtId="10" fontId="0" fillId="0" borderId="24" xfId="45" applyNumberFormat="1" applyFont="1" applyBorder="1" applyAlignment="1">
      <alignment vertical="top"/>
    </xf>
    <xf numFmtId="10" fontId="0" fillId="0" borderId="39" xfId="45" applyNumberFormat="1" applyFont="1" applyBorder="1" applyAlignment="1">
      <alignment vertical="top"/>
    </xf>
    <xf numFmtId="10" fontId="0" fillId="0" borderId="38" xfId="45" applyNumberFormat="1" applyFont="1" applyBorder="1" applyAlignment="1">
      <alignment vertical="top"/>
    </xf>
    <xf numFmtId="10" fontId="0" fillId="0" borderId="73" xfId="45" applyNumberFormat="1" applyFont="1" applyBorder="1" applyAlignment="1">
      <alignment vertical="top"/>
    </xf>
    <xf numFmtId="10" fontId="0" fillId="0" borderId="70" xfId="45" applyNumberFormat="1" applyFont="1" applyBorder="1" applyAlignment="1">
      <alignment vertical="top"/>
    </xf>
    <xf numFmtId="10" fontId="0" fillId="0" borderId="74" xfId="45" applyNumberFormat="1" applyFont="1" applyBorder="1" applyAlignment="1">
      <alignment vertical="top"/>
    </xf>
    <xf numFmtId="168" fontId="1" fillId="24" borderId="11" xfId="29" applyNumberFormat="1" applyFill="1" applyBorder="1"/>
    <xf numFmtId="168" fontId="1" fillId="0" borderId="66" xfId="29" applyNumberFormat="1" applyBorder="1"/>
    <xf numFmtId="168" fontId="1" fillId="0" borderId="35" xfId="29" applyNumberFormat="1" applyBorder="1"/>
    <xf numFmtId="168" fontId="1" fillId="0" borderId="68" xfId="29" applyNumberFormat="1" applyBorder="1"/>
    <xf numFmtId="168" fontId="1" fillId="0" borderId="75" xfId="29" applyNumberFormat="1" applyBorder="1"/>
    <xf numFmtId="168" fontId="1" fillId="0" borderId="76" xfId="29" applyNumberFormat="1" applyBorder="1"/>
    <xf numFmtId="168" fontId="1" fillId="0" borderId="77" xfId="29" applyNumberFormat="1" applyBorder="1"/>
    <xf numFmtId="168" fontId="1" fillId="0" borderId="22" xfId="29" applyNumberFormat="1" applyFill="1" applyBorder="1"/>
    <xf numFmtId="168" fontId="1" fillId="0" borderId="57" xfId="29" applyNumberFormat="1" applyFill="1" applyBorder="1"/>
    <xf numFmtId="168" fontId="1" fillId="0" borderId="20" xfId="29" applyNumberFormat="1" applyFill="1" applyBorder="1"/>
    <xf numFmtId="168" fontId="1" fillId="0" borderId="62" xfId="29" applyNumberFormat="1" applyFill="1" applyBorder="1"/>
    <xf numFmtId="10" fontId="1" fillId="0" borderId="31" xfId="45" applyNumberFormat="1" applyFill="1" applyBorder="1"/>
    <xf numFmtId="10" fontId="1" fillId="0" borderId="78" xfId="45" applyNumberFormat="1" applyFill="1" applyBorder="1"/>
    <xf numFmtId="10" fontId="1" fillId="0" borderId="50" xfId="45" applyNumberFormat="1" applyFill="1" applyBorder="1"/>
    <xf numFmtId="10" fontId="1" fillId="0" borderId="79" xfId="45" applyNumberFormat="1" applyFill="1" applyBorder="1"/>
    <xf numFmtId="10" fontId="1" fillId="0" borderId="34" xfId="45" applyNumberFormat="1" applyFill="1" applyBorder="1"/>
    <xf numFmtId="10" fontId="1" fillId="0" borderId="80" xfId="45" applyNumberFormat="1" applyFill="1" applyBorder="1"/>
    <xf numFmtId="10" fontId="1" fillId="0" borderId="81" xfId="45" applyNumberFormat="1" applyFill="1" applyBorder="1"/>
    <xf numFmtId="168" fontId="1" fillId="0" borderId="65" xfId="29" applyNumberFormat="1" applyFill="1" applyBorder="1"/>
    <xf numFmtId="10" fontId="1" fillId="0" borderId="68" xfId="45" applyNumberFormat="1" applyFill="1" applyBorder="1"/>
    <xf numFmtId="10" fontId="1" fillId="0" borderId="36" xfId="45" applyNumberFormat="1" applyFill="1" applyBorder="1"/>
    <xf numFmtId="10" fontId="1" fillId="0" borderId="66" xfId="45" applyNumberFormat="1" applyFill="1" applyBorder="1"/>
    <xf numFmtId="10" fontId="1" fillId="0" borderId="82" xfId="45" applyNumberFormat="1" applyFill="1" applyBorder="1"/>
    <xf numFmtId="10" fontId="1" fillId="0" borderId="70" xfId="45" applyNumberFormat="1" applyFill="1" applyBorder="1"/>
    <xf numFmtId="168" fontId="1" fillId="0" borderId="75" xfId="29" applyNumberFormat="1" applyFill="1" applyBorder="1"/>
    <xf numFmtId="10" fontId="1" fillId="0" borderId="77" xfId="45" applyNumberFormat="1" applyFill="1" applyBorder="1"/>
    <xf numFmtId="0" fontId="0" fillId="0" borderId="33" xfId="0" applyBorder="1" applyAlignment="1">
      <alignment vertical="top"/>
    </xf>
    <xf numFmtId="0" fontId="4" fillId="0" borderId="30" xfId="0" applyFont="1" applyBorder="1" applyAlignment="1">
      <alignment vertical="top"/>
    </xf>
    <xf numFmtId="0" fontId="0" fillId="0" borderId="10" xfId="0" applyFill="1" applyBorder="1" applyAlignment="1">
      <alignment vertical="top"/>
    </xf>
    <xf numFmtId="0" fontId="0" fillId="0" borderId="31" xfId="0" applyFill="1" applyBorder="1" applyAlignment="1">
      <alignment vertical="top"/>
    </xf>
    <xf numFmtId="0" fontId="0" fillId="0" borderId="0" xfId="0" applyAlignment="1">
      <alignment wrapText="1"/>
    </xf>
    <xf numFmtId="168" fontId="0" fillId="0" borderId="0" xfId="29" applyNumberFormat="1" applyFont="1"/>
    <xf numFmtId="10" fontId="0" fillId="0" borderId="0" xfId="45" applyNumberFormat="1" applyFont="1"/>
    <xf numFmtId="10" fontId="0" fillId="0" borderId="31" xfId="45" applyNumberFormat="1" applyFont="1" applyBorder="1"/>
    <xf numFmtId="0" fontId="4" fillId="0" borderId="71" xfId="0" applyFont="1" applyBorder="1" applyAlignment="1">
      <alignment horizontal="center"/>
    </xf>
    <xf numFmtId="0" fontId="4" fillId="0" borderId="31" xfId="0" applyFont="1" applyBorder="1" applyAlignment="1">
      <alignment horizontal="center"/>
    </xf>
    <xf numFmtId="10" fontId="0" fillId="0" borderId="83" xfId="45" applyNumberFormat="1" applyFont="1" applyBorder="1"/>
    <xf numFmtId="10" fontId="0" fillId="0" borderId="68" xfId="45" applyNumberFormat="1" applyFont="1" applyBorder="1"/>
    <xf numFmtId="168" fontId="0" fillId="0" borderId="39" xfId="29" applyNumberFormat="1" applyFont="1" applyBorder="1"/>
    <xf numFmtId="10" fontId="0" fillId="24" borderId="74" xfId="45" applyNumberFormat="1" applyFont="1" applyFill="1" applyBorder="1"/>
    <xf numFmtId="168" fontId="0" fillId="0" borderId="10" xfId="29" applyNumberFormat="1" applyFont="1" applyFill="1" applyBorder="1"/>
    <xf numFmtId="168" fontId="0" fillId="0" borderId="23" xfId="29" applyNumberFormat="1" applyFont="1" applyFill="1" applyBorder="1"/>
    <xf numFmtId="0" fontId="4" fillId="0" borderId="29" xfId="0" applyFont="1" applyFill="1" applyBorder="1" applyAlignment="1">
      <alignment horizontal="center"/>
    </xf>
    <xf numFmtId="0" fontId="24" fillId="0" borderId="0" xfId="0" applyFont="1"/>
    <xf numFmtId="168" fontId="0" fillId="0" borderId="10" xfId="0" applyNumberFormat="1" applyBorder="1" applyAlignment="1">
      <alignment horizontal="center"/>
    </xf>
    <xf numFmtId="10" fontId="0" fillId="0" borderId="31" xfId="45" applyNumberFormat="1" applyFont="1" applyBorder="1" applyAlignment="1">
      <alignment horizontal="center"/>
    </xf>
    <xf numFmtId="0" fontId="0" fillId="0" borderId="32" xfId="0" applyBorder="1"/>
    <xf numFmtId="168" fontId="0" fillId="29" borderId="76" xfId="29" applyNumberFormat="1" applyFont="1" applyFill="1" applyBorder="1"/>
    <xf numFmtId="0" fontId="4" fillId="24" borderId="71" xfId="0" applyFont="1" applyFill="1" applyBorder="1" applyAlignment="1">
      <alignment horizontal="center" wrapText="1"/>
    </xf>
    <xf numFmtId="0" fontId="4" fillId="0" borderId="31" xfId="0" applyFont="1" applyBorder="1"/>
    <xf numFmtId="43" fontId="4" fillId="0" borderId="10" xfId="28" applyFont="1" applyBorder="1"/>
    <xf numFmtId="44" fontId="4" fillId="0" borderId="10" xfId="29" applyFont="1" applyBorder="1"/>
    <xf numFmtId="168" fontId="4" fillId="24" borderId="10" xfId="29" applyNumberFormat="1" applyFont="1" applyFill="1" applyBorder="1"/>
    <xf numFmtId="0" fontId="4" fillId="24" borderId="10" xfId="0" applyFont="1" applyFill="1" applyBorder="1"/>
    <xf numFmtId="43" fontId="4" fillId="0" borderId="32" xfId="28" applyFont="1" applyBorder="1"/>
    <xf numFmtId="0" fontId="4" fillId="0" borderId="0" xfId="0" applyFont="1" applyFill="1" applyBorder="1"/>
    <xf numFmtId="0" fontId="37" fillId="24" borderId="0" xfId="0" applyFont="1" applyFill="1"/>
    <xf numFmtId="0" fontId="4" fillId="0" borderId="0" xfId="0" applyFont="1" applyAlignment="1">
      <alignment horizontal="right"/>
    </xf>
    <xf numFmtId="0" fontId="0" fillId="24" borderId="33" xfId="0" applyFill="1" applyBorder="1"/>
    <xf numFmtId="0" fontId="0" fillId="24" borderId="32" xfId="0" applyFill="1" applyBorder="1"/>
    <xf numFmtId="0" fontId="0" fillId="24" borderId="84" xfId="0" applyFill="1" applyBorder="1"/>
    <xf numFmtId="0" fontId="0" fillId="0" borderId="0" xfId="0" applyAlignment="1">
      <alignment horizontal="left" wrapText="1"/>
    </xf>
    <xf numFmtId="0" fontId="4" fillId="0" borderId="0" xfId="0" applyFont="1" applyAlignment="1">
      <alignment wrapText="1"/>
    </xf>
    <xf numFmtId="0" fontId="0" fillId="0" borderId="85" xfId="0" applyBorder="1"/>
    <xf numFmtId="0" fontId="0" fillId="0" borderId="38" xfId="0" applyBorder="1"/>
    <xf numFmtId="168" fontId="0" fillId="24" borderId="83" xfId="29" applyNumberFormat="1" applyFont="1" applyFill="1" applyBorder="1"/>
    <xf numFmtId="0" fontId="33" fillId="0" borderId="0" xfId="0" applyFont="1" applyAlignment="1">
      <alignment horizontal="center"/>
    </xf>
    <xf numFmtId="10" fontId="0" fillId="0" borderId="10" xfId="45" applyNumberFormat="1" applyFont="1" applyBorder="1"/>
    <xf numFmtId="10" fontId="0" fillId="0" borderId="32" xfId="0" applyNumberFormat="1" applyBorder="1"/>
    <xf numFmtId="10" fontId="0" fillId="0" borderId="84" xfId="0" applyNumberFormat="1" applyBorder="1"/>
    <xf numFmtId="168" fontId="0" fillId="0" borderId="86" xfId="29" applyNumberFormat="1" applyFont="1" applyBorder="1"/>
    <xf numFmtId="168" fontId="0" fillId="0" borderId="87" xfId="29" applyNumberFormat="1" applyFont="1" applyBorder="1"/>
    <xf numFmtId="43" fontId="0" fillId="24" borderId="32" xfId="28" applyFont="1" applyFill="1" applyBorder="1"/>
    <xf numFmtId="0" fontId="4" fillId="0" borderId="0" xfId="0" applyFont="1" applyAlignment="1">
      <alignment horizontal="center"/>
    </xf>
    <xf numFmtId="43" fontId="0" fillId="0" borderId="10" xfId="0" applyNumberFormat="1" applyBorder="1"/>
    <xf numFmtId="43" fontId="0" fillId="0" borderId="32" xfId="0" applyNumberFormat="1" applyBorder="1"/>
    <xf numFmtId="0" fontId="0" fillId="0" borderId="31" xfId="0" applyBorder="1" applyAlignment="1">
      <alignment horizontal="center"/>
    </xf>
    <xf numFmtId="0" fontId="0" fillId="24" borderId="84" xfId="0" applyFill="1" applyBorder="1" applyAlignment="1">
      <alignment horizontal="center"/>
    </xf>
    <xf numFmtId="0" fontId="4" fillId="24" borderId="10" xfId="0" applyFont="1" applyFill="1" applyBorder="1" applyAlignment="1">
      <alignment horizontal="center" vertical="center" wrapText="1"/>
    </xf>
    <xf numFmtId="0" fontId="4" fillId="24" borderId="0" xfId="0" applyFont="1" applyFill="1" applyAlignment="1">
      <alignment horizontal="center"/>
    </xf>
    <xf numFmtId="0" fontId="4" fillId="24" borderId="73" xfId="0" applyFont="1" applyFill="1" applyBorder="1" applyAlignment="1">
      <alignment horizontal="center"/>
    </xf>
    <xf numFmtId="0" fontId="0" fillId="0" borderId="33" xfId="0" applyBorder="1" applyAlignment="1">
      <alignment horizontal="center" vertical="top" wrapText="1"/>
    </xf>
    <xf numFmtId="168" fontId="0" fillId="24" borderId="84" xfId="29" applyNumberFormat="1" applyFont="1" applyFill="1" applyBorder="1"/>
    <xf numFmtId="170" fontId="0" fillId="24" borderId="10" xfId="28" applyNumberFormat="1" applyFont="1" applyFill="1" applyBorder="1"/>
    <xf numFmtId="170" fontId="0" fillId="24" borderId="32" xfId="28" applyNumberFormat="1" applyFont="1" applyFill="1" applyBorder="1"/>
    <xf numFmtId="0" fontId="36" fillId="0" borderId="0" xfId="38" quotePrefix="1" applyFont="1" applyAlignment="1" applyProtection="1">
      <alignment horizontal="center"/>
    </xf>
    <xf numFmtId="0" fontId="38" fillId="0" borderId="0" xfId="0" applyFont="1"/>
    <xf numFmtId="0" fontId="4" fillId="0" borderId="0" xfId="0" quotePrefix="1" applyFont="1" applyAlignment="1">
      <alignment horizontal="center"/>
    </xf>
    <xf numFmtId="0" fontId="4" fillId="0" borderId="42" xfId="0" quotePrefix="1" applyFont="1" applyBorder="1" applyAlignment="1">
      <alignment horizontal="center"/>
    </xf>
    <xf numFmtId="0" fontId="4" fillId="0" borderId="43" xfId="0" applyFont="1" applyBorder="1" applyAlignment="1">
      <alignment horizontal="center"/>
    </xf>
    <xf numFmtId="0" fontId="4" fillId="0" borderId="88" xfId="0" quotePrefix="1" applyFont="1" applyBorder="1" applyAlignment="1">
      <alignment horizontal="center"/>
    </xf>
    <xf numFmtId="0" fontId="4" fillId="0" borderId="56" xfId="0" applyFont="1" applyBorder="1" applyAlignment="1">
      <alignment horizontal="center"/>
    </xf>
    <xf numFmtId="0" fontId="4" fillId="0" borderId="56" xfId="0" quotePrefix="1" applyFont="1" applyBorder="1" applyAlignment="1">
      <alignment horizontal="center"/>
    </xf>
    <xf numFmtId="0" fontId="4" fillId="0" borderId="89" xfId="0" quotePrefix="1" applyFont="1" applyBorder="1" applyAlignment="1">
      <alignment horizontal="center"/>
    </xf>
    <xf numFmtId="0" fontId="4" fillId="0" borderId="88" xfId="0" applyFont="1" applyBorder="1" applyAlignment="1">
      <alignment horizontal="center"/>
    </xf>
    <xf numFmtId="0" fontId="4" fillId="0" borderId="43" xfId="0" quotePrefix="1" applyFont="1" applyBorder="1" applyAlignment="1">
      <alignment horizontal="center"/>
    </xf>
    <xf numFmtId="0" fontId="4" fillId="0" borderId="42" xfId="0" applyFont="1" applyBorder="1"/>
    <xf numFmtId="0" fontId="33" fillId="0" borderId="34" xfId="0" applyFont="1" applyBorder="1" applyAlignment="1">
      <alignment horizontal="center"/>
    </xf>
    <xf numFmtId="0" fontId="4" fillId="0" borderId="89" xfId="0" applyFont="1" applyBorder="1" applyAlignment="1">
      <alignment horizontal="center"/>
    </xf>
    <xf numFmtId="0" fontId="4" fillId="0" borderId="43" xfId="0" quotePrefix="1" applyFont="1" applyFill="1" applyBorder="1" applyAlignment="1">
      <alignment horizontal="center"/>
    </xf>
    <xf numFmtId="0" fontId="4" fillId="0" borderId="42" xfId="0" quotePrefix="1" applyFont="1" applyFill="1" applyBorder="1" applyAlignment="1">
      <alignment horizontal="center"/>
    </xf>
    <xf numFmtId="0" fontId="4" fillId="28" borderId="43" xfId="0" applyFont="1" applyFill="1" applyBorder="1"/>
    <xf numFmtId="0" fontId="4" fillId="28" borderId="44" xfId="0" applyFont="1" applyFill="1" applyBorder="1"/>
    <xf numFmtId="0" fontId="0" fillId="28" borderId="44" xfId="0" applyFill="1" applyBorder="1"/>
    <xf numFmtId="0" fontId="0" fillId="28" borderId="46" xfId="0" applyFill="1" applyBorder="1"/>
    <xf numFmtId="0" fontId="0" fillId="24" borderId="42" xfId="0" applyFill="1" applyBorder="1"/>
    <xf numFmtId="0" fontId="0" fillId="25" borderId="42" xfId="0" applyFill="1" applyBorder="1"/>
    <xf numFmtId="0" fontId="4" fillId="0" borderId="0" xfId="0" applyFont="1" applyFill="1"/>
    <xf numFmtId="0" fontId="24" fillId="0" borderId="0" xfId="0" applyFont="1" applyAlignment="1">
      <alignment horizontal="center"/>
    </xf>
    <xf numFmtId="0" fontId="24" fillId="0" borderId="0" xfId="0" applyFont="1" applyAlignment="1">
      <alignment vertical="top" wrapText="1"/>
    </xf>
    <xf numFmtId="0" fontId="1" fillId="0" borderId="10" xfId="0" applyFont="1" applyBorder="1"/>
    <xf numFmtId="0" fontId="1" fillId="0" borderId="10" xfId="0" applyFont="1" applyBorder="1" applyAlignment="1">
      <alignment horizontal="center"/>
    </xf>
    <xf numFmtId="0" fontId="1" fillId="0" borderId="10" xfId="0" applyFont="1" applyFill="1" applyBorder="1" applyAlignment="1">
      <alignment horizontal="center"/>
    </xf>
    <xf numFmtId="0" fontId="1" fillId="0" borderId="10" xfId="0" applyFont="1" applyFill="1" applyBorder="1"/>
    <xf numFmtId="0" fontId="1" fillId="0" borderId="0" xfId="0" applyFont="1"/>
    <xf numFmtId="0" fontId="1" fillId="0" borderId="0" xfId="0" applyFont="1" applyAlignment="1">
      <alignment wrapText="1"/>
    </xf>
    <xf numFmtId="0" fontId="40" fillId="0" borderId="0" xfId="0" applyFont="1"/>
    <xf numFmtId="0" fontId="41" fillId="0" borderId="0" xfId="0" applyFont="1"/>
    <xf numFmtId="44" fontId="0" fillId="0" borderId="74" xfId="29" applyFont="1" applyBorder="1" applyAlignment="1">
      <alignment horizontal="center"/>
    </xf>
    <xf numFmtId="0" fontId="1" fillId="0" borderId="30" xfId="0" applyFont="1" applyBorder="1" applyAlignment="1">
      <alignment horizontal="center"/>
    </xf>
    <xf numFmtId="0" fontId="1" fillId="0" borderId="72" xfId="0" applyFont="1" applyBorder="1" applyAlignment="1">
      <alignment horizontal="center"/>
    </xf>
    <xf numFmtId="0" fontId="1" fillId="0" borderId="39" xfId="0" applyFont="1" applyBorder="1"/>
    <xf numFmtId="0" fontId="1" fillId="0" borderId="40" xfId="0" applyFont="1" applyBorder="1" applyAlignment="1">
      <alignment horizontal="center"/>
    </xf>
    <xf numFmtId="0" fontId="40" fillId="0" borderId="38" xfId="0" applyFont="1" applyBorder="1"/>
    <xf numFmtId="0" fontId="24" fillId="0" borderId="0" xfId="0" applyFont="1" applyAlignment="1">
      <alignment wrapText="1"/>
    </xf>
    <xf numFmtId="0" fontId="39" fillId="0" borderId="0" xfId="0" applyFont="1"/>
    <xf numFmtId="173" fontId="0" fillId="24" borderId="0" xfId="0" applyNumberFormat="1" applyFill="1"/>
    <xf numFmtId="10" fontId="0" fillId="24" borderId="10" xfId="0" applyNumberFormat="1" applyFill="1" applyBorder="1"/>
    <xf numFmtId="168" fontId="4" fillId="0" borderId="24" xfId="0" applyNumberFormat="1" applyFont="1" applyBorder="1" applyAlignment="1">
      <alignment horizontal="center"/>
    </xf>
    <xf numFmtId="0" fontId="4" fillId="0" borderId="24" xfId="0" applyFont="1" applyBorder="1" applyAlignment="1">
      <alignment horizontal="center"/>
    </xf>
    <xf numFmtId="0" fontId="4" fillId="0" borderId="73" xfId="0" applyFont="1" applyBorder="1" applyAlignment="1">
      <alignment horizontal="center"/>
    </xf>
    <xf numFmtId="0" fontId="4" fillId="0" borderId="23" xfId="0" applyFont="1" applyBorder="1" applyAlignment="1">
      <alignment horizontal="center"/>
    </xf>
    <xf numFmtId="0" fontId="4" fillId="0" borderId="83" xfId="0" applyFont="1" applyBorder="1" applyAlignment="1">
      <alignment horizontal="center"/>
    </xf>
    <xf numFmtId="0" fontId="4" fillId="0" borderId="90" xfId="0" applyFont="1" applyBorder="1" applyAlignment="1">
      <alignment horizontal="center"/>
    </xf>
    <xf numFmtId="0" fontId="4" fillId="0" borderId="91" xfId="0" applyFont="1" applyBorder="1" applyAlignment="1">
      <alignment horizontal="center"/>
    </xf>
    <xf numFmtId="0" fontId="0" fillId="24" borderId="32" xfId="0" applyFill="1" applyBorder="1" applyAlignment="1">
      <alignment vertical="top"/>
    </xf>
    <xf numFmtId="168" fontId="0" fillId="24" borderId="32" xfId="29" applyNumberFormat="1" applyFont="1" applyFill="1" applyBorder="1" applyAlignment="1">
      <alignment vertical="top"/>
    </xf>
    <xf numFmtId="0" fontId="0" fillId="27" borderId="32" xfId="0" applyFill="1" applyBorder="1" applyAlignment="1">
      <alignment vertical="top"/>
    </xf>
    <xf numFmtId="10" fontId="0" fillId="0" borderId="32" xfId="45" applyNumberFormat="1" applyFont="1" applyBorder="1" applyAlignment="1">
      <alignment vertical="top"/>
    </xf>
    <xf numFmtId="10" fontId="0" fillId="0" borderId="84" xfId="45" applyNumberFormat="1" applyFont="1" applyBorder="1" applyAlignment="1">
      <alignment vertical="top"/>
    </xf>
    <xf numFmtId="0" fontId="4" fillId="0" borderId="29" xfId="0" applyFont="1" applyBorder="1" applyAlignment="1">
      <alignment horizontal="center" wrapText="1"/>
    </xf>
    <xf numFmtId="0" fontId="4" fillId="0" borderId="71" xfId="0" applyFont="1" applyBorder="1" applyAlignment="1">
      <alignment horizontal="center" wrapText="1"/>
    </xf>
    <xf numFmtId="0" fontId="4" fillId="26" borderId="10" xfId="0" applyFont="1" applyFill="1" applyBorder="1" applyAlignment="1">
      <alignment horizontal="center" wrapText="1"/>
    </xf>
    <xf numFmtId="0" fontId="4" fillId="26" borderId="10" xfId="0" applyFont="1" applyFill="1" applyBorder="1" applyAlignment="1">
      <alignment horizontal="center"/>
    </xf>
    <xf numFmtId="0" fontId="4" fillId="26" borderId="10" xfId="0" applyFont="1" applyFill="1" applyBorder="1"/>
    <xf numFmtId="0" fontId="0" fillId="26" borderId="11" xfId="0" applyFill="1" applyBorder="1"/>
    <xf numFmtId="0" fontId="4" fillId="26" borderId="22" xfId="0" applyFont="1" applyFill="1" applyBorder="1" applyAlignment="1">
      <alignment horizontal="center" wrapText="1"/>
    </xf>
    <xf numFmtId="0" fontId="4" fillId="26" borderId="24" xfId="0" applyFont="1" applyFill="1" applyBorder="1" applyAlignment="1">
      <alignment horizontal="center"/>
    </xf>
    <xf numFmtId="0" fontId="4" fillId="26" borderId="24" xfId="0" applyFont="1" applyFill="1" applyBorder="1" applyAlignment="1">
      <alignment horizontal="center" wrapText="1"/>
    </xf>
    <xf numFmtId="0" fontId="4" fillId="26" borderId="14" xfId="0" applyFont="1" applyFill="1" applyBorder="1" applyAlignment="1"/>
    <xf numFmtId="0" fontId="0" fillId="26" borderId="92" xfId="0" applyFill="1" applyBorder="1"/>
    <xf numFmtId="0" fontId="4" fillId="26" borderId="57" xfId="0" applyFont="1" applyFill="1" applyBorder="1" applyAlignment="1"/>
    <xf numFmtId="0" fontId="4" fillId="0" borderId="30" xfId="0" applyFont="1" applyBorder="1" applyAlignment="1">
      <alignment horizontal="center" vertical="top"/>
    </xf>
    <xf numFmtId="0" fontId="4" fillId="0" borderId="33" xfId="0" applyFont="1" applyBorder="1" applyAlignment="1">
      <alignment horizontal="center" vertical="top"/>
    </xf>
    <xf numFmtId="0" fontId="4" fillId="0" borderId="93" xfId="0" applyFont="1" applyBorder="1" applyAlignment="1">
      <alignment horizontal="center" vertical="top"/>
    </xf>
    <xf numFmtId="0" fontId="4" fillId="0" borderId="72" xfId="0" applyFont="1" applyBorder="1" applyAlignment="1">
      <alignment horizontal="center" vertical="top"/>
    </xf>
    <xf numFmtId="0" fontId="4" fillId="0" borderId="40" xfId="0" applyFont="1" applyBorder="1" applyAlignment="1">
      <alignment horizontal="center" vertical="top"/>
    </xf>
    <xf numFmtId="0" fontId="44" fillId="0" borderId="0" xfId="0" quotePrefix="1" applyFont="1"/>
    <xf numFmtId="0" fontId="9" fillId="0" borderId="0" xfId="0" quotePrefix="1" applyFont="1"/>
    <xf numFmtId="0" fontId="4" fillId="26" borderId="12" xfId="0" applyFont="1" applyFill="1" applyBorder="1" applyAlignment="1">
      <alignment horizontal="center" wrapText="1"/>
    </xf>
    <xf numFmtId="0" fontId="4" fillId="26" borderId="64" xfId="0" applyFont="1" applyFill="1" applyBorder="1" applyAlignment="1">
      <alignment horizontal="center" wrapText="1"/>
    </xf>
    <xf numFmtId="0" fontId="4" fillId="26" borderId="78" xfId="0" applyFont="1" applyFill="1" applyBorder="1" applyAlignment="1">
      <alignment horizontal="center" wrapText="1"/>
    </xf>
    <xf numFmtId="0" fontId="9" fillId="0" borderId="0" xfId="0" applyFont="1" applyFill="1" applyBorder="1"/>
    <xf numFmtId="0" fontId="4" fillId="0" borderId="0" xfId="0" applyFont="1" applyFill="1" applyBorder="1" applyAlignment="1">
      <alignment vertical="top"/>
    </xf>
    <xf numFmtId="0" fontId="4" fillId="26" borderId="90" xfId="0" applyFont="1" applyFill="1" applyBorder="1" applyAlignment="1">
      <alignment horizontal="center" vertical="center" wrapText="1"/>
    </xf>
    <xf numFmtId="0" fontId="4" fillId="26" borderId="31" xfId="0" applyFont="1" applyFill="1" applyBorder="1" applyAlignment="1">
      <alignment horizontal="center"/>
    </xf>
    <xf numFmtId="0" fontId="4" fillId="0" borderId="0" xfId="0" applyFont="1" applyAlignment="1">
      <alignment vertical="top" wrapText="1"/>
    </xf>
    <xf numFmtId="0" fontId="4" fillId="26" borderId="90" xfId="0" applyFont="1" applyFill="1" applyBorder="1" applyAlignment="1">
      <alignment vertical="center" wrapText="1"/>
    </xf>
    <xf numFmtId="0" fontId="4" fillId="26" borderId="91" xfId="0" applyFont="1" applyFill="1" applyBorder="1" applyAlignment="1">
      <alignment horizontal="center" vertical="center" wrapText="1"/>
    </xf>
    <xf numFmtId="0" fontId="4" fillId="26" borderId="24" xfId="0" quotePrefix="1" applyFont="1" applyFill="1" applyBorder="1" applyAlignment="1">
      <alignment horizontal="center"/>
    </xf>
    <xf numFmtId="0" fontId="4" fillId="26" borderId="73" xfId="0" quotePrefix="1" applyFont="1" applyFill="1" applyBorder="1" applyAlignment="1">
      <alignment horizontal="center"/>
    </xf>
    <xf numFmtId="44" fontId="0" fillId="27" borderId="31" xfId="29" applyFont="1" applyFill="1" applyBorder="1" applyAlignment="1">
      <alignment horizontal="center"/>
    </xf>
    <xf numFmtId="0" fontId="0" fillId="27" borderId="70" xfId="0" applyFill="1" applyBorder="1" applyAlignment="1">
      <alignment horizontal="center"/>
    </xf>
    <xf numFmtId="43" fontId="0" fillId="24" borderId="39" xfId="28" applyFont="1" applyFill="1" applyBorder="1"/>
    <xf numFmtId="44" fontId="0" fillId="0" borderId="23" xfId="29" applyFont="1" applyBorder="1"/>
    <xf numFmtId="44" fontId="42" fillId="0" borderId="83" xfId="29" applyFont="1" applyBorder="1"/>
    <xf numFmtId="0" fontId="4" fillId="0" borderId="12" xfId="0" applyFont="1" applyBorder="1" applyProtection="1"/>
    <xf numFmtId="0" fontId="4" fillId="0" borderId="29" xfId="0" applyFont="1" applyFill="1" applyBorder="1" applyAlignment="1">
      <alignment horizontal="center" vertical="center" wrapText="1"/>
    </xf>
    <xf numFmtId="0" fontId="0" fillId="0" borderId="71" xfId="0" applyFill="1" applyBorder="1" applyAlignment="1">
      <alignment horizontal="center" vertical="center" wrapText="1"/>
    </xf>
    <xf numFmtId="0" fontId="4" fillId="0" borderId="91" xfId="0" applyFont="1" applyFill="1" applyBorder="1" applyAlignment="1">
      <alignment horizontal="center"/>
    </xf>
    <xf numFmtId="0" fontId="4" fillId="0" borderId="10" xfId="0" applyFont="1" applyFill="1" applyBorder="1" applyAlignment="1">
      <alignment horizontal="center" vertical="top" wrapText="1"/>
    </xf>
    <xf numFmtId="0" fontId="4" fillId="0" borderId="71" xfId="0" applyFont="1" applyFill="1" applyBorder="1" applyAlignment="1">
      <alignment horizontal="center"/>
    </xf>
    <xf numFmtId="0" fontId="4" fillId="0" borderId="24" xfId="0" applyFont="1" applyFill="1" applyBorder="1" applyAlignment="1">
      <alignment horizontal="center"/>
    </xf>
    <xf numFmtId="0" fontId="4" fillId="0" borderId="31" xfId="0" applyFont="1" applyFill="1" applyBorder="1" applyAlignment="1">
      <alignment horizontal="center" vertical="top" wrapText="1"/>
    </xf>
    <xf numFmtId="0" fontId="4" fillId="0" borderId="23" xfId="0" applyFont="1" applyFill="1" applyBorder="1" applyAlignment="1">
      <alignment horizontal="center" vertical="center" wrapText="1"/>
    </xf>
    <xf numFmtId="0" fontId="4" fillId="24" borderId="24" xfId="0" applyFont="1" applyFill="1" applyBorder="1" applyAlignment="1">
      <alignment horizontal="center" vertical="center"/>
    </xf>
    <xf numFmtId="0" fontId="4" fillId="0" borderId="10" xfId="0" applyFont="1" applyFill="1" applyBorder="1" applyAlignment="1">
      <alignment horizontal="center"/>
    </xf>
    <xf numFmtId="0" fontId="4" fillId="0" borderId="31" xfId="0" applyFont="1" applyFill="1" applyBorder="1" applyAlignment="1">
      <alignment horizontal="center"/>
    </xf>
    <xf numFmtId="0" fontId="0" fillId="0" borderId="30" xfId="0" applyFill="1" applyBorder="1"/>
    <xf numFmtId="0" fontId="0" fillId="0" borderId="30" xfId="0" applyFill="1" applyBorder="1" applyAlignment="1">
      <alignment vertical="top"/>
    </xf>
    <xf numFmtId="0" fontId="24" fillId="0" borderId="0" xfId="0" applyFont="1" applyAlignment="1" applyProtection="1">
      <alignment horizontal="right"/>
    </xf>
    <xf numFmtId="0" fontId="24" fillId="0" borderId="0" xfId="0" applyFont="1" applyProtection="1"/>
    <xf numFmtId="171" fontId="0" fillId="24" borderId="11" xfId="29" applyNumberFormat="1" applyFont="1" applyFill="1" applyBorder="1" applyAlignment="1" applyProtection="1">
      <alignment vertical="top"/>
      <protection locked="0"/>
    </xf>
    <xf numFmtId="44" fontId="0" fillId="0" borderId="20" xfId="29" applyFont="1" applyBorder="1" applyAlignment="1" applyProtection="1">
      <alignment vertical="top"/>
    </xf>
    <xf numFmtId="10" fontId="0" fillId="0" borderId="20" xfId="45" applyNumberFormat="1" applyFont="1" applyBorder="1" applyAlignment="1" applyProtection="1">
      <alignment vertical="top"/>
    </xf>
    <xf numFmtId="171" fontId="0" fillId="24" borderId="11" xfId="29" applyNumberFormat="1" applyFont="1" applyFill="1" applyBorder="1" applyAlignment="1" applyProtection="1">
      <alignment vertical="center"/>
      <protection locked="0"/>
    </xf>
    <xf numFmtId="44" fontId="0" fillId="0" borderId="20" xfId="29" applyFont="1" applyBorder="1" applyAlignment="1" applyProtection="1">
      <alignment vertical="center"/>
    </xf>
    <xf numFmtId="10" fontId="0" fillId="0" borderId="20" xfId="45" applyNumberFormat="1" applyFont="1" applyBorder="1" applyAlignment="1" applyProtection="1">
      <alignment vertical="center"/>
    </xf>
    <xf numFmtId="0" fontId="4" fillId="0" borderId="37" xfId="0" applyFont="1" applyFill="1" applyBorder="1" applyAlignment="1">
      <alignment horizontal="center"/>
    </xf>
    <xf numFmtId="0" fontId="4" fillId="0" borderId="30" xfId="0" applyFont="1" applyFill="1" applyBorder="1" applyAlignment="1">
      <alignment horizontal="center"/>
    </xf>
    <xf numFmtId="0" fontId="4" fillId="0" borderId="10" xfId="0" applyFont="1" applyFill="1" applyBorder="1" applyAlignment="1">
      <alignment horizontal="center" vertical="top"/>
    </xf>
    <xf numFmtId="0" fontId="0" fillId="24" borderId="0" xfId="0" applyFill="1" applyAlignment="1"/>
    <xf numFmtId="173" fontId="0" fillId="24" borderId="0" xfId="0" applyNumberFormat="1" applyFill="1" applyAlignment="1"/>
    <xf numFmtId="0" fontId="0" fillId="0" borderId="0" xfId="0" applyFill="1" applyAlignment="1"/>
    <xf numFmtId="173" fontId="0" fillId="0" borderId="0" xfId="0" applyNumberFormat="1" applyFill="1" applyAlignment="1"/>
    <xf numFmtId="171" fontId="1" fillId="0" borderId="42" xfId="29" applyNumberFormat="1" applyFill="1" applyBorder="1"/>
    <xf numFmtId="0" fontId="4" fillId="0" borderId="88"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46"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0" xfId="0" quotePrefix="1" applyFont="1" applyFill="1" applyBorder="1" applyAlignment="1">
      <alignment horizontal="center"/>
    </xf>
    <xf numFmtId="0" fontId="4" fillId="0" borderId="31" xfId="0" quotePrefix="1" applyFont="1" applyFill="1" applyBorder="1" applyAlignment="1">
      <alignment horizontal="center"/>
    </xf>
    <xf numFmtId="168" fontId="0" fillId="0" borderId="84" xfId="29" applyNumberFormat="1" applyFont="1" applyBorder="1"/>
    <xf numFmtId="0" fontId="4" fillId="0" borderId="79" xfId="0" applyFont="1" applyFill="1" applyBorder="1" applyAlignment="1">
      <alignment horizontal="center"/>
    </xf>
    <xf numFmtId="0" fontId="48" fillId="0" borderId="0" xfId="0" applyFont="1"/>
    <xf numFmtId="0" fontId="2" fillId="0" borderId="0" xfId="38" quotePrefix="1" applyAlignment="1" applyProtection="1">
      <alignment horizontal="center"/>
    </xf>
    <xf numFmtId="0" fontId="44" fillId="0" borderId="0" xfId="0" applyFont="1" applyProtection="1"/>
    <xf numFmtId="168" fontId="1" fillId="24" borderId="0" xfId="29" applyNumberFormat="1" applyFill="1"/>
    <xf numFmtId="168" fontId="1" fillId="24" borderId="12" xfId="29" applyNumberFormat="1" applyFill="1" applyBorder="1"/>
    <xf numFmtId="168" fontId="1" fillId="30" borderId="10" xfId="29" applyNumberFormat="1" applyFill="1" applyBorder="1"/>
    <xf numFmtId="0" fontId="4" fillId="30" borderId="10" xfId="0" applyFont="1" applyFill="1" applyBorder="1"/>
    <xf numFmtId="0" fontId="0" fillId="24" borderId="10" xfId="0" applyFill="1" applyBorder="1" applyAlignment="1">
      <alignment wrapText="1"/>
    </xf>
    <xf numFmtId="0" fontId="4" fillId="24" borderId="30" xfId="0" applyFont="1" applyFill="1" applyBorder="1" applyAlignment="1">
      <alignment horizontal="center"/>
    </xf>
    <xf numFmtId="0" fontId="4" fillId="31" borderId="30" xfId="0" applyFont="1" applyFill="1" applyBorder="1" applyAlignment="1">
      <alignment horizontal="center"/>
    </xf>
    <xf numFmtId="0" fontId="4" fillId="31" borderId="10" xfId="0" applyFont="1" applyFill="1" applyBorder="1"/>
    <xf numFmtId="0" fontId="24" fillId="24" borderId="10" xfId="0" applyFont="1" applyFill="1" applyBorder="1" applyAlignment="1">
      <alignment horizontal="center" wrapText="1"/>
    </xf>
    <xf numFmtId="0" fontId="0" fillId="0" borderId="10" xfId="0" applyFill="1" applyBorder="1"/>
    <xf numFmtId="0" fontId="0" fillId="31" borderId="31" xfId="0" applyFill="1" applyBorder="1"/>
    <xf numFmtId="43" fontId="41" fillId="31" borderId="10" xfId="28" applyFont="1" applyFill="1" applyBorder="1"/>
    <xf numFmtId="168" fontId="1" fillId="31" borderId="10" xfId="29" applyNumberFormat="1" applyFill="1" applyBorder="1"/>
    <xf numFmtId="0" fontId="0" fillId="0" borderId="0" xfId="0" applyFill="1" applyBorder="1" applyAlignment="1">
      <alignment horizontal="center"/>
    </xf>
    <xf numFmtId="10" fontId="24" fillId="24" borderId="10" xfId="0" applyNumberFormat="1" applyFont="1" applyFill="1" applyBorder="1" applyAlignment="1">
      <alignment horizontal="center"/>
    </xf>
    <xf numFmtId="10" fontId="0" fillId="24" borderId="10" xfId="0" applyNumberFormat="1" applyFill="1" applyBorder="1" applyAlignment="1">
      <alignment horizontal="center"/>
    </xf>
    <xf numFmtId="164" fontId="41" fillId="24" borderId="10" xfId="28" applyNumberFormat="1" applyFont="1" applyFill="1" applyBorder="1" applyAlignment="1" applyProtection="1">
      <alignment horizontal="right"/>
      <protection locked="0"/>
    </xf>
    <xf numFmtId="168" fontId="0" fillId="0" borderId="0" xfId="0" applyNumberFormat="1"/>
    <xf numFmtId="167" fontId="41" fillId="24" borderId="10" xfId="45" applyNumberFormat="1" applyFont="1" applyFill="1" applyBorder="1" applyAlignment="1" applyProtection="1">
      <alignment horizontal="right"/>
      <protection locked="0"/>
    </xf>
    <xf numFmtId="0" fontId="0" fillId="0" borderId="10" xfId="0" applyFont="1" applyBorder="1"/>
    <xf numFmtId="164" fontId="41" fillId="24" borderId="23" xfId="28" applyNumberFormat="1" applyFont="1" applyFill="1" applyBorder="1" applyAlignment="1" applyProtection="1">
      <alignment horizontal="right"/>
      <protection locked="0"/>
    </xf>
    <xf numFmtId="0" fontId="4" fillId="0" borderId="24" xfId="0" applyFont="1" applyFill="1" applyBorder="1" applyAlignment="1">
      <alignment horizontal="center" wrapText="1"/>
    </xf>
    <xf numFmtId="0" fontId="4" fillId="0" borderId="78" xfId="0" applyFont="1" applyFill="1" applyBorder="1" applyAlignment="1">
      <alignment horizontal="center" wrapText="1"/>
    </xf>
    <xf numFmtId="0" fontId="4" fillId="0" borderId="92" xfId="0" applyFont="1" applyBorder="1"/>
    <xf numFmtId="170" fontId="4" fillId="24" borderId="10" xfId="28" applyNumberFormat="1" applyFont="1" applyFill="1" applyBorder="1"/>
    <xf numFmtId="3" fontId="0" fillId="0" borderId="0" xfId="0" applyNumberFormat="1"/>
    <xf numFmtId="169" fontId="0" fillId="0" borderId="10" xfId="28" applyNumberFormat="1" applyFont="1" applyBorder="1"/>
    <xf numFmtId="169" fontId="0" fillId="0" borderId="32" xfId="28" applyNumberFormat="1" applyFont="1" applyBorder="1"/>
    <xf numFmtId="167" fontId="0" fillId="24" borderId="10" xfId="28" applyNumberFormat="1" applyFont="1" applyFill="1" applyBorder="1"/>
    <xf numFmtId="3" fontId="0" fillId="24" borderId="10" xfId="0" applyNumberFormat="1" applyFill="1" applyBorder="1" applyAlignment="1">
      <alignment vertical="top"/>
    </xf>
    <xf numFmtId="3" fontId="0" fillId="0" borderId="10" xfId="0" applyNumberFormat="1" applyFill="1" applyBorder="1" applyAlignment="1">
      <alignment vertical="top"/>
    </xf>
    <xf numFmtId="174" fontId="0" fillId="0" borderId="10" xfId="0" applyNumberFormat="1" applyFill="1" applyBorder="1" applyAlignment="1">
      <alignment vertical="top"/>
    </xf>
    <xf numFmtId="174" fontId="0" fillId="0" borderId="31" xfId="0" applyNumberFormat="1" applyFill="1" applyBorder="1" applyAlignment="1">
      <alignment vertical="top"/>
    </xf>
    <xf numFmtId="174" fontId="0" fillId="0" borderId="32" xfId="0" applyNumberFormat="1" applyBorder="1" applyAlignment="1">
      <alignment vertical="top"/>
    </xf>
    <xf numFmtId="174" fontId="0" fillId="0" borderId="84" xfId="0" applyNumberFormat="1" applyBorder="1" applyAlignment="1">
      <alignment vertical="top"/>
    </xf>
    <xf numFmtId="9" fontId="0" fillId="24" borderId="32" xfId="28" applyNumberFormat="1" applyFont="1" applyFill="1" applyBorder="1"/>
    <xf numFmtId="9" fontId="0" fillId="24" borderId="10" xfId="45" applyFont="1" applyFill="1" applyBorder="1"/>
    <xf numFmtId="170" fontId="0" fillId="0" borderId="32" xfId="28" applyNumberFormat="1" applyFont="1" applyFill="1" applyBorder="1"/>
    <xf numFmtId="9" fontId="0" fillId="0" borderId="32" xfId="28" applyNumberFormat="1" applyFont="1" applyFill="1" applyBorder="1"/>
    <xf numFmtId="0" fontId="4" fillId="0" borderId="27" xfId="0" applyFont="1" applyFill="1" applyBorder="1" applyAlignment="1">
      <alignment vertical="center" wrapText="1"/>
    </xf>
    <xf numFmtId="170" fontId="1" fillId="0" borderId="44" xfId="28" applyNumberFormat="1" applyBorder="1"/>
    <xf numFmtId="168" fontId="0" fillId="24" borderId="10" xfId="0" applyNumberFormat="1" applyFill="1" applyBorder="1"/>
    <xf numFmtId="168" fontId="0" fillId="24" borderId="39" xfId="0" applyNumberFormat="1" applyFill="1" applyBorder="1"/>
    <xf numFmtId="168" fontId="50" fillId="0" borderId="66" xfId="29" applyNumberFormat="1" applyFont="1" applyFill="1" applyBorder="1"/>
    <xf numFmtId="0" fontId="24" fillId="0" borderId="10" xfId="0" applyFont="1" applyBorder="1"/>
    <xf numFmtId="168" fontId="8" fillId="0" borderId="0" xfId="0" applyNumberFormat="1" applyFont="1" applyAlignment="1">
      <alignment horizontal="center"/>
    </xf>
    <xf numFmtId="168" fontId="4" fillId="26" borderId="90" xfId="0" applyNumberFormat="1" applyFont="1" applyFill="1" applyBorder="1" applyAlignment="1">
      <alignment horizontal="center" vertical="center" wrapText="1"/>
    </xf>
    <xf numFmtId="168" fontId="0" fillId="0" borderId="23" xfId="29" applyNumberFormat="1" applyFont="1" applyBorder="1"/>
    <xf numFmtId="168" fontId="24" fillId="0" borderId="0" xfId="0" applyNumberFormat="1" applyFont="1"/>
    <xf numFmtId="9" fontId="41" fillId="24" borderId="10" xfId="45" applyFont="1" applyFill="1" applyBorder="1" applyAlignment="1" applyProtection="1">
      <alignment horizontal="right"/>
      <protection locked="0"/>
    </xf>
    <xf numFmtId="170" fontId="41" fillId="24" borderId="10" xfId="28" applyNumberFormat="1" applyFont="1" applyFill="1" applyBorder="1" applyAlignment="1" applyProtection="1">
      <alignment horizontal="right"/>
      <protection locked="0"/>
    </xf>
    <xf numFmtId="164" fontId="41" fillId="0" borderId="10" xfId="28" applyNumberFormat="1" applyFont="1" applyFill="1" applyBorder="1" applyAlignment="1" applyProtection="1">
      <alignment horizontal="right"/>
      <protection locked="0"/>
    </xf>
    <xf numFmtId="168" fontId="42" fillId="0" borderId="31" xfId="29" applyNumberFormat="1" applyFont="1" applyBorder="1"/>
    <xf numFmtId="168" fontId="0" fillId="0" borderId="38" xfId="28" applyNumberFormat="1" applyFont="1" applyBorder="1"/>
    <xf numFmtId="168" fontId="4" fillId="0" borderId="24" xfId="0" quotePrefix="1" applyNumberFormat="1" applyFont="1" applyFill="1" applyBorder="1" applyAlignment="1">
      <alignment horizontal="center" wrapText="1"/>
    </xf>
    <xf numFmtId="10" fontId="0" fillId="0" borderId="84" xfId="45" applyNumberFormat="1" applyFont="1" applyBorder="1" applyAlignment="1">
      <alignment horizontal="center"/>
    </xf>
    <xf numFmtId="43" fontId="0" fillId="24" borderId="10" xfId="0" applyNumberFormat="1" applyFill="1" applyBorder="1"/>
    <xf numFmtId="168" fontId="51" fillId="31" borderId="10" xfId="29" applyNumberFormat="1" applyFont="1" applyFill="1" applyBorder="1"/>
    <xf numFmtId="0" fontId="0" fillId="0" borderId="10" xfId="0" applyBorder="1" applyAlignment="1">
      <alignment wrapText="1"/>
    </xf>
    <xf numFmtId="0" fontId="4" fillId="0" borderId="0" xfId="0" applyFont="1" applyAlignment="1">
      <alignment horizontal="left" indent="1"/>
    </xf>
    <xf numFmtId="0" fontId="4" fillId="31" borderId="29" xfId="0" applyFont="1" applyFill="1" applyBorder="1"/>
    <xf numFmtId="0" fontId="4" fillId="24" borderId="29" xfId="0" applyFont="1" applyFill="1" applyBorder="1" applyAlignment="1">
      <alignment wrapText="1"/>
    </xf>
    <xf numFmtId="0" fontId="4" fillId="0" borderId="71" xfId="0" applyFont="1" applyBorder="1"/>
    <xf numFmtId="0" fontId="4" fillId="0" borderId="30" xfId="0" applyFont="1" applyBorder="1" applyAlignment="1">
      <alignment horizontal="center"/>
    </xf>
    <xf numFmtId="168" fontId="0" fillId="24" borderId="10" xfId="31" applyNumberFormat="1" applyFont="1" applyFill="1" applyBorder="1"/>
    <xf numFmtId="0" fontId="0" fillId="31" borderId="10" xfId="0" applyFill="1" applyBorder="1"/>
    <xf numFmtId="168" fontId="0" fillId="0" borderId="31" xfId="31" applyNumberFormat="1" applyFont="1" applyBorder="1"/>
    <xf numFmtId="0" fontId="4" fillId="0" borderId="95" xfId="0" applyFont="1" applyBorder="1" applyAlignment="1">
      <alignment horizontal="center"/>
    </xf>
    <xf numFmtId="0" fontId="0" fillId="0" borderId="23" xfId="0" applyFill="1" applyBorder="1"/>
    <xf numFmtId="0" fontId="0" fillId="0" borderId="39" xfId="0" applyFill="1" applyBorder="1" applyAlignment="1">
      <alignment wrapText="1"/>
    </xf>
    <xf numFmtId="0" fontId="0" fillId="0" borderId="39" xfId="0" applyBorder="1" applyAlignment="1">
      <alignment wrapText="1"/>
    </xf>
    <xf numFmtId="168" fontId="0" fillId="24" borderId="23" xfId="31" applyNumberFormat="1" applyFont="1" applyFill="1" applyBorder="1"/>
    <xf numFmtId="168" fontId="0" fillId="24" borderId="39" xfId="31" applyNumberFormat="1" applyFont="1" applyFill="1" applyBorder="1"/>
    <xf numFmtId="168" fontId="0" fillId="0" borderId="70" xfId="31" applyNumberFormat="1" applyFont="1" applyBorder="1"/>
    <xf numFmtId="0" fontId="4" fillId="0" borderId="96" xfId="0" applyFont="1" applyBorder="1"/>
    <xf numFmtId="0" fontId="4" fillId="0" borderId="38" xfId="0" applyFont="1" applyBorder="1"/>
    <xf numFmtId="168" fontId="4" fillId="0" borderId="66" xfId="31" applyNumberFormat="1" applyFont="1" applyBorder="1"/>
    <xf numFmtId="168" fontId="4" fillId="0" borderId="38" xfId="31" applyNumberFormat="1" applyFont="1" applyBorder="1"/>
    <xf numFmtId="168" fontId="4" fillId="0" borderId="74" xfId="31" applyNumberFormat="1" applyFont="1" applyBorder="1"/>
    <xf numFmtId="44" fontId="0" fillId="24" borderId="10" xfId="31" applyFont="1" applyFill="1" applyBorder="1"/>
    <xf numFmtId="168" fontId="52" fillId="24" borderId="10" xfId="31" applyNumberFormat="1" applyFill="1" applyBorder="1"/>
    <xf numFmtId="168" fontId="52" fillId="0" borderId="31" xfId="31" applyNumberFormat="1" applyBorder="1"/>
    <xf numFmtId="0" fontId="0" fillId="31" borderId="0" xfId="0" applyFill="1"/>
    <xf numFmtId="0" fontId="0" fillId="24" borderId="23" xfId="0" applyFill="1" applyBorder="1"/>
    <xf numFmtId="168" fontId="52" fillId="24" borderId="23" xfId="31" applyNumberFormat="1" applyFill="1" applyBorder="1"/>
    <xf numFmtId="168" fontId="52" fillId="24" borderId="39" xfId="31" applyNumberFormat="1" applyFill="1" applyBorder="1"/>
    <xf numFmtId="0" fontId="24" fillId="0" borderId="10" xfId="0" applyFont="1" applyFill="1" applyBorder="1"/>
    <xf numFmtId="0" fontId="24" fillId="0" borderId="23" xfId="0" applyFont="1" applyFill="1" applyBorder="1"/>
    <xf numFmtId="0" fontId="4" fillId="31" borderId="24" xfId="0" applyFont="1" applyFill="1" applyBorder="1"/>
    <xf numFmtId="168" fontId="24" fillId="24" borderId="24" xfId="31" applyNumberFormat="1" applyFont="1" applyFill="1" applyBorder="1"/>
    <xf numFmtId="168" fontId="24" fillId="24" borderId="10" xfId="31" applyNumberFormat="1" applyFont="1" applyFill="1" applyBorder="1"/>
    <xf numFmtId="168" fontId="52" fillId="0" borderId="70" xfId="31" applyNumberFormat="1" applyBorder="1"/>
    <xf numFmtId="168" fontId="24" fillId="0" borderId="73" xfId="31" applyNumberFormat="1" applyFont="1" applyBorder="1"/>
    <xf numFmtId="0" fontId="0" fillId="0" borderId="0" xfId="0" applyAlignment="1">
      <alignment horizontal="left" wrapText="1"/>
    </xf>
    <xf numFmtId="0" fontId="0" fillId="0" borderId="0" xfId="0" applyAlignment="1">
      <alignment horizontal="left"/>
    </xf>
    <xf numFmtId="0" fontId="8" fillId="0" borderId="0" xfId="0" applyFont="1" applyAlignment="1">
      <alignment horizontal="center"/>
    </xf>
    <xf numFmtId="0" fontId="0" fillId="0" borderId="0" xfId="0" applyAlignment="1">
      <alignment horizontal="left" vertical="top" wrapText="1"/>
    </xf>
    <xf numFmtId="0" fontId="44" fillId="0" borderId="0" xfId="0" applyFont="1" applyAlignment="1">
      <alignment horizontal="center"/>
    </xf>
    <xf numFmtId="0" fontId="0" fillId="0" borderId="0" xfId="0" applyAlignment="1">
      <alignment horizontal="center"/>
    </xf>
    <xf numFmtId="0" fontId="43" fillId="24" borderId="0" xfId="0" applyFont="1" applyFill="1" applyAlignment="1">
      <alignment horizontal="center"/>
    </xf>
    <xf numFmtId="0" fontId="4" fillId="26" borderId="92" xfId="0" applyFont="1" applyFill="1" applyBorder="1" applyAlignment="1">
      <alignment horizontal="center"/>
    </xf>
    <xf numFmtId="0" fontId="4" fillId="26" borderId="14" xfId="0" applyFont="1" applyFill="1" applyBorder="1" applyAlignment="1">
      <alignment horizontal="center"/>
    </xf>
    <xf numFmtId="0" fontId="4" fillId="26" borderId="57" xfId="0" applyFont="1" applyFill="1" applyBorder="1" applyAlignment="1">
      <alignment horizontal="center"/>
    </xf>
    <xf numFmtId="0" fontId="1" fillId="0" borderId="0" xfId="0" applyFont="1" applyAlignment="1">
      <alignment horizontal="left" vertical="top" wrapText="1"/>
    </xf>
    <xf numFmtId="0" fontId="41" fillId="0" borderId="0" xfId="0" applyFont="1" applyAlignment="1">
      <alignment wrapText="1"/>
    </xf>
    <xf numFmtId="0" fontId="0" fillId="0" borderId="0" xfId="0" applyAlignment="1">
      <alignment wrapText="1"/>
    </xf>
    <xf numFmtId="0" fontId="4" fillId="0" borderId="51" xfId="0" applyFont="1" applyBorder="1" applyAlignment="1">
      <alignment horizontal="left"/>
    </xf>
    <xf numFmtId="0" fontId="4" fillId="0" borderId="41" xfId="0" applyFont="1" applyBorder="1" applyAlignment="1">
      <alignment horizontal="left"/>
    </xf>
    <xf numFmtId="0" fontId="0" fillId="0" borderId="64" xfId="0" applyBorder="1" applyAlignment="1">
      <alignment horizontal="left"/>
    </xf>
    <xf numFmtId="0" fontId="0" fillId="0" borderId="57" xfId="0" applyBorder="1" applyAlignment="1">
      <alignment horizontal="left"/>
    </xf>
    <xf numFmtId="0" fontId="0" fillId="0" borderId="45" xfId="0" applyBorder="1" applyAlignment="1">
      <alignment horizontal="left"/>
    </xf>
    <xf numFmtId="0" fontId="0" fillId="0" borderId="20" xfId="0" applyBorder="1" applyAlignment="1">
      <alignment horizontal="left"/>
    </xf>
    <xf numFmtId="0" fontId="0" fillId="24" borderId="64" xfId="0" applyFill="1" applyBorder="1" applyAlignment="1">
      <alignment horizontal="left"/>
    </xf>
    <xf numFmtId="0" fontId="0" fillId="24" borderId="57" xfId="0" applyFill="1" applyBorder="1" applyAlignment="1">
      <alignment horizontal="left"/>
    </xf>
    <xf numFmtId="0" fontId="0" fillId="24" borderId="67" xfId="0" applyFill="1" applyBorder="1" applyAlignment="1">
      <alignment horizontal="left"/>
    </xf>
    <xf numFmtId="0" fontId="0" fillId="24" borderId="94" xfId="0" applyFill="1" applyBorder="1" applyAlignment="1">
      <alignment horizontal="left"/>
    </xf>
    <xf numFmtId="0" fontId="4" fillId="0" borderId="45" xfId="0" applyFont="1" applyBorder="1" applyAlignment="1">
      <alignment horizontal="left"/>
    </xf>
    <xf numFmtId="0" fontId="4" fillId="0" borderId="20" xfId="0" applyFont="1" applyBorder="1" applyAlignment="1">
      <alignment horizontal="left"/>
    </xf>
    <xf numFmtId="0" fontId="4" fillId="0" borderId="72" xfId="0" applyFont="1" applyBorder="1" applyAlignment="1">
      <alignment horizontal="left"/>
    </xf>
    <xf numFmtId="0" fontId="4" fillId="0" borderId="39" xfId="0" applyFont="1" applyBorder="1" applyAlignment="1">
      <alignment horizontal="left"/>
    </xf>
    <xf numFmtId="0" fontId="4" fillId="0" borderId="40" xfId="0" applyFont="1" applyBorder="1" applyAlignment="1">
      <alignment horizontal="left"/>
    </xf>
    <xf numFmtId="0" fontId="4" fillId="0" borderId="38" xfId="0" applyFont="1" applyBorder="1" applyAlignment="1">
      <alignment horizontal="left"/>
    </xf>
    <xf numFmtId="0" fontId="0" fillId="28" borderId="30" xfId="0" applyFill="1" applyBorder="1" applyAlignment="1">
      <alignment horizontal="center"/>
    </xf>
    <xf numFmtId="0" fontId="0" fillId="28" borderId="10" xfId="0" applyFill="1" applyBorder="1" applyAlignment="1">
      <alignment horizontal="center"/>
    </xf>
    <xf numFmtId="0" fontId="0" fillId="28" borderId="31" xfId="0" applyFill="1" applyBorder="1" applyAlignment="1">
      <alignment horizontal="center"/>
    </xf>
    <xf numFmtId="0" fontId="4" fillId="0" borderId="30" xfId="0" applyFont="1" applyBorder="1" applyAlignment="1">
      <alignment horizontal="left"/>
    </xf>
    <xf numFmtId="0" fontId="4" fillId="0" borderId="10" xfId="0" applyFont="1" applyBorder="1" applyAlignment="1">
      <alignment horizontal="left"/>
    </xf>
    <xf numFmtId="0" fontId="4" fillId="0" borderId="95" xfId="0" applyFont="1" applyBorder="1" applyAlignment="1">
      <alignment horizontal="left"/>
    </xf>
    <xf numFmtId="0" fontId="4" fillId="0" borderId="23" xfId="0" applyFont="1" applyBorder="1" applyAlignment="1">
      <alignment horizontal="left"/>
    </xf>
    <xf numFmtId="0" fontId="4" fillId="0" borderId="96" xfId="0" applyFont="1" applyBorder="1" applyAlignment="1">
      <alignment horizontal="left"/>
    </xf>
    <xf numFmtId="0" fontId="4" fillId="0" borderId="66" xfId="0" applyFont="1" applyBorder="1" applyAlignment="1">
      <alignment horizontal="left"/>
    </xf>
    <xf numFmtId="0" fontId="4" fillId="0" borderId="97" xfId="0" applyFont="1" applyBorder="1" applyAlignment="1">
      <alignment horizontal="left"/>
    </xf>
    <xf numFmtId="0" fontId="4" fillId="0" borderId="75" xfId="0" applyFont="1" applyBorder="1" applyAlignment="1">
      <alignment horizontal="left"/>
    </xf>
    <xf numFmtId="0" fontId="4" fillId="0" borderId="28" xfId="0" applyFont="1" applyBorder="1" applyAlignment="1">
      <alignment horizontal="left"/>
    </xf>
    <xf numFmtId="0" fontId="0" fillId="0" borderId="88" xfId="0" applyBorder="1" applyAlignment="1"/>
    <xf numFmtId="0" fontId="0" fillId="0" borderId="85" xfId="0" applyBorder="1" applyAlignment="1"/>
    <xf numFmtId="0" fontId="0" fillId="0" borderId="63" xfId="0" applyBorder="1" applyAlignment="1"/>
    <xf numFmtId="0" fontId="0" fillId="0" borderId="22" xfId="0" applyBorder="1" applyAlignment="1"/>
    <xf numFmtId="0" fontId="0" fillId="0" borderId="0" xfId="0" applyAlignment="1">
      <alignment vertical="top" wrapText="1"/>
    </xf>
    <xf numFmtId="0" fontId="4" fillId="0" borderId="30" xfId="0" applyFont="1" applyBorder="1" applyAlignment="1">
      <alignment wrapText="1"/>
    </xf>
    <xf numFmtId="0" fontId="0" fillId="0" borderId="10" xfId="0" applyBorder="1" applyAlignment="1">
      <alignment wrapText="1"/>
    </xf>
    <xf numFmtId="0" fontId="4" fillId="0" borderId="33" xfId="0" applyFont="1" applyBorder="1" applyAlignment="1">
      <alignment wrapText="1"/>
    </xf>
    <xf numFmtId="0" fontId="0" fillId="0" borderId="32" xfId="0" applyBorder="1" applyAlignment="1">
      <alignment wrapText="1"/>
    </xf>
    <xf numFmtId="0" fontId="4" fillId="0" borderId="88" xfId="0" applyFont="1" applyBorder="1" applyAlignment="1"/>
    <xf numFmtId="0" fontId="4" fillId="0" borderId="98" xfId="0" applyFont="1" applyBorder="1" applyAlignment="1">
      <alignment wrapText="1"/>
    </xf>
    <xf numFmtId="0" fontId="0" fillId="0" borderId="18" xfId="0" applyBorder="1" applyAlignment="1">
      <alignment wrapText="1"/>
    </xf>
    <xf numFmtId="0" fontId="0" fillId="0" borderId="63" xfId="0" applyBorder="1" applyAlignment="1">
      <alignment wrapText="1"/>
    </xf>
    <xf numFmtId="0" fontId="0" fillId="0" borderId="22" xfId="0" applyBorder="1" applyAlignment="1">
      <alignment wrapText="1"/>
    </xf>
    <xf numFmtId="0" fontId="33" fillId="0" borderId="64" xfId="0" applyFont="1" applyBorder="1" applyAlignment="1">
      <alignment horizontal="left"/>
    </xf>
    <xf numFmtId="0" fontId="33" fillId="0" borderId="14" xfId="0" applyFont="1" applyBorder="1" applyAlignment="1">
      <alignment horizontal="left"/>
    </xf>
    <xf numFmtId="0" fontId="33" fillId="0" borderId="50" xfId="0" applyFont="1" applyBorder="1" applyAlignment="1">
      <alignment horizontal="left"/>
    </xf>
    <xf numFmtId="44" fontId="4" fillId="29" borderId="97" xfId="29" applyFont="1" applyFill="1" applyBorder="1" applyAlignment="1">
      <alignment horizontal="left"/>
    </xf>
    <xf numFmtId="44" fontId="4" fillId="29" borderId="28" xfId="29" applyFont="1" applyFill="1" applyBorder="1" applyAlignment="1">
      <alignment horizontal="left"/>
    </xf>
    <xf numFmtId="0" fontId="4" fillId="0" borderId="69" xfId="0" applyFont="1" applyBorder="1" applyAlignment="1">
      <alignment horizontal="left"/>
    </xf>
    <xf numFmtId="0" fontId="4" fillId="0" borderId="65" xfId="0" applyFont="1" applyBorder="1" applyAlignment="1">
      <alignment horizontal="left"/>
    </xf>
    <xf numFmtId="0" fontId="6" fillId="0" borderId="0" xfId="0" quotePrefix="1" applyFont="1" applyAlignment="1">
      <alignment horizontal="center"/>
    </xf>
    <xf numFmtId="0" fontId="4" fillId="0" borderId="37" xfId="0" applyFont="1" applyBorder="1" applyAlignment="1">
      <alignment horizontal="left"/>
    </xf>
    <xf numFmtId="0" fontId="4" fillId="0" borderId="29" xfId="0" applyFont="1" applyBorder="1" applyAlignment="1">
      <alignment horizontal="left"/>
    </xf>
    <xf numFmtId="0" fontId="0" fillId="0" borderId="30" xfId="0" quotePrefix="1" applyBorder="1" applyAlignment="1">
      <alignment horizontal="center"/>
    </xf>
    <xf numFmtId="0" fontId="0" fillId="0" borderId="10" xfId="0" quotePrefix="1" applyBorder="1" applyAlignment="1">
      <alignment horizontal="center"/>
    </xf>
    <xf numFmtId="0" fontId="4" fillId="0" borderId="64" xfId="0" applyFont="1" applyBorder="1" applyAlignment="1">
      <alignment horizontal="left"/>
    </xf>
    <xf numFmtId="0" fontId="4" fillId="0" borderId="57" xfId="0" applyFont="1" applyBorder="1" applyAlignment="1">
      <alignment horizontal="left"/>
    </xf>
    <xf numFmtId="0" fontId="4" fillId="0" borderId="99" xfId="0" applyFont="1" applyBorder="1" applyAlignment="1">
      <alignment horizontal="left"/>
    </xf>
    <xf numFmtId="0" fontId="4" fillId="0" borderId="100" xfId="0" applyFont="1" applyBorder="1" applyAlignment="1">
      <alignment horizontal="left"/>
    </xf>
    <xf numFmtId="0" fontId="4" fillId="26" borderId="43" xfId="0" applyFont="1" applyFill="1" applyBorder="1" applyAlignment="1">
      <alignment horizontal="center" vertical="top" wrapText="1"/>
    </xf>
    <xf numFmtId="0" fontId="4" fillId="26" borderId="46" xfId="0" applyFont="1" applyFill="1" applyBorder="1" applyAlignment="1">
      <alignment horizontal="center" vertical="top" wrapText="1"/>
    </xf>
    <xf numFmtId="0" fontId="4" fillId="0" borderId="101" xfId="0" applyFont="1" applyBorder="1" applyAlignment="1">
      <alignment horizontal="left"/>
    </xf>
    <xf numFmtId="0" fontId="4" fillId="0" borderId="48" xfId="0" applyFont="1" applyBorder="1" applyAlignment="1">
      <alignment horizontal="left"/>
    </xf>
    <xf numFmtId="0" fontId="33" fillId="0" borderId="63" xfId="0" applyFont="1" applyBorder="1" applyAlignment="1">
      <alignment horizontal="left"/>
    </xf>
    <xf numFmtId="0" fontId="33" fillId="0" borderId="12" xfId="0" applyFont="1" applyBorder="1" applyAlignment="1">
      <alignment horizontal="left"/>
    </xf>
    <xf numFmtId="0" fontId="4" fillId="26" borderId="43" xfId="0" applyFont="1" applyFill="1" applyBorder="1" applyAlignment="1">
      <alignment horizontal="left"/>
    </xf>
    <xf numFmtId="0" fontId="4" fillId="26" borderId="46" xfId="0" applyFont="1" applyFill="1" applyBorder="1" applyAlignment="1">
      <alignment horizontal="left"/>
    </xf>
    <xf numFmtId="0" fontId="4" fillId="26" borderId="58" xfId="0" applyFont="1" applyFill="1" applyBorder="1" applyAlignment="1">
      <alignment horizontal="center" vertical="top" wrapText="1"/>
    </xf>
    <xf numFmtId="0" fontId="4" fillId="26" borderId="48" xfId="0" applyFont="1" applyFill="1" applyBorder="1" applyAlignment="1">
      <alignment horizontal="center" vertical="top" wrapText="1"/>
    </xf>
    <xf numFmtId="0" fontId="4" fillId="29" borderId="92" xfId="0" applyFont="1" applyFill="1" applyBorder="1" applyAlignment="1">
      <alignment horizontal="left"/>
    </xf>
    <xf numFmtId="0" fontId="4" fillId="29" borderId="14" xfId="0" applyFont="1" applyFill="1" applyBorder="1" applyAlignment="1">
      <alignment horizontal="left"/>
    </xf>
    <xf numFmtId="0" fontId="4" fillId="29" borderId="57" xfId="0" applyFont="1" applyFill="1" applyBorder="1" applyAlignment="1">
      <alignment horizontal="left"/>
    </xf>
    <xf numFmtId="0" fontId="0" fillId="29" borderId="92" xfId="0" applyFill="1" applyBorder="1" applyAlignment="1">
      <alignment horizontal="left"/>
    </xf>
    <xf numFmtId="0" fontId="0" fillId="29" borderId="14" xfId="0" applyFill="1" applyBorder="1" applyAlignment="1">
      <alignment horizontal="left"/>
    </xf>
    <xf numFmtId="0" fontId="0" fillId="29" borderId="57" xfId="0" applyFill="1" applyBorder="1" applyAlignment="1">
      <alignment horizontal="left"/>
    </xf>
    <xf numFmtId="0" fontId="4" fillId="26" borderId="37" xfId="0" applyFont="1" applyFill="1" applyBorder="1" applyAlignment="1">
      <alignment horizontal="center"/>
    </xf>
    <xf numFmtId="0" fontId="4" fillId="26" borderId="29" xfId="0" applyFont="1" applyFill="1" applyBorder="1" applyAlignment="1">
      <alignment horizontal="center"/>
    </xf>
    <xf numFmtId="0" fontId="4" fillId="26" borderId="90" xfId="0" applyFont="1" applyFill="1" applyBorder="1" applyAlignment="1">
      <alignment horizontal="center" vertical="center" wrapText="1"/>
    </xf>
    <xf numFmtId="0" fontId="4" fillId="26" borderId="11" xfId="0" applyFont="1" applyFill="1" applyBorder="1" applyAlignment="1">
      <alignment horizontal="center" vertical="center" wrapText="1"/>
    </xf>
    <xf numFmtId="0" fontId="0" fillId="26" borderId="24" xfId="0" applyFill="1" applyBorder="1" applyAlignment="1">
      <alignment horizontal="center" vertical="center" wrapText="1"/>
    </xf>
    <xf numFmtId="0" fontId="4" fillId="26" borderId="29" xfId="0" applyFont="1" applyFill="1" applyBorder="1" applyAlignment="1">
      <alignment horizontal="center" wrapText="1"/>
    </xf>
    <xf numFmtId="0" fontId="4" fillId="26" borderId="10" xfId="0" applyFont="1" applyFill="1" applyBorder="1" applyAlignment="1">
      <alignment horizontal="center" wrapText="1"/>
    </xf>
    <xf numFmtId="0" fontId="4" fillId="26" borderId="71" xfId="0" applyFont="1" applyFill="1" applyBorder="1" applyAlignment="1">
      <alignment horizontal="center" wrapText="1"/>
    </xf>
    <xf numFmtId="0" fontId="4" fillId="26" borderId="31" xfId="0" applyFont="1" applyFill="1" applyBorder="1" applyAlignment="1">
      <alignment horizontal="center" wrapText="1"/>
    </xf>
    <xf numFmtId="0" fontId="4" fillId="26" borderId="95" xfId="0" applyFont="1" applyFill="1" applyBorder="1" applyAlignment="1"/>
    <xf numFmtId="0" fontId="0" fillId="26" borderId="93" xfId="0" applyFill="1" applyBorder="1" applyAlignment="1"/>
    <xf numFmtId="0" fontId="4" fillId="26" borderId="23" xfId="0" applyFont="1" applyFill="1" applyBorder="1" applyAlignment="1"/>
    <xf numFmtId="0" fontId="0" fillId="26" borderId="24" xfId="0" applyFill="1" applyBorder="1" applyAlignment="1"/>
    <xf numFmtId="0" fontId="4" fillId="0" borderId="0" xfId="0" applyFont="1" applyAlignment="1">
      <alignment horizontal="left" vertical="top" wrapText="1"/>
    </xf>
    <xf numFmtId="0" fontId="45" fillId="26" borderId="43" xfId="0" applyFont="1" applyFill="1" applyBorder="1" applyAlignment="1">
      <alignment horizontal="center" vertical="center" wrapText="1"/>
    </xf>
    <xf numFmtId="0" fontId="47" fillId="26" borderId="52" xfId="0" applyFont="1" applyFill="1" applyBorder="1" applyAlignment="1">
      <alignment horizontal="center"/>
    </xf>
    <xf numFmtId="0" fontId="44" fillId="0" borderId="0" xfId="0" applyFont="1" applyAlignment="1">
      <alignment wrapText="1"/>
    </xf>
    <xf numFmtId="0" fontId="24" fillId="0" borderId="0" xfId="0" applyFont="1" applyAlignment="1">
      <alignment wrapText="1"/>
    </xf>
    <xf numFmtId="0" fontId="44" fillId="0" borderId="0" xfId="0" applyFont="1" applyAlignment="1">
      <alignment vertical="top" wrapText="1"/>
    </xf>
    <xf numFmtId="0" fontId="24" fillId="0" borderId="0" xfId="0" applyFont="1" applyAlignment="1">
      <alignment vertical="top" wrapText="1"/>
    </xf>
    <xf numFmtId="0" fontId="4" fillId="0" borderId="0" xfId="0" applyFont="1" applyAlignment="1">
      <alignment vertical="top" wrapText="1"/>
    </xf>
    <xf numFmtId="0" fontId="4" fillId="26" borderId="102" xfId="0" applyFont="1" applyFill="1" applyBorder="1" applyAlignment="1">
      <alignment vertical="center"/>
    </xf>
    <xf numFmtId="0" fontId="4" fillId="26" borderId="93" xfId="0" applyFont="1" applyFill="1" applyBorder="1" applyAlignment="1">
      <alignment vertical="center"/>
    </xf>
    <xf numFmtId="0" fontId="4" fillId="26" borderId="90" xfId="0" applyFont="1" applyFill="1" applyBorder="1" applyAlignment="1">
      <alignment vertical="center"/>
    </xf>
    <xf numFmtId="0" fontId="4" fillId="26" borderId="24" xfId="0" applyFont="1" applyFill="1" applyBorder="1" applyAlignment="1">
      <alignment vertical="center"/>
    </xf>
    <xf numFmtId="0" fontId="8" fillId="0" borderId="0" xfId="0" applyFont="1" applyFill="1" applyAlignment="1" applyProtection="1">
      <alignment horizontal="center" vertical="center"/>
    </xf>
    <xf numFmtId="0" fontId="4" fillId="0" borderId="0" xfId="0" applyFont="1" applyBorder="1" applyAlignment="1" applyProtection="1">
      <alignment horizontal="right" wrapText="1"/>
    </xf>
    <xf numFmtId="0" fontId="0" fillId="0" borderId="12" xfId="0" applyBorder="1" applyAlignment="1">
      <alignment wrapText="1"/>
    </xf>
    <xf numFmtId="0" fontId="4" fillId="0" borderId="12" xfId="0" applyFont="1" applyBorder="1" applyAlignment="1" applyProtection="1">
      <alignment horizontal="center" vertical="center"/>
    </xf>
    <xf numFmtId="0" fontId="0" fillId="24" borderId="0" xfId="0" applyFill="1" applyAlignment="1" applyProtection="1">
      <protection locked="0"/>
    </xf>
    <xf numFmtId="49" fontId="4" fillId="0" borderId="92" xfId="0" applyNumberFormat="1" applyFont="1" applyFill="1" applyBorder="1" applyAlignment="1" applyProtection="1">
      <alignment horizontal="center"/>
    </xf>
    <xf numFmtId="49" fontId="4" fillId="0" borderId="14" xfId="0" applyNumberFormat="1" applyFont="1" applyFill="1" applyBorder="1" applyAlignment="1" applyProtection="1">
      <alignment horizontal="center"/>
    </xf>
    <xf numFmtId="49" fontId="4" fillId="0" borderId="57" xfId="0" applyNumberFormat="1" applyFont="1" applyFill="1" applyBorder="1" applyAlignment="1" applyProtection="1">
      <alignment horizontal="center"/>
    </xf>
    <xf numFmtId="0" fontId="7" fillId="0" borderId="0" xfId="0" applyFont="1" applyBorder="1" applyAlignment="1" applyProtection="1">
      <alignment horizontal="left"/>
    </xf>
    <xf numFmtId="0" fontId="0" fillId="0" borderId="0" xfId="0" applyAlignment="1" applyProtection="1"/>
    <xf numFmtId="0" fontId="0" fillId="0" borderId="30" xfId="0" applyBorder="1" applyAlignment="1">
      <alignment horizontal="left"/>
    </xf>
    <xf numFmtId="0" fontId="0" fillId="0" borderId="10" xfId="0" applyBorder="1" applyAlignment="1">
      <alignment horizontal="left"/>
    </xf>
    <xf numFmtId="0" fontId="0" fillId="0" borderId="30" xfId="0" applyBorder="1" applyAlignment="1">
      <alignment horizontal="left" wrapText="1"/>
    </xf>
    <xf numFmtId="0" fontId="0" fillId="0" borderId="10" xfId="0" applyBorder="1" applyAlignment="1">
      <alignment horizontal="left" wrapText="1"/>
    </xf>
    <xf numFmtId="0" fontId="0" fillId="24" borderId="30" xfId="0" applyFill="1" applyBorder="1" applyAlignment="1">
      <alignment horizontal="left" wrapText="1"/>
    </xf>
    <xf numFmtId="0" fontId="0" fillId="24" borderId="10" xfId="0" applyFill="1" applyBorder="1" applyAlignment="1">
      <alignment horizontal="left" wrapText="1"/>
    </xf>
    <xf numFmtId="0" fontId="4" fillId="0" borderId="64"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37" xfId="0" applyFont="1" applyFill="1" applyBorder="1" applyAlignment="1">
      <alignment vertical="top" wrapText="1"/>
    </xf>
    <xf numFmtId="0" fontId="4" fillId="0" borderId="29" xfId="0" applyFont="1" applyFill="1" applyBorder="1" applyAlignment="1">
      <alignment vertical="top" wrapText="1"/>
    </xf>
    <xf numFmtId="0" fontId="4" fillId="0" borderId="30" xfId="0" applyFont="1" applyFill="1" applyBorder="1" applyAlignment="1">
      <alignment vertical="top" wrapText="1"/>
    </xf>
    <xf numFmtId="0" fontId="4" fillId="0" borderId="10" xfId="0" applyFont="1" applyFill="1" applyBorder="1" applyAlignment="1">
      <alignment vertical="top" wrapText="1"/>
    </xf>
    <xf numFmtId="0" fontId="0" fillId="0" borderId="30" xfId="0" applyBorder="1" applyAlignment="1">
      <alignment horizontal="left" vertical="top" wrapText="1"/>
    </xf>
    <xf numFmtId="0" fontId="0" fillId="0" borderId="10" xfId="0" applyBorder="1" applyAlignment="1">
      <alignment horizontal="left" vertical="top" wrapText="1"/>
    </xf>
    <xf numFmtId="0" fontId="24" fillId="0" borderId="0" xfId="0" applyFont="1" applyFill="1" applyAlignment="1">
      <alignment horizontal="left" vertical="top" wrapText="1"/>
    </xf>
    <xf numFmtId="0" fontId="24" fillId="0" borderId="0" xfId="0" applyFont="1" applyAlignment="1">
      <alignment horizontal="left"/>
    </xf>
    <xf numFmtId="0" fontId="24" fillId="0" borderId="0" xfId="0" applyFont="1" applyAlignment="1">
      <alignment horizontal="left" vertical="top" wrapText="1"/>
    </xf>
    <xf numFmtId="0" fontId="4" fillId="0" borderId="58"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0" fillId="0" borderId="95" xfId="0" applyBorder="1" applyAlignment="1">
      <alignment horizontal="left" wrapText="1"/>
    </xf>
    <xf numFmtId="0" fontId="0" fillId="0" borderId="23" xfId="0" applyBorder="1" applyAlignment="1">
      <alignment horizontal="left" wrapText="1"/>
    </xf>
    <xf numFmtId="0" fontId="4" fillId="0" borderId="2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Alignment="1">
      <alignment horizontal="left" wrapText="1"/>
    </xf>
    <xf numFmtId="0" fontId="4" fillId="0" borderId="93" xfId="0" applyFont="1" applyFill="1" applyBorder="1" applyAlignment="1">
      <alignment vertical="top" wrapText="1"/>
    </xf>
    <xf numFmtId="0" fontId="4" fillId="0" borderId="24" xfId="0" applyFont="1" applyFill="1" applyBorder="1" applyAlignment="1">
      <alignment vertical="top" wrapText="1"/>
    </xf>
    <xf numFmtId="0" fontId="4" fillId="0" borderId="102" xfId="0" applyFont="1" applyFill="1" applyBorder="1" applyAlignment="1">
      <alignment horizontal="left"/>
    </xf>
    <xf numFmtId="0" fontId="4" fillId="0" borderId="90" xfId="0" applyFont="1" applyFill="1" applyBorder="1" applyAlignment="1">
      <alignment horizontal="left"/>
    </xf>
    <xf numFmtId="0" fontId="4" fillId="0" borderId="33" xfId="0" applyFont="1" applyBorder="1" applyAlignment="1">
      <alignment horizontal="left"/>
    </xf>
    <xf numFmtId="0" fontId="4" fillId="0" borderId="32" xfId="0" applyFont="1" applyBorder="1" applyAlignment="1">
      <alignment horizontal="left"/>
    </xf>
    <xf numFmtId="0" fontId="24" fillId="0" borderId="0" xfId="0" applyFont="1" applyFill="1" applyAlignment="1">
      <alignment vertical="top" wrapText="1"/>
    </xf>
    <xf numFmtId="0" fontId="4" fillId="0" borderId="73"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10" xfId="0" applyFill="1" applyBorder="1" applyAlignment="1">
      <alignment horizontal="center" vertical="center" wrapText="1"/>
    </xf>
    <xf numFmtId="0" fontId="4" fillId="0" borderId="71" xfId="0" applyFont="1" applyFill="1" applyBorder="1" applyAlignment="1">
      <alignment horizontal="center" vertical="top" wrapText="1"/>
    </xf>
    <xf numFmtId="0" fontId="0" fillId="0" borderId="31" xfId="0" applyFill="1" applyBorder="1" applyAlignment="1">
      <alignment vertical="top" wrapText="1"/>
    </xf>
    <xf numFmtId="0" fontId="4" fillId="0" borderId="0" xfId="0" applyFont="1" applyAlignment="1">
      <alignment horizontal="left"/>
    </xf>
    <xf numFmtId="0" fontId="39" fillId="0" borderId="0" xfId="0" applyFont="1" applyAlignment="1">
      <alignment horizontal="left" vertical="top" wrapText="1"/>
    </xf>
    <xf numFmtId="0" fontId="4" fillId="0" borderId="91" xfId="0" applyFont="1" applyFill="1" applyBorder="1" applyAlignment="1">
      <alignment horizontal="center" vertical="top" wrapText="1"/>
    </xf>
    <xf numFmtId="0" fontId="0" fillId="0" borderId="73" xfId="0" applyFill="1" applyBorder="1" applyAlignment="1">
      <alignment horizontal="center" vertical="top" wrapText="1"/>
    </xf>
    <xf numFmtId="0" fontId="0" fillId="0" borderId="33" xfId="0" applyBorder="1" applyAlignment="1">
      <alignment vertical="top" wrapText="1"/>
    </xf>
    <xf numFmtId="0" fontId="0" fillId="0" borderId="32" xfId="0" applyBorder="1" applyAlignment="1">
      <alignment vertical="top" wrapText="1"/>
    </xf>
    <xf numFmtId="0" fontId="4" fillId="0" borderId="103" xfId="0" applyFont="1" applyBorder="1" applyAlignment="1">
      <alignment horizontal="left"/>
    </xf>
    <xf numFmtId="0" fontId="4" fillId="0" borderId="86" xfId="0" applyFont="1" applyBorder="1" applyAlignment="1">
      <alignment horizontal="left"/>
    </xf>
    <xf numFmtId="0" fontId="4" fillId="0" borderId="29" xfId="0" applyFont="1" applyFill="1" applyBorder="1" applyAlignment="1">
      <alignment horizontal="center"/>
    </xf>
    <xf numFmtId="0" fontId="0" fillId="0" borderId="33" xfId="0" applyBorder="1" applyAlignment="1">
      <alignment horizontal="left" vertical="top" wrapText="1"/>
    </xf>
    <xf numFmtId="0" fontId="0" fillId="0" borderId="32" xfId="0" applyBorder="1" applyAlignment="1">
      <alignment horizontal="left" vertical="top" wrapText="1"/>
    </xf>
    <xf numFmtId="0" fontId="39" fillId="0" borderId="0" xfId="0" applyFont="1" applyAlignment="1">
      <alignment horizontal="left"/>
    </xf>
    <xf numFmtId="0" fontId="32" fillId="0" borderId="0" xfId="0" applyFont="1" applyAlignment="1">
      <alignment horizontal="left"/>
    </xf>
    <xf numFmtId="0" fontId="33" fillId="29" borderId="92" xfId="0" applyFont="1" applyFill="1" applyBorder="1" applyAlignment="1">
      <alignment horizontal="left"/>
    </xf>
    <xf numFmtId="0" fontId="33" fillId="29" borderId="14" xfId="0" applyFont="1" applyFill="1" applyBorder="1" applyAlignment="1">
      <alignment horizontal="left"/>
    </xf>
    <xf numFmtId="0" fontId="33" fillId="29" borderId="50" xfId="0" applyFont="1" applyFill="1" applyBorder="1" applyAlignment="1">
      <alignment horizontal="left"/>
    </xf>
    <xf numFmtId="0" fontId="33" fillId="29" borderId="92" xfId="0" applyFont="1" applyFill="1" applyBorder="1" applyAlignment="1">
      <alignment horizontal="left" vertical="top" wrapText="1"/>
    </xf>
    <xf numFmtId="0" fontId="33" fillId="29" borderId="14" xfId="0" applyFont="1" applyFill="1" applyBorder="1" applyAlignment="1">
      <alignment horizontal="left" vertical="top" wrapText="1"/>
    </xf>
    <xf numFmtId="0" fontId="33" fillId="29" borderId="50" xfId="0" applyFont="1" applyFill="1" applyBorder="1" applyAlignment="1">
      <alignment horizontal="left" vertical="top" wrapText="1"/>
    </xf>
    <xf numFmtId="0" fontId="7" fillId="0" borderId="0" xfId="0" applyFont="1" applyAlignment="1">
      <alignment horizontal="center"/>
    </xf>
    <xf numFmtId="0" fontId="0" fillId="0" borderId="37"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10" xfId="0" applyFill="1" applyBorder="1" applyAlignment="1">
      <alignment horizontal="center"/>
    </xf>
    <xf numFmtId="0" fontId="4" fillId="0" borderId="104" xfId="0" applyFont="1" applyFill="1" applyBorder="1" applyAlignment="1">
      <alignment horizontal="center"/>
    </xf>
    <xf numFmtId="0" fontId="4" fillId="0" borderId="101" xfId="0" applyFont="1" applyFill="1" applyBorder="1" applyAlignment="1">
      <alignment horizontal="center"/>
    </xf>
    <xf numFmtId="0" fontId="4" fillId="0" borderId="59" xfId="0" applyFont="1" applyFill="1" applyBorder="1" applyAlignment="1">
      <alignment horizontal="center"/>
    </xf>
    <xf numFmtId="0" fontId="4" fillId="0" borderId="91" xfId="0" applyFont="1" applyFill="1" applyBorder="1" applyAlignment="1">
      <alignment horizontal="center" vertical="center" wrapText="1"/>
    </xf>
    <xf numFmtId="0" fontId="0" fillId="0" borderId="73" xfId="0" applyFill="1" applyBorder="1" applyAlignment="1">
      <alignment horizontal="center" vertical="center" wrapText="1"/>
    </xf>
    <xf numFmtId="0" fontId="1" fillId="0" borderId="0" xfId="0" applyFont="1" applyAlignment="1">
      <alignment wrapText="1"/>
    </xf>
    <xf numFmtId="0" fontId="4" fillId="0" borderId="29" xfId="0" applyFont="1" applyFill="1" applyBorder="1" applyAlignment="1">
      <alignment horizontal="center" vertical="top" wrapText="1"/>
    </xf>
    <xf numFmtId="0" fontId="4" fillId="0" borderId="10" xfId="0" applyFont="1" applyFill="1" applyBorder="1" applyAlignment="1">
      <alignment horizontal="center" vertical="top" wrapText="1"/>
    </xf>
    <xf numFmtId="0" fontId="1"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0" fillId="24" borderId="0" xfId="0" applyFill="1" applyAlignment="1">
      <alignment horizontal="left"/>
    </xf>
    <xf numFmtId="173" fontId="0" fillId="24" borderId="0" xfId="0" applyNumberFormat="1" applyFill="1" applyAlignment="1">
      <alignment horizontal="center"/>
    </xf>
    <xf numFmtId="0" fontId="0" fillId="0" borderId="43" xfId="0" applyBorder="1" applyAlignment="1">
      <alignment wrapText="1"/>
    </xf>
    <xf numFmtId="0" fontId="0" fillId="0" borderId="46" xfId="0" applyBorder="1" applyAlignment="1">
      <alignment wrapText="1"/>
    </xf>
    <xf numFmtId="9" fontId="1" fillId="24" borderId="34" xfId="45" applyFill="1" applyBorder="1" applyAlignment="1">
      <alignment wrapText="1"/>
    </xf>
    <xf numFmtId="9" fontId="1" fillId="0" borderId="36" xfId="45" applyBorder="1" applyAlignment="1">
      <alignment wrapText="1"/>
    </xf>
    <xf numFmtId="0" fontId="33" fillId="0" borderId="97" xfId="0" applyFont="1" applyBorder="1" applyAlignment="1">
      <alignment horizontal="center"/>
    </xf>
    <xf numFmtId="0" fontId="33" fillId="0" borderId="75" xfId="0" applyFont="1" applyBorder="1" applyAlignment="1">
      <alignment horizontal="center"/>
    </xf>
    <xf numFmtId="0" fontId="33" fillId="0" borderId="27" xfId="0" applyFont="1" applyBorder="1" applyAlignment="1">
      <alignment horizontal="center"/>
    </xf>
    <xf numFmtId="0" fontId="0" fillId="0" borderId="64" xfId="0" applyBorder="1" applyAlignment="1">
      <alignment horizontal="left" wrapText="1"/>
    </xf>
    <xf numFmtId="0" fontId="0" fillId="0" borderId="14" xfId="0" applyBorder="1" applyAlignment="1">
      <alignment horizontal="left" wrapText="1"/>
    </xf>
    <xf numFmtId="0" fontId="0" fillId="0" borderId="57" xfId="0" applyBorder="1" applyAlignment="1">
      <alignment horizontal="left" wrapText="1"/>
    </xf>
    <xf numFmtId="0" fontId="4" fillId="0" borderId="51" xfId="0" applyFont="1" applyBorder="1" applyAlignment="1">
      <alignment horizontal="left" wrapText="1"/>
    </xf>
    <xf numFmtId="0" fontId="4" fillId="0" borderId="35" xfId="0" applyFont="1" applyBorder="1" applyAlignment="1">
      <alignment horizontal="left" wrapText="1"/>
    </xf>
    <xf numFmtId="0" fontId="4" fillId="0" borderId="41" xfId="0" applyFont="1" applyBorder="1" applyAlignment="1">
      <alignment horizontal="left" wrapText="1"/>
    </xf>
    <xf numFmtId="0" fontId="0" fillId="0" borderId="45" xfId="0" applyBorder="1" applyAlignment="1">
      <alignment horizontal="left" wrapText="1"/>
    </xf>
    <xf numFmtId="0" fontId="0" fillId="0" borderId="0" xfId="0" applyBorder="1" applyAlignment="1">
      <alignment horizontal="left" wrapText="1"/>
    </xf>
    <xf numFmtId="0" fontId="0" fillId="0" borderId="20" xfId="0" applyBorder="1" applyAlignment="1">
      <alignment horizontal="left" wrapText="1"/>
    </xf>
    <xf numFmtId="0" fontId="24" fillId="24" borderId="67" xfId="0" applyFont="1" applyFill="1" applyBorder="1" applyAlignment="1">
      <alignment horizontal="left" wrapText="1"/>
    </xf>
    <xf numFmtId="0" fontId="0" fillId="24" borderId="15" xfId="0" applyFill="1" applyBorder="1" applyAlignment="1">
      <alignment horizontal="left" wrapText="1"/>
    </xf>
    <xf numFmtId="0" fontId="0" fillId="24" borderId="94" xfId="0" applyFill="1" applyBorder="1" applyAlignment="1">
      <alignment horizontal="left" wrapText="1"/>
    </xf>
    <xf numFmtId="0" fontId="4" fillId="0" borderId="88" xfId="0" applyFont="1" applyFill="1" applyBorder="1" applyAlignment="1">
      <alignment vertical="center" wrapText="1"/>
    </xf>
    <xf numFmtId="0" fontId="4" fillId="0" borderId="89" xfId="0" applyFont="1" applyFill="1" applyBorder="1" applyAlignment="1">
      <alignment vertical="center" wrapText="1"/>
    </xf>
    <xf numFmtId="0" fontId="4" fillId="0" borderId="45" xfId="0" applyFont="1" applyFill="1" applyBorder="1" applyAlignment="1">
      <alignment vertical="center" wrapText="1"/>
    </xf>
    <xf numFmtId="0" fontId="4" fillId="0" borderId="0" xfId="0" applyFont="1" applyFill="1" applyBorder="1" applyAlignment="1">
      <alignment vertical="center" wrapText="1"/>
    </xf>
    <xf numFmtId="0" fontId="4" fillId="0" borderId="63" xfId="0" applyFont="1" applyFill="1" applyBorder="1" applyAlignment="1">
      <alignment vertical="center" wrapText="1"/>
    </xf>
    <xf numFmtId="0" fontId="4" fillId="0" borderId="12" xfId="0" applyFont="1" applyFill="1" applyBorder="1" applyAlignment="1">
      <alignment vertical="center" wrapText="1"/>
    </xf>
    <xf numFmtId="0" fontId="0" fillId="0" borderId="98"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4" fillId="0" borderId="0" xfId="0" applyFont="1" applyAlignment="1">
      <alignment horizontal="center" vertical="top"/>
    </xf>
    <xf numFmtId="0" fontId="4" fillId="0" borderId="0" xfId="0" applyFont="1" applyAlignment="1">
      <alignment horizontal="center" vertical="top" wrapText="1"/>
    </xf>
    <xf numFmtId="0" fontId="24" fillId="0" borderId="0" xfId="0" applyFont="1" applyAlignment="1">
      <alignment horizontal="left" wrapText="1"/>
    </xf>
    <xf numFmtId="0" fontId="4" fillId="0" borderId="5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3"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0" xfId="0" applyFont="1" applyAlignment="1" applyProtection="1">
      <alignment horizontal="center" wrapText="1"/>
    </xf>
    <xf numFmtId="0" fontId="0" fillId="0" borderId="0" xfId="0" applyAlignment="1">
      <alignment horizontal="center" wrapText="1"/>
    </xf>
    <xf numFmtId="0" fontId="4" fillId="0" borderId="11" xfId="0" applyFont="1" applyFill="1" applyBorder="1" applyAlignment="1" applyProtection="1">
      <alignment horizontal="center" wrapText="1"/>
    </xf>
    <xf numFmtId="0" fontId="0" fillId="0" borderId="24" xfId="0" applyBorder="1" applyAlignment="1">
      <alignment wrapText="1"/>
    </xf>
    <xf numFmtId="0" fontId="4" fillId="0" borderId="20" xfId="0" applyFont="1" applyFill="1" applyBorder="1" applyAlignment="1" applyProtection="1">
      <alignment horizontal="center" wrapText="1"/>
    </xf>
    <xf numFmtId="0" fontId="31" fillId="26" borderId="0" xfId="0" applyFont="1" applyFill="1" applyBorder="1" applyAlignment="1" applyProtection="1">
      <alignment horizontal="left" indent="7"/>
    </xf>
    <xf numFmtId="0" fontId="4" fillId="0" borderId="92" xfId="0" applyFont="1" applyBorder="1" applyAlignment="1" applyProtection="1">
      <alignment horizontal="center"/>
    </xf>
    <xf numFmtId="0" fontId="4" fillId="0" borderId="14" xfId="0" applyFont="1" applyBorder="1" applyAlignment="1" applyProtection="1">
      <alignment horizontal="center"/>
    </xf>
    <xf numFmtId="0" fontId="4" fillId="0" borderId="57" xfId="0" applyFont="1" applyBorder="1" applyAlignment="1" applyProtection="1">
      <alignment horizontal="center"/>
    </xf>
    <xf numFmtId="0" fontId="6" fillId="24" borderId="0" xfId="0" applyFont="1" applyFill="1" applyAlignment="1" applyProtection="1">
      <alignment horizontal="center"/>
    </xf>
    <xf numFmtId="0" fontId="8" fillId="32" borderId="0" xfId="0" applyFont="1" applyFill="1" applyAlignment="1" applyProtection="1">
      <alignment horizontal="center"/>
    </xf>
    <xf numFmtId="173" fontId="0" fillId="24" borderId="0" xfId="0" applyNumberFormat="1" applyFill="1" applyAlignment="1">
      <alignment horizontal="left"/>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30"/>
    <cellStyle name="Currency 3" xfId="31"/>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xfId="38" builtinId="8"/>
    <cellStyle name="Input" xfId="39" builtinId="20" customBuiltin="1"/>
    <cellStyle name="Linked Cell" xfId="40" builtinId="24" customBuiltin="1"/>
    <cellStyle name="Neutral" xfId="41" builtinId="28" customBuiltin="1"/>
    <cellStyle name="Normal" xfId="0" builtinId="0"/>
    <cellStyle name="Normal 2" xfId="42"/>
    <cellStyle name="Note" xfId="43" builtinId="10" customBuiltin="1"/>
    <cellStyle name="Output" xfId="44" builtinId="21" customBuiltin="1"/>
    <cellStyle name="Percent" xfId="45" builtinId="5"/>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28575</xdr:colOff>
      <xdr:row>5</xdr:row>
      <xdr:rowOff>0</xdr:rowOff>
    </xdr:to>
    <xdr:grpSp>
      <xdr:nvGrpSpPr>
        <xdr:cNvPr id="37601" name="Group 10"/>
        <xdr:cNvGrpSpPr>
          <a:grpSpLocks/>
        </xdr:cNvGrpSpPr>
      </xdr:nvGrpSpPr>
      <xdr:grpSpPr bwMode="auto">
        <a:xfrm>
          <a:off x="0" y="0"/>
          <a:ext cx="10391775" cy="2571750"/>
          <a:chOff x="0" y="0"/>
          <a:chExt cx="1091" cy="270"/>
        </a:xfrm>
      </xdr:grpSpPr>
      <xdr:pic>
        <xdr:nvPicPr>
          <xdr:cNvPr id="3760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0" y="1"/>
            <a:ext cx="1090" cy="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pic>
        <xdr:nvPicPr>
          <xdr:cNvPr id="3760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94" y="0"/>
            <a:ext cx="49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pic>
        <xdr:nvPicPr>
          <xdr:cNvPr id="37604"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01"/>
            <a:ext cx="981" cy="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pic>
        <xdr:nvPicPr>
          <xdr:cNvPr id="3760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23" y="96"/>
            <a:ext cx="466"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1030" name="Text Box 6"/>
          <xdr:cNvSpPr txBox="1">
            <a:spLocks noChangeArrowheads="1"/>
          </xdr:cNvSpPr>
        </xdr:nvSpPr>
        <xdr:spPr bwMode="auto">
          <a:xfrm>
            <a:off x="611" y="95"/>
            <a:ext cx="443" cy="102"/>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400" b="1" i="0" u="none" strike="noStrike" baseline="0">
                <a:solidFill>
                  <a:srgbClr val="FF0000"/>
                </a:solidFill>
                <a:latin typeface="Book Antiqua"/>
              </a:rPr>
              <a:t>Filing Requirements for Transmission and Distribution Applications </a:t>
            </a:r>
          </a:p>
          <a:p>
            <a:pPr algn="ctr" rtl="0">
              <a:defRPr sz="1000"/>
            </a:pPr>
            <a:endParaRPr lang="en-US" sz="1400" b="1" i="0" u="none" strike="noStrike" baseline="0">
              <a:solidFill>
                <a:srgbClr val="FF0000"/>
              </a:solidFill>
              <a:latin typeface="Book Antiqua"/>
            </a:endParaRPr>
          </a:p>
          <a:p>
            <a:pPr algn="ctr" rtl="0">
              <a:defRPr sz="1000"/>
            </a:pPr>
            <a:r>
              <a:rPr lang="en-US" sz="1400" b="1" i="0" u="none" strike="noStrike" baseline="0">
                <a:solidFill>
                  <a:srgbClr val="FF0000"/>
                </a:solidFill>
                <a:latin typeface="Book Antiqua"/>
              </a:rPr>
              <a:t>Chapter 2 - Cost of Service Applications</a:t>
            </a:r>
          </a:p>
        </xdr:txBody>
      </xdr:sp>
      <xdr:sp macro="" textlink="">
        <xdr:nvSpPr>
          <xdr:cNvPr id="1031" name="Text Box 7"/>
          <xdr:cNvSpPr txBox="1">
            <a:spLocks noChangeArrowheads="1"/>
          </xdr:cNvSpPr>
        </xdr:nvSpPr>
        <xdr:spPr bwMode="auto">
          <a:xfrm>
            <a:off x="114" y="219"/>
            <a:ext cx="854" cy="33"/>
          </a:xfrm>
          <a:prstGeom prst="rect">
            <a:avLst/>
          </a:prstGeom>
          <a:noFill/>
          <a:ln w="9525">
            <a:no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FFFFFF"/>
                </a:solidFill>
                <a:latin typeface="Book Antiqua"/>
              </a:rPr>
              <a:t>Excel Spreadsheet Versions of Chapter 2 Appendices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6</xdr:col>
      <xdr:colOff>571500</xdr:colOff>
      <xdr:row>37</xdr:row>
      <xdr:rowOff>114300</xdr:rowOff>
    </xdr:to>
    <xdr:pic>
      <xdr:nvPicPr>
        <xdr:cNvPr id="434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590675"/>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acon/Documents/ELK/2012%20Rate%20Application/Filed%20Models%20-%20September%2019,%202012/ELK%20Revenue%20Requirement%20Model%20-%202012%20CGAAP-August%2010,%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bacon/Documents/ELK/2012%20Rate%20Application/2006%20Appl/EDR%202006%20Model%20(v2.1)%20ED-2003-015%20v3_DECI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bacon/Documents/ELK/2012%20Rate%20Application/Filed%20Models%20-%20September%2019,%202012/ELK%20Energy%202012%20Load%20Forecast%20May%2023,%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bacon/Documents/ELK/2012%20Rate%20Application/Cost%20Allocation/E.L.K.%20Energy%20Inc._Detailed_CA_model_Run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bacon/Documents/ELK/2012%20Rate%20Application/Filed%20Models%20-%20September%2019,%202012/ELK%202012%20CA_Model_V2_July%2023%202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bacon/Documents/ELK/2012%20Rate%20Application/Filed%20Models%20-%20September%2019,%202012/ELK%20Rate%20Design%20Model-%2020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bbacon/Documents/ELK/2012%20Rate%20Application/Filed%20Models%20-%20September%2019,%202012/ELK_2012_smart_meter_modelV4%20FINAL%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FA Continuity 2010"/>
      <sheetName val="FA Continuity 2011"/>
      <sheetName val="FA Continuity 2012"/>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Trial Balance"/>
      <sheetName val="Return on Capital"/>
      <sheetName val="Debt &amp; Capital Structure"/>
      <sheetName val="Tax rates"/>
      <sheetName val="CCA Continuity 2011"/>
      <sheetName val="CCA Continuity 2012"/>
      <sheetName val="Reserves Continuity"/>
      <sheetName val="Corporation Loss Continuity"/>
      <sheetName val="Tax Adjustments 2011"/>
      <sheetName val="Tax Adjustments 2012"/>
      <sheetName val="2012 Rev Deficiency"/>
      <sheetName val="Capital Tax &amp; Expense Schedules"/>
      <sheetName val="Revenue Requirement"/>
    </sheetNames>
    <sheetDataSet>
      <sheetData sheetId="0"/>
      <sheetData sheetId="1">
        <row r="10">
          <cell r="B10">
            <v>1805</v>
          </cell>
          <cell r="C10" t="str">
            <v>Land</v>
          </cell>
          <cell r="D10">
            <v>2112</v>
          </cell>
          <cell r="G10">
            <v>2112</v>
          </cell>
          <cell r="I10">
            <v>0</v>
          </cell>
          <cell r="L10">
            <v>0</v>
          </cell>
          <cell r="M10">
            <v>2112</v>
          </cell>
        </row>
        <row r="11">
          <cell r="B11">
            <v>1806</v>
          </cell>
          <cell r="C11" t="str">
            <v>Land Rights</v>
          </cell>
          <cell r="G11">
            <v>0</v>
          </cell>
          <cell r="L11">
            <v>0</v>
          </cell>
          <cell r="M11">
            <v>0</v>
          </cell>
        </row>
        <row r="12">
          <cell r="B12">
            <v>1808</v>
          </cell>
          <cell r="C12" t="str">
            <v>Buildings and Fixtures</v>
          </cell>
          <cell r="G12">
            <v>0</v>
          </cell>
          <cell r="L12">
            <v>0</v>
          </cell>
          <cell r="M12">
            <v>0</v>
          </cell>
        </row>
        <row r="13">
          <cell r="B13">
            <v>1810</v>
          </cell>
          <cell r="C13" t="str">
            <v>Leasehold Improvements</v>
          </cell>
          <cell r="G13">
            <v>0</v>
          </cell>
          <cell r="L13">
            <v>0</v>
          </cell>
          <cell r="M13">
            <v>0</v>
          </cell>
        </row>
        <row r="14">
          <cell r="B14">
            <v>1815</v>
          </cell>
          <cell r="C14" t="str">
            <v>Transformer Station Equipment - Normally Primary above 50 kV</v>
          </cell>
          <cell r="G14">
            <v>0</v>
          </cell>
          <cell r="L14">
            <v>0</v>
          </cell>
          <cell r="M14">
            <v>0</v>
          </cell>
        </row>
        <row r="15">
          <cell r="B15">
            <v>1820</v>
          </cell>
          <cell r="C15" t="str">
            <v>Distribution Station Equipment - Normally Primary below 50 kV</v>
          </cell>
          <cell r="D15">
            <v>142098.48000000001</v>
          </cell>
          <cell r="G15">
            <v>142098.48000000001</v>
          </cell>
          <cell r="I15">
            <v>142098.48000000001</v>
          </cell>
          <cell r="J15">
            <v>61.97</v>
          </cell>
          <cell r="L15">
            <v>142160.45000000001</v>
          </cell>
          <cell r="M15">
            <v>-61.970000000001164</v>
          </cell>
        </row>
        <row r="16">
          <cell r="B16">
            <v>1825</v>
          </cell>
          <cell r="C16" t="str">
            <v>Storage Battery Equipment</v>
          </cell>
          <cell r="G16">
            <v>0</v>
          </cell>
          <cell r="L16">
            <v>0</v>
          </cell>
          <cell r="M16">
            <v>0</v>
          </cell>
        </row>
        <row r="17">
          <cell r="B17">
            <v>1830</v>
          </cell>
          <cell r="C17" t="str">
            <v>Poles, Towers and Fixtures</v>
          </cell>
          <cell r="D17">
            <v>444429.93</v>
          </cell>
          <cell r="E17">
            <v>27725.5</v>
          </cell>
          <cell r="G17">
            <v>472155.43</v>
          </cell>
          <cell r="I17">
            <v>39680.519999999997</v>
          </cell>
          <cell r="J17">
            <v>18331.68</v>
          </cell>
          <cell r="L17">
            <v>58012.2</v>
          </cell>
          <cell r="M17">
            <v>414143.23</v>
          </cell>
        </row>
        <row r="18">
          <cell r="B18">
            <v>1835</v>
          </cell>
          <cell r="C18" t="str">
            <v>Overhead Conductors and Devices</v>
          </cell>
          <cell r="D18">
            <v>5439115.3700000001</v>
          </cell>
          <cell r="E18">
            <v>72103.48</v>
          </cell>
          <cell r="G18">
            <v>5511218.8500000006</v>
          </cell>
          <cell r="I18">
            <v>2943963.46</v>
          </cell>
          <cell r="J18">
            <v>213858.89</v>
          </cell>
          <cell r="L18">
            <v>3157822.35</v>
          </cell>
          <cell r="M18">
            <v>2353396.5000000005</v>
          </cell>
        </row>
        <row r="19">
          <cell r="B19">
            <v>1840</v>
          </cell>
          <cell r="C19" t="str">
            <v>Underground Conduit</v>
          </cell>
          <cell r="D19">
            <v>488017.23</v>
          </cell>
          <cell r="E19">
            <v>131979.6</v>
          </cell>
          <cell r="G19">
            <v>619996.82999999996</v>
          </cell>
          <cell r="I19">
            <v>31362.27</v>
          </cell>
          <cell r="J19">
            <v>22160.28</v>
          </cell>
          <cell r="L19">
            <v>53522.55</v>
          </cell>
          <cell r="M19">
            <v>566474.27999999991</v>
          </cell>
        </row>
        <row r="20">
          <cell r="B20">
            <v>1845</v>
          </cell>
          <cell r="C20" t="str">
            <v>Underground Conductors and Devices</v>
          </cell>
          <cell r="D20">
            <v>6156447.1100000003</v>
          </cell>
          <cell r="E20">
            <v>207934.52</v>
          </cell>
          <cell r="G20">
            <v>6364381.6299999999</v>
          </cell>
          <cell r="I20">
            <v>3028251</v>
          </cell>
          <cell r="J20">
            <v>233221.37</v>
          </cell>
          <cell r="L20">
            <v>3261472.37</v>
          </cell>
          <cell r="M20">
            <v>3102909.26</v>
          </cell>
        </row>
        <row r="21">
          <cell r="B21">
            <v>1850</v>
          </cell>
          <cell r="C21" t="str">
            <v>Line Transformers</v>
          </cell>
          <cell r="D21">
            <v>4411293.93</v>
          </cell>
          <cell r="E21">
            <v>56484.65</v>
          </cell>
          <cell r="G21">
            <v>4467778.58</v>
          </cell>
          <cell r="I21">
            <v>2291210</v>
          </cell>
          <cell r="J21">
            <v>148839.60999999999</v>
          </cell>
          <cell r="L21">
            <v>2440049.61</v>
          </cell>
          <cell r="M21">
            <v>2027728.9700000002</v>
          </cell>
        </row>
        <row r="22">
          <cell r="B22">
            <v>1855</v>
          </cell>
          <cell r="C22" t="str">
            <v>Services</v>
          </cell>
          <cell r="D22">
            <v>235736.65</v>
          </cell>
          <cell r="E22">
            <v>88092.14</v>
          </cell>
          <cell r="G22">
            <v>323828.78999999998</v>
          </cell>
          <cell r="I22">
            <v>21570.9</v>
          </cell>
          <cell r="J22">
            <v>11191.31</v>
          </cell>
          <cell r="L22">
            <v>32762.21</v>
          </cell>
          <cell r="M22">
            <v>291066.57999999996</v>
          </cell>
        </row>
        <row r="23">
          <cell r="B23">
            <v>1860</v>
          </cell>
          <cell r="C23" t="str">
            <v>Meters</v>
          </cell>
          <cell r="D23">
            <v>879822.03</v>
          </cell>
          <cell r="E23">
            <v>52061.47</v>
          </cell>
          <cell r="G23">
            <v>931883.5</v>
          </cell>
          <cell r="I23">
            <v>526114.64</v>
          </cell>
          <cell r="J23">
            <v>1041.23</v>
          </cell>
          <cell r="L23">
            <v>527155.87</v>
          </cell>
          <cell r="M23">
            <v>404727.63</v>
          </cell>
        </row>
        <row r="24">
          <cell r="B24">
            <v>1865</v>
          </cell>
          <cell r="C24" t="str">
            <v>Other Installations on Customer's Premises</v>
          </cell>
          <cell r="G24">
            <v>0</v>
          </cell>
          <cell r="L24">
            <v>0</v>
          </cell>
          <cell r="M24">
            <v>0</v>
          </cell>
        </row>
        <row r="25">
          <cell r="B25">
            <v>1905</v>
          </cell>
          <cell r="C25" t="str">
            <v>Land</v>
          </cell>
          <cell r="D25">
            <v>154265.01999999999</v>
          </cell>
          <cell r="E25">
            <v>17500</v>
          </cell>
          <cell r="G25">
            <v>171765.02</v>
          </cell>
          <cell r="L25">
            <v>0</v>
          </cell>
          <cell r="M25">
            <v>171765.02</v>
          </cell>
        </row>
        <row r="26">
          <cell r="B26">
            <v>1906</v>
          </cell>
          <cell r="C26" t="str">
            <v>Land Rights</v>
          </cell>
          <cell r="D26">
            <v>2724.73</v>
          </cell>
          <cell r="F26">
            <v>180</v>
          </cell>
          <cell r="G26">
            <v>2544.73</v>
          </cell>
          <cell r="I26">
            <v>2724.73</v>
          </cell>
          <cell r="L26">
            <v>2724.73</v>
          </cell>
          <cell r="M26">
            <v>-180</v>
          </cell>
        </row>
        <row r="27">
          <cell r="B27">
            <v>1908</v>
          </cell>
          <cell r="C27" t="str">
            <v>Buildings and Fixtures</v>
          </cell>
          <cell r="D27">
            <v>791546.86</v>
          </cell>
          <cell r="G27">
            <v>791546.86</v>
          </cell>
          <cell r="I27">
            <v>329872.15000000002</v>
          </cell>
          <cell r="J27">
            <v>17023.05</v>
          </cell>
          <cell r="L27">
            <v>346895.2</v>
          </cell>
          <cell r="M27">
            <v>444651.66</v>
          </cell>
        </row>
        <row r="28">
          <cell r="B28">
            <v>1910</v>
          </cell>
          <cell r="C28" t="str">
            <v>Leasehold Improvements</v>
          </cell>
          <cell r="G28">
            <v>0</v>
          </cell>
          <cell r="L28">
            <v>0</v>
          </cell>
          <cell r="M28">
            <v>0</v>
          </cell>
        </row>
        <row r="29">
          <cell r="B29">
            <v>1915</v>
          </cell>
          <cell r="C29" t="str">
            <v>Office Furniture and Equipment</v>
          </cell>
          <cell r="D29">
            <v>199499.47</v>
          </cell>
          <cell r="E29">
            <v>9953.84</v>
          </cell>
          <cell r="G29">
            <v>209453.31</v>
          </cell>
          <cell r="I29">
            <v>158147.59</v>
          </cell>
          <cell r="J29">
            <v>6395.54</v>
          </cell>
          <cell r="L29">
            <v>164543.13</v>
          </cell>
          <cell r="M29">
            <v>44910.179999999993</v>
          </cell>
        </row>
        <row r="30">
          <cell r="B30">
            <v>1920</v>
          </cell>
          <cell r="C30" t="str">
            <v>Computer Equipment - Hardware</v>
          </cell>
          <cell r="D30">
            <v>277477.64</v>
          </cell>
          <cell r="E30">
            <v>3979.8</v>
          </cell>
          <cell r="G30">
            <v>281457.44</v>
          </cell>
          <cell r="I30">
            <v>206399.86</v>
          </cell>
          <cell r="J30">
            <v>22231.09</v>
          </cell>
          <cell r="L30">
            <v>228630.94999999998</v>
          </cell>
          <cell r="M30">
            <v>52826.49000000002</v>
          </cell>
        </row>
        <row r="31">
          <cell r="B31">
            <v>1925</v>
          </cell>
          <cell r="C31" t="str">
            <v>Computer Software</v>
          </cell>
          <cell r="D31">
            <v>57699.83</v>
          </cell>
          <cell r="G31">
            <v>57699.83</v>
          </cell>
          <cell r="I31">
            <v>37739.449999999997</v>
          </cell>
          <cell r="J31">
            <v>8644.66</v>
          </cell>
          <cell r="L31">
            <v>46384.11</v>
          </cell>
          <cell r="M31">
            <v>11315.720000000001</v>
          </cell>
        </row>
        <row r="32">
          <cell r="B32">
            <v>1930</v>
          </cell>
          <cell r="C32" t="str">
            <v>Transportation Equipment</v>
          </cell>
          <cell r="D32">
            <v>1393824.56</v>
          </cell>
          <cell r="E32">
            <v>16095.68</v>
          </cell>
          <cell r="G32">
            <v>1409920.24</v>
          </cell>
          <cell r="I32">
            <v>1259934.1100000001</v>
          </cell>
          <cell r="J32">
            <v>40042.959999999999</v>
          </cell>
          <cell r="L32">
            <v>1299977.07</v>
          </cell>
          <cell r="M32">
            <v>109943.16999999993</v>
          </cell>
        </row>
        <row r="33">
          <cell r="B33">
            <v>1935</v>
          </cell>
          <cell r="C33" t="str">
            <v>Stores Equipment</v>
          </cell>
          <cell r="G33">
            <v>0</v>
          </cell>
          <cell r="L33">
            <v>0</v>
          </cell>
          <cell r="M33">
            <v>0</v>
          </cell>
        </row>
        <row r="34">
          <cell r="B34">
            <v>1940</v>
          </cell>
          <cell r="C34" t="str">
            <v>Tools, Shop and Garage Equipment</v>
          </cell>
          <cell r="D34">
            <v>304043.57</v>
          </cell>
          <cell r="E34">
            <v>8255.1299999999992</v>
          </cell>
          <cell r="G34">
            <v>312298.7</v>
          </cell>
          <cell r="I34">
            <v>252992.34</v>
          </cell>
          <cell r="J34">
            <v>6417.55</v>
          </cell>
          <cell r="L34">
            <v>259409.88999999998</v>
          </cell>
          <cell r="M34">
            <v>52888.810000000027</v>
          </cell>
        </row>
        <row r="35">
          <cell r="B35">
            <v>1945</v>
          </cell>
          <cell r="C35" t="str">
            <v>Measurement and Testing Equipment</v>
          </cell>
          <cell r="G35">
            <v>0</v>
          </cell>
          <cell r="L35">
            <v>0</v>
          </cell>
          <cell r="M35">
            <v>0</v>
          </cell>
        </row>
        <row r="36">
          <cell r="B36">
            <v>1950</v>
          </cell>
          <cell r="C36" t="str">
            <v>Power Operated Equipment</v>
          </cell>
          <cell r="G36">
            <v>0</v>
          </cell>
          <cell r="L36">
            <v>0</v>
          </cell>
          <cell r="M36">
            <v>0</v>
          </cell>
        </row>
        <row r="37">
          <cell r="B37">
            <v>1955</v>
          </cell>
          <cell r="C37" t="str">
            <v>Communication Equipment</v>
          </cell>
          <cell r="D37">
            <v>22009</v>
          </cell>
          <cell r="E37">
            <v>2595</v>
          </cell>
          <cell r="G37">
            <v>24604</v>
          </cell>
          <cell r="I37">
            <v>14410.88</v>
          </cell>
          <cell r="J37">
            <v>1517.09</v>
          </cell>
          <cell r="L37">
            <v>15927.97</v>
          </cell>
          <cell r="M37">
            <v>8676.0300000000007</v>
          </cell>
        </row>
        <row r="38">
          <cell r="B38">
            <v>1960</v>
          </cell>
          <cell r="C38" t="str">
            <v>Miscellaneous Equipment</v>
          </cell>
          <cell r="G38">
            <v>0</v>
          </cell>
          <cell r="L38">
            <v>0</v>
          </cell>
          <cell r="M38">
            <v>0</v>
          </cell>
        </row>
        <row r="39">
          <cell r="B39">
            <v>1970</v>
          </cell>
          <cell r="C39" t="str">
            <v xml:space="preserve">Load Management Controls - Customer Premises </v>
          </cell>
          <cell r="G39">
            <v>0</v>
          </cell>
          <cell r="L39">
            <v>0</v>
          </cell>
          <cell r="M39">
            <v>0</v>
          </cell>
        </row>
        <row r="40">
          <cell r="B40">
            <v>1975</v>
          </cell>
          <cell r="C40" t="str">
            <v>Load Management Controls - Utility Premises</v>
          </cell>
          <cell r="G40">
            <v>0</v>
          </cell>
          <cell r="L40">
            <v>0</v>
          </cell>
          <cell r="M40">
            <v>0</v>
          </cell>
        </row>
        <row r="41">
          <cell r="B41">
            <v>1980</v>
          </cell>
          <cell r="C41" t="str">
            <v>System Supervisory Equipment</v>
          </cell>
          <cell r="G41">
            <v>0</v>
          </cell>
          <cell r="L41">
            <v>0</v>
          </cell>
          <cell r="M41">
            <v>0</v>
          </cell>
        </row>
        <row r="42">
          <cell r="B42">
            <v>1985</v>
          </cell>
          <cell r="C42" t="str">
            <v>Sentinel Lighting Rentals</v>
          </cell>
          <cell r="G42">
            <v>0</v>
          </cell>
          <cell r="L42">
            <v>0</v>
          </cell>
          <cell r="M42">
            <v>0</v>
          </cell>
        </row>
        <row r="43">
          <cell r="B43">
            <v>1990</v>
          </cell>
          <cell r="C43" t="str">
            <v>Other Tangible Property</v>
          </cell>
          <cell r="G43">
            <v>0</v>
          </cell>
          <cell r="L43">
            <v>0</v>
          </cell>
          <cell r="M43">
            <v>0</v>
          </cell>
        </row>
        <row r="44">
          <cell r="B44">
            <v>1995</v>
          </cell>
          <cell r="C44" t="str">
            <v>Contributions and Grants</v>
          </cell>
          <cell r="D44">
            <v>-2473860.0699999998</v>
          </cell>
          <cell r="E44">
            <v>-391998.04</v>
          </cell>
          <cell r="G44">
            <v>-2865858.11</v>
          </cell>
          <cell r="I44">
            <v>-249278.53</v>
          </cell>
          <cell r="J44">
            <v>-108320.15</v>
          </cell>
          <cell r="L44">
            <v>-357598.68</v>
          </cell>
          <cell r="M44">
            <v>-2508259.4299999997</v>
          </cell>
        </row>
        <row r="45">
          <cell r="B45">
            <v>2005</v>
          </cell>
          <cell r="C45" t="str">
            <v>Property under Capital Lease</v>
          </cell>
          <cell r="G45">
            <v>0</v>
          </cell>
          <cell r="L45">
            <v>0</v>
          </cell>
          <cell r="M45">
            <v>0</v>
          </cell>
        </row>
        <row r="52">
          <cell r="J52">
            <v>40042.959999999999</v>
          </cell>
        </row>
        <row r="53">
          <cell r="J53">
            <v>7934.64</v>
          </cell>
        </row>
      </sheetData>
      <sheetData sheetId="2">
        <row r="10">
          <cell r="B10">
            <v>1805</v>
          </cell>
          <cell r="C10" t="str">
            <v>Land</v>
          </cell>
          <cell r="D10">
            <v>2112</v>
          </cell>
          <cell r="G10">
            <v>2112</v>
          </cell>
          <cell r="I10">
            <v>0</v>
          </cell>
          <cell r="L10">
            <v>0</v>
          </cell>
          <cell r="M10">
            <v>2112</v>
          </cell>
        </row>
        <row r="11">
          <cell r="B11">
            <v>1806</v>
          </cell>
          <cell r="C11" t="str">
            <v>Land Rights</v>
          </cell>
          <cell r="D11">
            <v>0</v>
          </cell>
          <cell r="G11">
            <v>0</v>
          </cell>
          <cell r="I11">
            <v>0</v>
          </cell>
          <cell r="L11">
            <v>0</v>
          </cell>
          <cell r="M11">
            <v>0</v>
          </cell>
        </row>
        <row r="12">
          <cell r="B12">
            <v>1808</v>
          </cell>
          <cell r="C12" t="str">
            <v>Buildings and Fixtures</v>
          </cell>
          <cell r="D12">
            <v>0</v>
          </cell>
          <cell r="G12">
            <v>0</v>
          </cell>
          <cell r="I12">
            <v>0</v>
          </cell>
          <cell r="L12">
            <v>0</v>
          </cell>
          <cell r="M12">
            <v>0</v>
          </cell>
        </row>
        <row r="13">
          <cell r="B13">
            <v>1810</v>
          </cell>
          <cell r="C13" t="str">
            <v>Leasehold Improvements</v>
          </cell>
          <cell r="D13">
            <v>0</v>
          </cell>
          <cell r="G13">
            <v>0</v>
          </cell>
          <cell r="I13">
            <v>0</v>
          </cell>
          <cell r="L13">
            <v>0</v>
          </cell>
          <cell r="M13">
            <v>0</v>
          </cell>
        </row>
        <row r="14">
          <cell r="B14">
            <v>1815</v>
          </cell>
          <cell r="C14" t="str">
            <v>Transformer Station Equipment - Normally Primary above 50 kV</v>
          </cell>
          <cell r="D14">
            <v>0</v>
          </cell>
          <cell r="G14">
            <v>0</v>
          </cell>
          <cell r="I14">
            <v>0</v>
          </cell>
          <cell r="L14">
            <v>0</v>
          </cell>
          <cell r="M14">
            <v>0</v>
          </cell>
        </row>
        <row r="15">
          <cell r="B15">
            <v>1820</v>
          </cell>
          <cell r="C15" t="str">
            <v>Distribution Station Equipment - Normally Primary below 50 kV</v>
          </cell>
          <cell r="D15">
            <v>142098.48000000001</v>
          </cell>
          <cell r="G15">
            <v>142098.48000000001</v>
          </cell>
          <cell r="I15">
            <v>142160.45000000001</v>
          </cell>
          <cell r="J15">
            <v>61.97</v>
          </cell>
          <cell r="L15">
            <v>142222.42000000001</v>
          </cell>
          <cell r="M15">
            <v>-123.94000000000233</v>
          </cell>
        </row>
        <row r="16">
          <cell r="B16">
            <v>1825</v>
          </cell>
          <cell r="C16" t="str">
            <v>Storage Battery Equipment</v>
          </cell>
          <cell r="D16">
            <v>0</v>
          </cell>
          <cell r="G16">
            <v>0</v>
          </cell>
          <cell r="I16">
            <v>0</v>
          </cell>
          <cell r="L16">
            <v>0</v>
          </cell>
          <cell r="M16">
            <v>0</v>
          </cell>
        </row>
        <row r="17">
          <cell r="B17">
            <v>1830</v>
          </cell>
          <cell r="C17" t="str">
            <v>Poles, Towers and Fixtures</v>
          </cell>
          <cell r="D17">
            <v>472155.43</v>
          </cell>
          <cell r="E17">
            <v>97064.23</v>
          </cell>
          <cell r="G17">
            <v>569219.66</v>
          </cell>
          <cell r="I17">
            <v>58012.2</v>
          </cell>
          <cell r="J17">
            <v>20827.48</v>
          </cell>
          <cell r="L17">
            <v>78839.679999999993</v>
          </cell>
          <cell r="M17">
            <v>490379.98000000004</v>
          </cell>
        </row>
        <row r="18">
          <cell r="B18">
            <v>1835</v>
          </cell>
          <cell r="C18" t="str">
            <v>Overhead Conductors and Devices</v>
          </cell>
          <cell r="D18">
            <v>5511218.8500000006</v>
          </cell>
          <cell r="E18">
            <v>109425.01</v>
          </cell>
          <cell r="G18">
            <v>5620643.8600000003</v>
          </cell>
          <cell r="I18">
            <v>3157822.35</v>
          </cell>
          <cell r="J18">
            <v>217489.46</v>
          </cell>
          <cell r="L18">
            <v>3375311.81</v>
          </cell>
          <cell r="M18">
            <v>2245332.0500000003</v>
          </cell>
        </row>
        <row r="19">
          <cell r="B19">
            <v>1840</v>
          </cell>
          <cell r="C19" t="str">
            <v>Underground Conduit</v>
          </cell>
          <cell r="D19">
            <v>619996.82999999996</v>
          </cell>
          <cell r="E19">
            <v>76103.87</v>
          </cell>
          <cell r="G19">
            <v>696100.7</v>
          </cell>
          <cell r="I19">
            <v>53522.55</v>
          </cell>
          <cell r="J19">
            <v>26321.95</v>
          </cell>
          <cell r="L19">
            <v>79844.5</v>
          </cell>
          <cell r="M19">
            <v>616256.19999999995</v>
          </cell>
        </row>
        <row r="20">
          <cell r="B20">
            <v>1845</v>
          </cell>
          <cell r="C20" t="str">
            <v>Underground Conductors and Devices</v>
          </cell>
          <cell r="D20">
            <v>6364381.6299999999</v>
          </cell>
          <cell r="E20">
            <v>228186.7</v>
          </cell>
          <cell r="G20">
            <v>6592568.3300000001</v>
          </cell>
          <cell r="I20">
            <v>3261472.37</v>
          </cell>
          <cell r="J20">
            <v>241943.79</v>
          </cell>
          <cell r="L20">
            <v>3503416.16</v>
          </cell>
          <cell r="M20">
            <v>3089152.17</v>
          </cell>
        </row>
        <row r="21">
          <cell r="B21">
            <v>1850</v>
          </cell>
          <cell r="C21" t="str">
            <v>Line Transformers</v>
          </cell>
          <cell r="D21">
            <v>4467778.58</v>
          </cell>
          <cell r="E21">
            <v>487210.68</v>
          </cell>
          <cell r="G21">
            <v>4954989.26</v>
          </cell>
          <cell r="I21">
            <v>2440049.61</v>
          </cell>
          <cell r="J21">
            <v>159713.51999999999</v>
          </cell>
          <cell r="L21">
            <v>2599763.13</v>
          </cell>
          <cell r="M21">
            <v>2355226.13</v>
          </cell>
        </row>
        <row r="22">
          <cell r="B22">
            <v>1855</v>
          </cell>
          <cell r="C22" t="str">
            <v>Services</v>
          </cell>
          <cell r="D22">
            <v>323828.78999999998</v>
          </cell>
          <cell r="E22">
            <v>88112.5</v>
          </cell>
          <cell r="G22">
            <v>411941.29</v>
          </cell>
          <cell r="I22">
            <v>32762.21</v>
          </cell>
          <cell r="J22">
            <v>14715.4</v>
          </cell>
          <cell r="L22">
            <v>47477.61</v>
          </cell>
          <cell r="M22">
            <v>364463.68</v>
          </cell>
        </row>
        <row r="23">
          <cell r="B23">
            <v>1860</v>
          </cell>
          <cell r="C23" t="str">
            <v>Meters</v>
          </cell>
          <cell r="D23">
            <v>931883.5</v>
          </cell>
          <cell r="E23">
            <v>276450.34999999998</v>
          </cell>
          <cell r="G23">
            <v>1208333.8500000001</v>
          </cell>
          <cell r="I23">
            <v>527155.87</v>
          </cell>
          <cell r="J23">
            <v>33994.1</v>
          </cell>
          <cell r="L23">
            <v>561149.97</v>
          </cell>
          <cell r="M23">
            <v>647183.88000000012</v>
          </cell>
        </row>
        <row r="24">
          <cell r="B24">
            <v>1865</v>
          </cell>
          <cell r="C24" t="str">
            <v>Other Installations on Customer's Premises</v>
          </cell>
          <cell r="D24">
            <v>0</v>
          </cell>
          <cell r="G24">
            <v>0</v>
          </cell>
          <cell r="I24">
            <v>0</v>
          </cell>
          <cell r="L24">
            <v>0</v>
          </cell>
          <cell r="M24">
            <v>0</v>
          </cell>
        </row>
        <row r="25">
          <cell r="B25">
            <v>1905</v>
          </cell>
          <cell r="C25" t="str">
            <v>Land</v>
          </cell>
          <cell r="D25">
            <v>171765.02</v>
          </cell>
          <cell r="G25">
            <v>171765.02</v>
          </cell>
          <cell r="I25">
            <v>0</v>
          </cell>
          <cell r="L25">
            <v>0</v>
          </cell>
          <cell r="M25">
            <v>171765.02</v>
          </cell>
        </row>
        <row r="26">
          <cell r="B26">
            <v>1906</v>
          </cell>
          <cell r="C26" t="str">
            <v>Land Rights</v>
          </cell>
          <cell r="D26">
            <v>2544.73</v>
          </cell>
          <cell r="G26">
            <v>2544.73</v>
          </cell>
          <cell r="I26">
            <v>2724.73</v>
          </cell>
          <cell r="J26">
            <v>0</v>
          </cell>
          <cell r="L26">
            <v>2724.73</v>
          </cell>
          <cell r="M26">
            <v>-180</v>
          </cell>
        </row>
        <row r="27">
          <cell r="B27">
            <v>1908</v>
          </cell>
          <cell r="C27" t="str">
            <v>Buildings and Fixtures</v>
          </cell>
          <cell r="D27">
            <v>791546.86</v>
          </cell>
          <cell r="E27">
            <v>57481.25</v>
          </cell>
          <cell r="G27">
            <v>849028.11</v>
          </cell>
          <cell r="I27">
            <v>346895.2</v>
          </cell>
          <cell r="J27">
            <v>17597.86</v>
          </cell>
          <cell r="L27">
            <v>364493.06</v>
          </cell>
          <cell r="M27">
            <v>484535.05</v>
          </cell>
        </row>
        <row r="28">
          <cell r="B28">
            <v>1910</v>
          </cell>
          <cell r="C28" t="str">
            <v>Leasehold Improvements</v>
          </cell>
          <cell r="D28">
            <v>0</v>
          </cell>
          <cell r="G28">
            <v>0</v>
          </cell>
          <cell r="I28">
            <v>0</v>
          </cell>
          <cell r="L28">
            <v>0</v>
          </cell>
          <cell r="M28">
            <v>0</v>
          </cell>
        </row>
        <row r="29">
          <cell r="B29">
            <v>1915</v>
          </cell>
          <cell r="C29" t="str">
            <v>Office Furniture and Equipment</v>
          </cell>
          <cell r="D29">
            <v>209453.31</v>
          </cell>
          <cell r="E29">
            <v>5514.03</v>
          </cell>
          <cell r="G29">
            <v>214967.34</v>
          </cell>
          <cell r="I29">
            <v>164543.13</v>
          </cell>
          <cell r="J29">
            <v>7168.93</v>
          </cell>
          <cell r="L29">
            <v>171712.06</v>
          </cell>
          <cell r="M29">
            <v>43255.28</v>
          </cell>
        </row>
        <row r="30">
          <cell r="B30">
            <v>1920</v>
          </cell>
          <cell r="C30" t="str">
            <v>Computer Equipment - Hardware</v>
          </cell>
          <cell r="D30">
            <v>281457.44</v>
          </cell>
          <cell r="E30">
            <v>47140.9</v>
          </cell>
          <cell r="G30">
            <v>328598.34000000003</v>
          </cell>
          <cell r="I30">
            <v>228630.94999999998</v>
          </cell>
          <cell r="J30">
            <v>25801.98</v>
          </cell>
          <cell r="L30">
            <v>254432.93</v>
          </cell>
          <cell r="M30">
            <v>74165.410000000033</v>
          </cell>
        </row>
        <row r="31">
          <cell r="B31">
            <v>1925</v>
          </cell>
          <cell r="C31" t="str">
            <v>Computer Software</v>
          </cell>
          <cell r="D31">
            <v>57699.83</v>
          </cell>
          <cell r="E31">
            <v>85691.29</v>
          </cell>
          <cell r="G31">
            <v>143391.12</v>
          </cell>
          <cell r="I31">
            <v>46384.11</v>
          </cell>
          <cell r="J31">
            <v>7481.38</v>
          </cell>
          <cell r="L31">
            <v>53865.49</v>
          </cell>
          <cell r="M31">
            <v>89525.63</v>
          </cell>
        </row>
        <row r="32">
          <cell r="B32">
            <v>1930</v>
          </cell>
          <cell r="C32" t="str">
            <v>Transportation Equipment</v>
          </cell>
          <cell r="D32">
            <v>1409920.24</v>
          </cell>
          <cell r="E32">
            <v>483870.18</v>
          </cell>
          <cell r="F32">
            <v>158171.20000000001</v>
          </cell>
          <cell r="G32">
            <v>1735619.22</v>
          </cell>
          <cell r="I32">
            <v>1299977.07</v>
          </cell>
          <cell r="J32">
            <v>71290.820000000007</v>
          </cell>
          <cell r="K32">
            <v>158171.20000000001</v>
          </cell>
          <cell r="L32">
            <v>1213096.6900000002</v>
          </cell>
          <cell r="M32">
            <v>522522.5299999998</v>
          </cell>
        </row>
        <row r="33">
          <cell r="B33">
            <v>1935</v>
          </cell>
          <cell r="C33" t="str">
            <v>Stores Equipment</v>
          </cell>
          <cell r="D33">
            <v>0</v>
          </cell>
          <cell r="G33">
            <v>0</v>
          </cell>
          <cell r="I33">
            <v>0</v>
          </cell>
          <cell r="L33">
            <v>0</v>
          </cell>
          <cell r="M33">
            <v>0</v>
          </cell>
        </row>
        <row r="34">
          <cell r="B34">
            <v>1940</v>
          </cell>
          <cell r="C34" t="str">
            <v>Tools, Shop and Garage Equipment</v>
          </cell>
          <cell r="D34">
            <v>312298.7</v>
          </cell>
          <cell r="E34">
            <v>12034.62</v>
          </cell>
          <cell r="F34">
            <v>8000</v>
          </cell>
          <cell r="G34">
            <v>316333.32</v>
          </cell>
          <cell r="I34">
            <v>259409.88999999998</v>
          </cell>
          <cell r="J34">
            <v>7432.04</v>
          </cell>
          <cell r="K34">
            <v>8000</v>
          </cell>
          <cell r="L34">
            <v>258841.93</v>
          </cell>
          <cell r="M34">
            <v>57491.390000000014</v>
          </cell>
        </row>
        <row r="35">
          <cell r="B35">
            <v>1945</v>
          </cell>
          <cell r="C35" t="str">
            <v>Measurement and Testing Equipment</v>
          </cell>
          <cell r="D35">
            <v>0</v>
          </cell>
          <cell r="G35">
            <v>0</v>
          </cell>
          <cell r="I35">
            <v>0</v>
          </cell>
          <cell r="L35">
            <v>0</v>
          </cell>
          <cell r="M35">
            <v>0</v>
          </cell>
        </row>
        <row r="36">
          <cell r="B36">
            <v>1950</v>
          </cell>
          <cell r="C36" t="str">
            <v>Power Operated Equipment</v>
          </cell>
          <cell r="D36">
            <v>0</v>
          </cell>
          <cell r="G36">
            <v>0</v>
          </cell>
          <cell r="I36">
            <v>0</v>
          </cell>
          <cell r="L36">
            <v>0</v>
          </cell>
          <cell r="M36">
            <v>0</v>
          </cell>
        </row>
        <row r="37">
          <cell r="B37">
            <v>1955</v>
          </cell>
          <cell r="C37" t="str">
            <v>Communication Equipment</v>
          </cell>
          <cell r="D37">
            <v>24604</v>
          </cell>
          <cell r="E37">
            <v>0</v>
          </cell>
          <cell r="G37">
            <v>24604</v>
          </cell>
          <cell r="I37">
            <v>15927.97</v>
          </cell>
          <cell r="L37">
            <v>15927.97</v>
          </cell>
          <cell r="M37">
            <v>8676.0300000000007</v>
          </cell>
        </row>
        <row r="38">
          <cell r="B38">
            <v>1960</v>
          </cell>
          <cell r="C38" t="str">
            <v>Miscellaneous Equipment</v>
          </cell>
          <cell r="D38">
            <v>0</v>
          </cell>
          <cell r="G38">
            <v>0</v>
          </cell>
          <cell r="I38">
            <v>0</v>
          </cell>
          <cell r="L38">
            <v>0</v>
          </cell>
          <cell r="M38">
            <v>0</v>
          </cell>
        </row>
        <row r="39">
          <cell r="B39">
            <v>1970</v>
          </cell>
          <cell r="C39" t="str">
            <v xml:space="preserve">Load Management Controls - Customer Premises </v>
          </cell>
          <cell r="D39">
            <v>0</v>
          </cell>
          <cell r="G39">
            <v>0</v>
          </cell>
          <cell r="I39">
            <v>0</v>
          </cell>
          <cell r="L39">
            <v>0</v>
          </cell>
          <cell r="M39">
            <v>0</v>
          </cell>
        </row>
        <row r="40">
          <cell r="B40">
            <v>1975</v>
          </cell>
          <cell r="C40" t="str">
            <v>Load Management Controls - Utility Premises</v>
          </cell>
          <cell r="D40">
            <v>0</v>
          </cell>
          <cell r="G40">
            <v>0</v>
          </cell>
          <cell r="I40">
            <v>0</v>
          </cell>
          <cell r="L40">
            <v>0</v>
          </cell>
          <cell r="M40">
            <v>0</v>
          </cell>
        </row>
        <row r="41">
          <cell r="B41">
            <v>1980</v>
          </cell>
          <cell r="C41" t="str">
            <v>System Supervisory Equipment</v>
          </cell>
          <cell r="D41">
            <v>0</v>
          </cell>
          <cell r="G41">
            <v>0</v>
          </cell>
          <cell r="I41">
            <v>0</v>
          </cell>
          <cell r="L41">
            <v>0</v>
          </cell>
          <cell r="M41">
            <v>0</v>
          </cell>
        </row>
        <row r="42">
          <cell r="B42">
            <v>1985</v>
          </cell>
          <cell r="C42" t="str">
            <v>Sentinel Lighting Rentals</v>
          </cell>
          <cell r="D42">
            <v>0</v>
          </cell>
          <cell r="G42">
            <v>0</v>
          </cell>
          <cell r="I42">
            <v>0</v>
          </cell>
          <cell r="L42">
            <v>0</v>
          </cell>
          <cell r="M42">
            <v>0</v>
          </cell>
        </row>
        <row r="43">
          <cell r="B43">
            <v>1990</v>
          </cell>
          <cell r="C43" t="str">
            <v>Other Tangible Property</v>
          </cell>
          <cell r="D43">
            <v>0</v>
          </cell>
          <cell r="G43">
            <v>0</v>
          </cell>
          <cell r="I43">
            <v>0</v>
          </cell>
          <cell r="L43">
            <v>0</v>
          </cell>
          <cell r="M43">
            <v>0</v>
          </cell>
        </row>
        <row r="44">
          <cell r="B44">
            <v>1995</v>
          </cell>
          <cell r="C44" t="str">
            <v>Contributions and Grants</v>
          </cell>
          <cell r="D44">
            <v>-2865858.11</v>
          </cell>
          <cell r="E44">
            <v>-454086.2</v>
          </cell>
          <cell r="G44">
            <v>-3319944.31</v>
          </cell>
          <cell r="I44">
            <v>-357598.68</v>
          </cell>
          <cell r="J44">
            <v>-125255.02</v>
          </cell>
          <cell r="L44">
            <v>-482853.7</v>
          </cell>
          <cell r="M44">
            <v>-2837090.61</v>
          </cell>
        </row>
        <row r="45">
          <cell r="B45">
            <v>2005</v>
          </cell>
          <cell r="C45" t="str">
            <v>Property under Capital Lease</v>
          </cell>
          <cell r="D45">
            <v>0</v>
          </cell>
          <cell r="G45">
            <v>0</v>
          </cell>
          <cell r="I45">
            <v>0</v>
          </cell>
          <cell r="L45">
            <v>0</v>
          </cell>
          <cell r="M45">
            <v>0</v>
          </cell>
        </row>
        <row r="52">
          <cell r="J52">
            <v>71290.820000000007</v>
          </cell>
        </row>
        <row r="53">
          <cell r="J53">
            <v>7432.04</v>
          </cell>
        </row>
      </sheetData>
      <sheetData sheetId="3">
        <row r="10">
          <cell r="B10">
            <v>1805</v>
          </cell>
          <cell r="C10" t="str">
            <v>Land</v>
          </cell>
          <cell r="D10">
            <v>2112</v>
          </cell>
          <cell r="G10">
            <v>2112</v>
          </cell>
          <cell r="I10">
            <v>0</v>
          </cell>
          <cell r="L10">
            <v>0</v>
          </cell>
          <cell r="M10">
            <v>2112</v>
          </cell>
        </row>
        <row r="11">
          <cell r="B11">
            <v>1806</v>
          </cell>
          <cell r="C11" t="str">
            <v>Land Rights</v>
          </cell>
          <cell r="D11">
            <v>0</v>
          </cell>
          <cell r="G11">
            <v>0</v>
          </cell>
          <cell r="I11">
            <v>0</v>
          </cell>
          <cell r="L11">
            <v>0</v>
          </cell>
          <cell r="M11">
            <v>0</v>
          </cell>
        </row>
        <row r="12">
          <cell r="B12">
            <v>1808</v>
          </cell>
          <cell r="C12" t="str">
            <v>Buildings and Fixtures</v>
          </cell>
          <cell r="D12">
            <v>0</v>
          </cell>
          <cell r="G12">
            <v>0</v>
          </cell>
          <cell r="I12">
            <v>0</v>
          </cell>
          <cell r="L12">
            <v>0</v>
          </cell>
          <cell r="M12">
            <v>0</v>
          </cell>
        </row>
        <row r="13">
          <cell r="B13">
            <v>1810</v>
          </cell>
          <cell r="C13" t="str">
            <v>Leasehold Improvements</v>
          </cell>
          <cell r="D13">
            <v>0</v>
          </cell>
          <cell r="G13">
            <v>0</v>
          </cell>
          <cell r="I13">
            <v>0</v>
          </cell>
          <cell r="L13">
            <v>0</v>
          </cell>
          <cell r="M13">
            <v>0</v>
          </cell>
        </row>
        <row r="14">
          <cell r="B14">
            <v>1815</v>
          </cell>
          <cell r="C14" t="str">
            <v>Transformer Station Equipment - Normally Primary above 50 kV</v>
          </cell>
          <cell r="D14">
            <v>0</v>
          </cell>
          <cell r="G14">
            <v>0</v>
          </cell>
          <cell r="I14">
            <v>0</v>
          </cell>
          <cell r="L14">
            <v>0</v>
          </cell>
          <cell r="M14">
            <v>0</v>
          </cell>
        </row>
        <row r="15">
          <cell r="B15">
            <v>1820</v>
          </cell>
          <cell r="C15" t="str">
            <v>Distribution Station Equipment - Normally Primary below 50 kV</v>
          </cell>
          <cell r="D15">
            <v>142098.48000000001</v>
          </cell>
          <cell r="G15">
            <v>142098.48000000001</v>
          </cell>
          <cell r="I15">
            <v>142222.42000000001</v>
          </cell>
          <cell r="J15">
            <v>-1332</v>
          </cell>
          <cell r="L15">
            <v>140890.42000000001</v>
          </cell>
          <cell r="M15">
            <v>1208.0599999999977</v>
          </cell>
        </row>
        <row r="16">
          <cell r="B16">
            <v>1825</v>
          </cell>
          <cell r="C16" t="str">
            <v>Storage Battery Equipment</v>
          </cell>
          <cell r="D16">
            <v>0</v>
          </cell>
          <cell r="G16">
            <v>0</v>
          </cell>
          <cell r="I16">
            <v>0</v>
          </cell>
          <cell r="L16">
            <v>0</v>
          </cell>
          <cell r="M16">
            <v>0</v>
          </cell>
        </row>
        <row r="17">
          <cell r="B17">
            <v>1830</v>
          </cell>
          <cell r="C17" t="str">
            <v>Poles, Towers and Fixtures</v>
          </cell>
          <cell r="D17">
            <v>569219.66</v>
          </cell>
          <cell r="E17">
            <v>100434.03</v>
          </cell>
          <cell r="G17">
            <v>669653.69000000006</v>
          </cell>
          <cell r="I17">
            <v>78839.679999999993</v>
          </cell>
          <cell r="J17">
            <v>24782.45</v>
          </cell>
          <cell r="L17">
            <v>103622.12999999999</v>
          </cell>
          <cell r="M17">
            <v>566031.56000000006</v>
          </cell>
        </row>
        <row r="18">
          <cell r="B18">
            <v>1835</v>
          </cell>
          <cell r="C18" t="str">
            <v>Overhead Conductors and Devices</v>
          </cell>
          <cell r="D18">
            <v>5620643.8600000003</v>
          </cell>
          <cell r="E18">
            <v>202573.75</v>
          </cell>
          <cell r="G18">
            <v>5823217.6100000003</v>
          </cell>
          <cell r="I18">
            <v>3375311.81</v>
          </cell>
          <cell r="J18">
            <v>223745.2</v>
          </cell>
          <cell r="L18">
            <v>3599057.0100000002</v>
          </cell>
          <cell r="M18">
            <v>2224160.6</v>
          </cell>
        </row>
        <row r="19">
          <cell r="B19">
            <v>1840</v>
          </cell>
          <cell r="C19" t="str">
            <v>Underground Conduit</v>
          </cell>
          <cell r="D19">
            <v>696100.7</v>
          </cell>
          <cell r="E19">
            <v>217030.96</v>
          </cell>
          <cell r="G19">
            <v>913131.65999999992</v>
          </cell>
          <cell r="I19">
            <v>79844.5</v>
          </cell>
          <cell r="J19">
            <v>32187.24</v>
          </cell>
          <cell r="L19">
            <v>112031.74</v>
          </cell>
          <cell r="M19">
            <v>801099.91999999993</v>
          </cell>
        </row>
        <row r="20">
          <cell r="B20">
            <v>1845</v>
          </cell>
          <cell r="C20" t="str">
            <v>Underground Conductors and Devices</v>
          </cell>
          <cell r="D20">
            <v>6592568.3300000001</v>
          </cell>
          <cell r="E20">
            <v>126543.36</v>
          </cell>
          <cell r="G20">
            <v>6719111.6900000004</v>
          </cell>
          <cell r="I20">
            <v>3503416.16</v>
          </cell>
          <cell r="J20">
            <v>249042.06</v>
          </cell>
          <cell r="L20">
            <v>3752458.22</v>
          </cell>
          <cell r="M20">
            <v>2966653.47</v>
          </cell>
        </row>
        <row r="21">
          <cell r="B21">
            <v>1850</v>
          </cell>
          <cell r="C21" t="str">
            <v>Line Transformers</v>
          </cell>
          <cell r="D21">
            <v>4954989.26</v>
          </cell>
          <cell r="E21">
            <v>231527.88999999998</v>
          </cell>
          <cell r="G21">
            <v>5186517.1499999994</v>
          </cell>
          <cell r="I21">
            <v>2599763.13</v>
          </cell>
          <cell r="J21">
            <v>174089.5</v>
          </cell>
          <cell r="L21">
            <v>2773852.63</v>
          </cell>
          <cell r="M21">
            <v>2412664.5199999996</v>
          </cell>
        </row>
        <row r="22">
          <cell r="B22">
            <v>1855</v>
          </cell>
          <cell r="C22" t="str">
            <v>Services</v>
          </cell>
          <cell r="D22">
            <v>411941.29</v>
          </cell>
          <cell r="E22">
            <v>99753.159999999989</v>
          </cell>
          <cell r="G22">
            <v>511694.44999999995</v>
          </cell>
          <cell r="I22">
            <v>47477.61</v>
          </cell>
          <cell r="J22">
            <v>18477.32</v>
          </cell>
          <cell r="L22">
            <v>65954.929999999993</v>
          </cell>
          <cell r="M22">
            <v>445739.51999999996</v>
          </cell>
        </row>
        <row r="23">
          <cell r="B23">
            <v>1860</v>
          </cell>
          <cell r="C23" t="str">
            <v>Meters</v>
          </cell>
          <cell r="D23">
            <v>1208333.8500000001</v>
          </cell>
          <cell r="E23">
            <v>131151.04000000001</v>
          </cell>
          <cell r="G23">
            <v>1339484.8900000001</v>
          </cell>
          <cell r="I23">
            <v>561149.97</v>
          </cell>
          <cell r="J23">
            <v>42146.9</v>
          </cell>
          <cell r="L23">
            <v>603296.87</v>
          </cell>
          <cell r="M23">
            <v>736188.02000000014</v>
          </cell>
        </row>
        <row r="24">
          <cell r="B24">
            <v>1865</v>
          </cell>
          <cell r="C24" t="str">
            <v>Other Installations on Customer's Premises</v>
          </cell>
          <cell r="D24">
            <v>0</v>
          </cell>
          <cell r="G24">
            <v>0</v>
          </cell>
          <cell r="I24">
            <v>0</v>
          </cell>
          <cell r="L24">
            <v>0</v>
          </cell>
          <cell r="M24">
            <v>0</v>
          </cell>
        </row>
        <row r="25">
          <cell r="B25">
            <v>1905</v>
          </cell>
          <cell r="C25" t="str">
            <v>Land</v>
          </cell>
          <cell r="D25">
            <v>171765.02</v>
          </cell>
          <cell r="G25">
            <v>171765.02</v>
          </cell>
          <cell r="I25">
            <v>0</v>
          </cell>
          <cell r="J25">
            <v>0</v>
          </cell>
          <cell r="L25">
            <v>0</v>
          </cell>
          <cell r="M25">
            <v>171765.02</v>
          </cell>
        </row>
        <row r="26">
          <cell r="B26">
            <v>1906</v>
          </cell>
          <cell r="C26" t="str">
            <v>Land Rights</v>
          </cell>
          <cell r="D26">
            <v>2544.73</v>
          </cell>
          <cell r="E26">
            <v>400</v>
          </cell>
          <cell r="G26">
            <v>2944.73</v>
          </cell>
          <cell r="I26">
            <v>2724.73</v>
          </cell>
          <cell r="J26">
            <v>0</v>
          </cell>
          <cell r="L26">
            <v>2724.73</v>
          </cell>
          <cell r="M26">
            <v>220</v>
          </cell>
        </row>
        <row r="27">
          <cell r="B27">
            <v>1908</v>
          </cell>
          <cell r="C27" t="str">
            <v>Buildings and Fixtures</v>
          </cell>
          <cell r="D27">
            <v>849028.11</v>
          </cell>
          <cell r="E27">
            <v>11500</v>
          </cell>
          <cell r="G27">
            <v>860528.11</v>
          </cell>
          <cell r="I27">
            <v>364493.06</v>
          </cell>
          <cell r="J27">
            <v>18287.68</v>
          </cell>
          <cell r="L27">
            <v>382780.74</v>
          </cell>
          <cell r="M27">
            <v>477747.37</v>
          </cell>
        </row>
        <row r="28">
          <cell r="B28">
            <v>1910</v>
          </cell>
          <cell r="C28" t="str">
            <v>Leasehold Improvements</v>
          </cell>
          <cell r="D28">
            <v>0</v>
          </cell>
          <cell r="G28">
            <v>0</v>
          </cell>
          <cell r="I28">
            <v>0</v>
          </cell>
          <cell r="L28">
            <v>0</v>
          </cell>
          <cell r="M28">
            <v>0</v>
          </cell>
        </row>
        <row r="29">
          <cell r="B29">
            <v>1915</v>
          </cell>
          <cell r="C29" t="str">
            <v>Office Furniture and Equipment</v>
          </cell>
          <cell r="D29">
            <v>214967.34</v>
          </cell>
          <cell r="E29">
            <v>2025</v>
          </cell>
          <cell r="G29">
            <v>216992.34</v>
          </cell>
          <cell r="I29">
            <v>171712.06</v>
          </cell>
          <cell r="J29">
            <v>7545.88</v>
          </cell>
          <cell r="L29">
            <v>179257.94</v>
          </cell>
          <cell r="M29">
            <v>37734.399999999994</v>
          </cell>
        </row>
        <row r="30">
          <cell r="B30">
            <v>1920</v>
          </cell>
          <cell r="C30" t="str">
            <v>Computer Equipment - Hardware</v>
          </cell>
          <cell r="D30">
            <v>328598.34000000003</v>
          </cell>
          <cell r="E30">
            <v>17819.439999999999</v>
          </cell>
          <cell r="G30">
            <v>346417.78</v>
          </cell>
          <cell r="I30">
            <v>254432.93</v>
          </cell>
          <cell r="J30">
            <v>31341.73</v>
          </cell>
          <cell r="L30">
            <v>285774.65999999997</v>
          </cell>
          <cell r="M30">
            <v>60643.120000000054</v>
          </cell>
        </row>
        <row r="31">
          <cell r="B31">
            <v>1925</v>
          </cell>
          <cell r="C31" t="str">
            <v>Computer Software</v>
          </cell>
          <cell r="D31">
            <v>143391.12</v>
          </cell>
          <cell r="E31">
            <v>90053.98</v>
          </cell>
          <cell r="G31">
            <v>233445.09999999998</v>
          </cell>
          <cell r="I31">
            <v>53865.49</v>
          </cell>
          <cell r="J31">
            <v>24997.06</v>
          </cell>
          <cell r="L31">
            <v>78862.55</v>
          </cell>
          <cell r="M31">
            <v>154582.54999999999</v>
          </cell>
        </row>
        <row r="32">
          <cell r="B32">
            <v>1930</v>
          </cell>
          <cell r="C32" t="str">
            <v>Transportation Equipment</v>
          </cell>
          <cell r="D32">
            <v>1735619.22</v>
          </cell>
          <cell r="E32">
            <v>63307.14</v>
          </cell>
          <cell r="G32">
            <v>1798926.3599999999</v>
          </cell>
          <cell r="I32">
            <v>1213096.6900000002</v>
          </cell>
          <cell r="J32">
            <v>92313.54</v>
          </cell>
          <cell r="L32">
            <v>1305410.2300000002</v>
          </cell>
          <cell r="M32">
            <v>493516.12999999966</v>
          </cell>
        </row>
        <row r="33">
          <cell r="B33">
            <v>1935</v>
          </cell>
          <cell r="C33" t="str">
            <v>Stores Equipment</v>
          </cell>
          <cell r="D33">
            <v>0</v>
          </cell>
          <cell r="G33">
            <v>0</v>
          </cell>
          <cell r="I33">
            <v>0</v>
          </cell>
          <cell r="L33">
            <v>0</v>
          </cell>
          <cell r="M33">
            <v>0</v>
          </cell>
        </row>
        <row r="34">
          <cell r="B34">
            <v>1940</v>
          </cell>
          <cell r="C34" t="str">
            <v>Tools, Shop and Garage Equipment</v>
          </cell>
          <cell r="D34">
            <v>316333.32</v>
          </cell>
          <cell r="E34">
            <v>39334.71</v>
          </cell>
          <cell r="G34">
            <v>355668.03</v>
          </cell>
          <cell r="I34">
            <v>258841.93</v>
          </cell>
          <cell r="J34">
            <v>10000.5</v>
          </cell>
          <cell r="L34">
            <v>268842.43</v>
          </cell>
          <cell r="M34">
            <v>86825.600000000035</v>
          </cell>
        </row>
        <row r="35">
          <cell r="B35">
            <v>1945</v>
          </cell>
          <cell r="C35" t="str">
            <v>Measurement and Testing Equipment</v>
          </cell>
          <cell r="D35">
            <v>0</v>
          </cell>
          <cell r="G35">
            <v>0</v>
          </cell>
          <cell r="I35">
            <v>0</v>
          </cell>
          <cell r="L35">
            <v>0</v>
          </cell>
          <cell r="M35">
            <v>0</v>
          </cell>
        </row>
        <row r="36">
          <cell r="B36">
            <v>1950</v>
          </cell>
          <cell r="C36" t="str">
            <v>Power Operated Equipment</v>
          </cell>
          <cell r="D36">
            <v>0</v>
          </cell>
          <cell r="G36">
            <v>0</v>
          </cell>
          <cell r="I36">
            <v>0</v>
          </cell>
          <cell r="L36">
            <v>0</v>
          </cell>
          <cell r="M36">
            <v>0</v>
          </cell>
        </row>
        <row r="37">
          <cell r="B37">
            <v>1955</v>
          </cell>
          <cell r="C37" t="str">
            <v>Communication Equipment</v>
          </cell>
          <cell r="D37">
            <v>24604</v>
          </cell>
          <cell r="G37">
            <v>24604</v>
          </cell>
          <cell r="I37">
            <v>15927.97</v>
          </cell>
          <cell r="J37">
            <v>1645.84</v>
          </cell>
          <cell r="L37">
            <v>17573.809999999998</v>
          </cell>
          <cell r="M37">
            <v>7030.1900000000023</v>
          </cell>
        </row>
        <row r="38">
          <cell r="B38">
            <v>1960</v>
          </cell>
          <cell r="C38" t="str">
            <v>Miscellaneous Equipment</v>
          </cell>
          <cell r="D38">
            <v>0</v>
          </cell>
          <cell r="G38">
            <v>0</v>
          </cell>
          <cell r="I38">
            <v>0</v>
          </cell>
          <cell r="L38">
            <v>0</v>
          </cell>
          <cell r="M38">
            <v>0</v>
          </cell>
        </row>
        <row r="39">
          <cell r="B39">
            <v>1970</v>
          </cell>
          <cell r="C39" t="str">
            <v xml:space="preserve">Load Management Controls - Customer Premises </v>
          </cell>
          <cell r="D39">
            <v>0</v>
          </cell>
          <cell r="G39">
            <v>0</v>
          </cell>
          <cell r="I39">
            <v>0</v>
          </cell>
          <cell r="L39">
            <v>0</v>
          </cell>
          <cell r="M39">
            <v>0</v>
          </cell>
        </row>
        <row r="40">
          <cell r="B40">
            <v>1975</v>
          </cell>
          <cell r="C40" t="str">
            <v>Load Management Controls - Utility Premises</v>
          </cell>
          <cell r="D40">
            <v>0</v>
          </cell>
          <cell r="G40">
            <v>0</v>
          </cell>
          <cell r="I40">
            <v>0</v>
          </cell>
          <cell r="L40">
            <v>0</v>
          </cell>
          <cell r="M40">
            <v>0</v>
          </cell>
        </row>
        <row r="41">
          <cell r="B41">
            <v>1980</v>
          </cell>
          <cell r="C41" t="str">
            <v>System Supervisory Equipment</v>
          </cell>
          <cell r="D41">
            <v>0</v>
          </cell>
          <cell r="G41">
            <v>0</v>
          </cell>
          <cell r="I41">
            <v>0</v>
          </cell>
          <cell r="L41">
            <v>0</v>
          </cell>
          <cell r="M41">
            <v>0</v>
          </cell>
        </row>
        <row r="42">
          <cell r="B42">
            <v>1985</v>
          </cell>
          <cell r="C42" t="str">
            <v>Sentinel Lighting Rentals</v>
          </cell>
          <cell r="D42">
            <v>0</v>
          </cell>
          <cell r="G42">
            <v>0</v>
          </cell>
          <cell r="I42">
            <v>0</v>
          </cell>
          <cell r="L42">
            <v>0</v>
          </cell>
          <cell r="M42">
            <v>0</v>
          </cell>
        </row>
        <row r="43">
          <cell r="B43">
            <v>1990</v>
          </cell>
          <cell r="C43" t="str">
            <v>Other Tangible Property</v>
          </cell>
          <cell r="D43">
            <v>0</v>
          </cell>
          <cell r="G43">
            <v>0</v>
          </cell>
          <cell r="I43">
            <v>0</v>
          </cell>
          <cell r="L43">
            <v>0</v>
          </cell>
          <cell r="M43">
            <v>0</v>
          </cell>
        </row>
        <row r="44">
          <cell r="B44">
            <v>1995</v>
          </cell>
          <cell r="C44" t="str">
            <v>Contributions and Grants</v>
          </cell>
          <cell r="D44">
            <v>-3319944.31</v>
          </cell>
          <cell r="E44">
            <v>-135687.1</v>
          </cell>
          <cell r="G44">
            <v>-3455631.41</v>
          </cell>
          <cell r="I44">
            <v>-482853.7</v>
          </cell>
          <cell r="J44">
            <v>-137153.79</v>
          </cell>
          <cell r="L44">
            <v>-620007.49</v>
          </cell>
          <cell r="M44">
            <v>-2835623.92</v>
          </cell>
        </row>
        <row r="45">
          <cell r="B45">
            <v>2005</v>
          </cell>
          <cell r="C45" t="str">
            <v>Property under Capital Lease</v>
          </cell>
          <cell r="D45">
            <v>0</v>
          </cell>
          <cell r="G45">
            <v>0</v>
          </cell>
          <cell r="I45">
            <v>0</v>
          </cell>
          <cell r="L45">
            <v>0</v>
          </cell>
          <cell r="M45">
            <v>0</v>
          </cell>
        </row>
        <row r="52">
          <cell r="J52">
            <v>92313.54</v>
          </cell>
        </row>
      </sheetData>
      <sheetData sheetId="4">
        <row r="10">
          <cell r="B10">
            <v>1805</v>
          </cell>
          <cell r="C10" t="str">
            <v>Land</v>
          </cell>
          <cell r="D10">
            <v>2112</v>
          </cell>
          <cell r="G10">
            <v>2112</v>
          </cell>
          <cell r="I10">
            <v>0</v>
          </cell>
          <cell r="L10">
            <v>0</v>
          </cell>
          <cell r="M10">
            <v>2112</v>
          </cell>
        </row>
        <row r="11">
          <cell r="B11">
            <v>1806</v>
          </cell>
          <cell r="C11" t="str">
            <v>Land Rights</v>
          </cell>
          <cell r="D11">
            <v>0</v>
          </cell>
          <cell r="G11">
            <v>0</v>
          </cell>
          <cell r="I11">
            <v>0</v>
          </cell>
          <cell r="L11">
            <v>0</v>
          </cell>
          <cell r="M11">
            <v>0</v>
          </cell>
        </row>
        <row r="12">
          <cell r="B12">
            <v>1808</v>
          </cell>
          <cell r="C12" t="str">
            <v>Buildings and Fixtures</v>
          </cell>
          <cell r="D12">
            <v>0</v>
          </cell>
          <cell r="G12">
            <v>0</v>
          </cell>
          <cell r="I12">
            <v>0</v>
          </cell>
          <cell r="L12">
            <v>0</v>
          </cell>
          <cell r="M12">
            <v>0</v>
          </cell>
        </row>
        <row r="13">
          <cell r="B13">
            <v>1810</v>
          </cell>
          <cell r="C13" t="str">
            <v>Leasehold Improvements</v>
          </cell>
          <cell r="D13">
            <v>0</v>
          </cell>
          <cell r="G13">
            <v>0</v>
          </cell>
          <cell r="I13">
            <v>0</v>
          </cell>
          <cell r="L13">
            <v>0</v>
          </cell>
          <cell r="M13">
            <v>0</v>
          </cell>
        </row>
        <row r="14">
          <cell r="B14">
            <v>1815</v>
          </cell>
          <cell r="C14" t="str">
            <v>Transformer Station Equipment - Normally Primary above 50 kV</v>
          </cell>
          <cell r="D14">
            <v>0</v>
          </cell>
          <cell r="G14">
            <v>0</v>
          </cell>
          <cell r="I14">
            <v>0</v>
          </cell>
          <cell r="L14">
            <v>0</v>
          </cell>
          <cell r="M14">
            <v>0</v>
          </cell>
        </row>
        <row r="15">
          <cell r="B15">
            <v>1820</v>
          </cell>
          <cell r="C15" t="str">
            <v>Distribution Station Equipment - Normally Primary below 50 kV</v>
          </cell>
          <cell r="D15">
            <v>142098.48000000001</v>
          </cell>
          <cell r="G15">
            <v>142098.48000000001</v>
          </cell>
          <cell r="I15">
            <v>140766.42000000001</v>
          </cell>
          <cell r="J15">
            <v>61.97</v>
          </cell>
          <cell r="L15">
            <v>140828.39000000001</v>
          </cell>
          <cell r="M15">
            <v>1270.0899999999965</v>
          </cell>
        </row>
        <row r="16">
          <cell r="B16">
            <v>1825</v>
          </cell>
          <cell r="C16" t="str">
            <v>Storage Battery Equipment</v>
          </cell>
          <cell r="D16">
            <v>0</v>
          </cell>
          <cell r="G16">
            <v>0</v>
          </cell>
          <cell r="I16">
            <v>0</v>
          </cell>
          <cell r="L16">
            <v>0</v>
          </cell>
          <cell r="M16">
            <v>0</v>
          </cell>
        </row>
        <row r="17">
          <cell r="B17">
            <v>1830</v>
          </cell>
          <cell r="C17" t="str">
            <v>Poles, Towers and Fixtures</v>
          </cell>
          <cell r="D17">
            <v>669653.69000000006</v>
          </cell>
          <cell r="E17">
            <v>62308.6</v>
          </cell>
          <cell r="G17">
            <v>731962.29</v>
          </cell>
          <cell r="I17">
            <v>103622.12999999999</v>
          </cell>
          <cell r="J17">
            <v>28042.3</v>
          </cell>
          <cell r="L17">
            <v>131664.43</v>
          </cell>
          <cell r="M17">
            <v>600297.8600000001</v>
          </cell>
        </row>
        <row r="18">
          <cell r="B18">
            <v>1835</v>
          </cell>
          <cell r="C18" t="str">
            <v>Overhead Conductors and Devices</v>
          </cell>
          <cell r="D18">
            <v>5823217.6100000003</v>
          </cell>
          <cell r="E18">
            <v>106482.79</v>
          </cell>
          <cell r="G18">
            <v>5929700.4000000004</v>
          </cell>
          <cell r="I18">
            <v>3599057.0100000002</v>
          </cell>
          <cell r="J18">
            <v>229942.09</v>
          </cell>
          <cell r="L18">
            <v>3828999.1</v>
          </cell>
          <cell r="M18">
            <v>2100701.3000000003</v>
          </cell>
        </row>
        <row r="19">
          <cell r="B19">
            <v>1840</v>
          </cell>
          <cell r="C19" t="str">
            <v>Underground Conduit</v>
          </cell>
          <cell r="D19">
            <v>913131.65999999992</v>
          </cell>
          <cell r="E19">
            <v>132682.07999999999</v>
          </cell>
          <cell r="G19">
            <v>1045813.7399999999</v>
          </cell>
          <cell r="I19">
            <v>112031.74</v>
          </cell>
          <cell r="J19">
            <v>39184.089999999997</v>
          </cell>
          <cell r="L19">
            <v>151215.83000000002</v>
          </cell>
          <cell r="M19">
            <v>894597.90999999992</v>
          </cell>
        </row>
        <row r="20">
          <cell r="B20">
            <v>1845</v>
          </cell>
          <cell r="C20" t="str">
            <v>Underground Conductors and Devices</v>
          </cell>
          <cell r="D20">
            <v>6719111.6900000004</v>
          </cell>
          <cell r="E20">
            <v>140966.22</v>
          </cell>
          <cell r="G20">
            <v>6860077.9100000001</v>
          </cell>
          <cell r="I20">
            <v>3752458.22</v>
          </cell>
          <cell r="J20">
            <v>254395.91</v>
          </cell>
          <cell r="L20">
            <v>4006854.1300000004</v>
          </cell>
          <cell r="M20">
            <v>2853223.78</v>
          </cell>
        </row>
        <row r="21">
          <cell r="B21">
            <v>1850</v>
          </cell>
          <cell r="C21" t="str">
            <v>Line Transformers</v>
          </cell>
          <cell r="D21">
            <v>5186517.1499999994</v>
          </cell>
          <cell r="E21">
            <v>131200.95999999999</v>
          </cell>
          <cell r="G21">
            <v>5317718.1099999994</v>
          </cell>
          <cell r="I21">
            <v>2773852.63</v>
          </cell>
          <cell r="J21">
            <v>181345.29</v>
          </cell>
          <cell r="L21">
            <v>2955197.92</v>
          </cell>
          <cell r="M21">
            <v>2362520.1899999995</v>
          </cell>
        </row>
        <row r="22">
          <cell r="B22">
            <v>1855</v>
          </cell>
          <cell r="C22" t="str">
            <v>Services</v>
          </cell>
          <cell r="D22">
            <v>511694.44999999995</v>
          </cell>
          <cell r="E22">
            <v>50765.34</v>
          </cell>
          <cell r="G22">
            <v>562459.78999999992</v>
          </cell>
          <cell r="I22">
            <v>65954.929999999993</v>
          </cell>
          <cell r="J22">
            <v>21492.3</v>
          </cell>
          <cell r="L22">
            <v>87447.23</v>
          </cell>
          <cell r="M22">
            <v>475012.55999999994</v>
          </cell>
        </row>
        <row r="23">
          <cell r="B23">
            <v>1860</v>
          </cell>
          <cell r="C23" t="str">
            <v>Meters</v>
          </cell>
          <cell r="D23">
            <v>1339484.8900000001</v>
          </cell>
          <cell r="E23">
            <v>35988.089999999997</v>
          </cell>
          <cell r="G23">
            <v>1375472.9800000002</v>
          </cell>
          <cell r="I23">
            <v>603296.87</v>
          </cell>
          <cell r="J23">
            <v>45490.46</v>
          </cell>
          <cell r="L23">
            <v>648787.32999999996</v>
          </cell>
          <cell r="M23">
            <v>726685.65000000026</v>
          </cell>
        </row>
        <row r="24">
          <cell r="B24">
            <v>1865</v>
          </cell>
          <cell r="C24" t="str">
            <v>Other Installations on Customer's Premises</v>
          </cell>
          <cell r="D24">
            <v>0</v>
          </cell>
          <cell r="G24">
            <v>0</v>
          </cell>
          <cell r="I24">
            <v>0</v>
          </cell>
          <cell r="L24">
            <v>0</v>
          </cell>
          <cell r="M24">
            <v>0</v>
          </cell>
        </row>
        <row r="25">
          <cell r="B25">
            <v>1905</v>
          </cell>
          <cell r="C25" t="str">
            <v>Land</v>
          </cell>
          <cell r="D25">
            <v>171765.02</v>
          </cell>
          <cell r="E25">
            <v>0</v>
          </cell>
          <cell r="G25">
            <v>171765.02</v>
          </cell>
          <cell r="I25">
            <v>0</v>
          </cell>
          <cell r="L25">
            <v>0</v>
          </cell>
          <cell r="M25">
            <v>171765.02</v>
          </cell>
        </row>
        <row r="26">
          <cell r="B26">
            <v>1906</v>
          </cell>
          <cell r="C26" t="str">
            <v>Land Rights</v>
          </cell>
          <cell r="D26">
            <v>2944.73</v>
          </cell>
          <cell r="G26">
            <v>2944.73</v>
          </cell>
          <cell r="I26">
            <v>2724.73</v>
          </cell>
          <cell r="L26">
            <v>2724.73</v>
          </cell>
          <cell r="M26">
            <v>220</v>
          </cell>
        </row>
        <row r="27">
          <cell r="B27">
            <v>1908</v>
          </cell>
          <cell r="C27" t="str">
            <v>Buildings and Fixtures</v>
          </cell>
          <cell r="D27">
            <v>860528.11</v>
          </cell>
          <cell r="G27">
            <v>860528.11</v>
          </cell>
          <cell r="I27">
            <v>382780.74</v>
          </cell>
          <cell r="J27">
            <v>18402.68</v>
          </cell>
          <cell r="L27">
            <v>401183.42</v>
          </cell>
          <cell r="M27">
            <v>459344.69</v>
          </cell>
        </row>
        <row r="28">
          <cell r="B28">
            <v>1910</v>
          </cell>
          <cell r="C28" t="str">
            <v>Leasehold Improvements</v>
          </cell>
          <cell r="D28">
            <v>0</v>
          </cell>
          <cell r="G28">
            <v>0</v>
          </cell>
          <cell r="I28">
            <v>0</v>
          </cell>
          <cell r="L28">
            <v>0</v>
          </cell>
          <cell r="M28">
            <v>0</v>
          </cell>
        </row>
        <row r="29">
          <cell r="B29">
            <v>1915</v>
          </cell>
          <cell r="C29" t="str">
            <v>Office Furniture and Equipment</v>
          </cell>
          <cell r="D29">
            <v>216992.34</v>
          </cell>
          <cell r="E29">
            <v>5323.32</v>
          </cell>
          <cell r="G29">
            <v>222315.66</v>
          </cell>
          <cell r="I29">
            <v>179257.94</v>
          </cell>
          <cell r="J29">
            <v>7913.3</v>
          </cell>
          <cell r="L29">
            <v>187171.24</v>
          </cell>
          <cell r="M29">
            <v>35144.420000000013</v>
          </cell>
        </row>
        <row r="30">
          <cell r="B30">
            <v>1920</v>
          </cell>
          <cell r="C30" t="str">
            <v>Computer Equipment - Hardware</v>
          </cell>
          <cell r="D30">
            <v>346417.78</v>
          </cell>
          <cell r="E30">
            <v>8227.81</v>
          </cell>
          <cell r="G30">
            <v>354645.59</v>
          </cell>
          <cell r="I30">
            <v>285774.65999999997</v>
          </cell>
          <cell r="J30">
            <v>27010.05</v>
          </cell>
          <cell r="L30">
            <v>312784.70999999996</v>
          </cell>
          <cell r="M30">
            <v>41860.880000000063</v>
          </cell>
        </row>
        <row r="31">
          <cell r="B31">
            <v>1925</v>
          </cell>
          <cell r="C31" t="str">
            <v>Computer Software</v>
          </cell>
          <cell r="D31">
            <v>233445.09999999998</v>
          </cell>
          <cell r="E31">
            <v>5386.77</v>
          </cell>
          <cell r="G31">
            <v>238831.86999999997</v>
          </cell>
          <cell r="I31">
            <v>78862.55</v>
          </cell>
          <cell r="J31">
            <v>41088.36</v>
          </cell>
          <cell r="L31">
            <v>119950.91</v>
          </cell>
          <cell r="M31">
            <v>118880.95999999996</v>
          </cell>
        </row>
        <row r="32">
          <cell r="B32">
            <v>1930</v>
          </cell>
          <cell r="C32" t="str">
            <v>Transportation Equipment</v>
          </cell>
          <cell r="D32">
            <v>1798926.3599999999</v>
          </cell>
          <cell r="E32">
            <v>73521.09</v>
          </cell>
          <cell r="G32">
            <v>1872447.45</v>
          </cell>
          <cell r="I32">
            <v>1305410.2300000002</v>
          </cell>
          <cell r="J32">
            <v>87689.44</v>
          </cell>
          <cell r="L32">
            <v>1393099.6700000002</v>
          </cell>
          <cell r="M32">
            <v>479347.7799999998</v>
          </cell>
        </row>
        <row r="33">
          <cell r="B33">
            <v>1935</v>
          </cell>
          <cell r="C33" t="str">
            <v>Stores Equipment</v>
          </cell>
          <cell r="D33">
            <v>0</v>
          </cell>
          <cell r="G33">
            <v>0</v>
          </cell>
          <cell r="I33">
            <v>0</v>
          </cell>
          <cell r="L33">
            <v>0</v>
          </cell>
          <cell r="M33">
            <v>0</v>
          </cell>
        </row>
        <row r="34">
          <cell r="B34">
            <v>1940</v>
          </cell>
          <cell r="C34" t="str">
            <v>Tools, Shop and Garage Equipment</v>
          </cell>
          <cell r="D34">
            <v>355668.03</v>
          </cell>
          <cell r="E34">
            <v>6257.2</v>
          </cell>
          <cell r="G34">
            <v>361925.23000000004</v>
          </cell>
          <cell r="I34">
            <v>268842.43</v>
          </cell>
          <cell r="J34">
            <v>12280.1</v>
          </cell>
          <cell r="L34">
            <v>281122.52999999997</v>
          </cell>
          <cell r="M34">
            <v>80802.70000000007</v>
          </cell>
        </row>
        <row r="35">
          <cell r="B35">
            <v>1945</v>
          </cell>
          <cell r="C35" t="str">
            <v>Measurement and Testing Equipment</v>
          </cell>
          <cell r="D35">
            <v>0</v>
          </cell>
          <cell r="G35">
            <v>0</v>
          </cell>
          <cell r="I35">
            <v>0</v>
          </cell>
          <cell r="L35">
            <v>0</v>
          </cell>
          <cell r="M35">
            <v>0</v>
          </cell>
        </row>
        <row r="36">
          <cell r="B36">
            <v>1950</v>
          </cell>
          <cell r="C36" t="str">
            <v>Power Operated Equipment</v>
          </cell>
          <cell r="D36">
            <v>0</v>
          </cell>
          <cell r="G36">
            <v>0</v>
          </cell>
          <cell r="I36">
            <v>0</v>
          </cell>
          <cell r="L36">
            <v>0</v>
          </cell>
          <cell r="M36">
            <v>0</v>
          </cell>
        </row>
        <row r="37">
          <cell r="B37">
            <v>1955</v>
          </cell>
          <cell r="C37" t="str">
            <v>Communication Equipment</v>
          </cell>
          <cell r="D37">
            <v>24604</v>
          </cell>
          <cell r="G37">
            <v>24604</v>
          </cell>
          <cell r="I37">
            <v>17573.809999999998</v>
          </cell>
          <cell r="J37">
            <v>1646.84</v>
          </cell>
          <cell r="L37">
            <v>19220.649999999998</v>
          </cell>
          <cell r="M37">
            <v>5383.3500000000022</v>
          </cell>
        </row>
        <row r="38">
          <cell r="B38">
            <v>1960</v>
          </cell>
          <cell r="C38" t="str">
            <v>Miscellaneous Equipment</v>
          </cell>
          <cell r="D38">
            <v>0</v>
          </cell>
          <cell r="G38">
            <v>0</v>
          </cell>
          <cell r="I38">
            <v>0</v>
          </cell>
          <cell r="L38">
            <v>0</v>
          </cell>
          <cell r="M38">
            <v>0</v>
          </cell>
        </row>
        <row r="39">
          <cell r="B39">
            <v>1970</v>
          </cell>
          <cell r="C39" t="str">
            <v xml:space="preserve">Load Management Controls - Customer Premises </v>
          </cell>
          <cell r="D39">
            <v>0</v>
          </cell>
          <cell r="G39">
            <v>0</v>
          </cell>
          <cell r="I39">
            <v>0</v>
          </cell>
          <cell r="L39">
            <v>0</v>
          </cell>
          <cell r="M39">
            <v>0</v>
          </cell>
        </row>
        <row r="40">
          <cell r="B40">
            <v>1975</v>
          </cell>
          <cell r="C40" t="str">
            <v>Load Management Controls - Utility Premises</v>
          </cell>
          <cell r="D40">
            <v>0</v>
          </cell>
          <cell r="G40">
            <v>0</v>
          </cell>
          <cell r="I40">
            <v>0</v>
          </cell>
          <cell r="L40">
            <v>0</v>
          </cell>
          <cell r="M40">
            <v>0</v>
          </cell>
        </row>
        <row r="41">
          <cell r="B41">
            <v>1980</v>
          </cell>
          <cell r="C41" t="str">
            <v>System Supervisory Equipment</v>
          </cell>
          <cell r="D41">
            <v>0</v>
          </cell>
          <cell r="G41">
            <v>0</v>
          </cell>
          <cell r="I41">
            <v>0</v>
          </cell>
          <cell r="L41">
            <v>0</v>
          </cell>
          <cell r="M41">
            <v>0</v>
          </cell>
        </row>
        <row r="42">
          <cell r="B42">
            <v>1985</v>
          </cell>
          <cell r="C42" t="str">
            <v>Sentinel Lighting Rentals</v>
          </cell>
          <cell r="D42">
            <v>0</v>
          </cell>
          <cell r="G42">
            <v>0</v>
          </cell>
          <cell r="I42">
            <v>0</v>
          </cell>
          <cell r="L42">
            <v>0</v>
          </cell>
          <cell r="M42">
            <v>0</v>
          </cell>
        </row>
        <row r="43">
          <cell r="B43">
            <v>1990</v>
          </cell>
          <cell r="C43" t="str">
            <v>Other Tangible Property</v>
          </cell>
          <cell r="D43">
            <v>0</v>
          </cell>
          <cell r="G43">
            <v>0</v>
          </cell>
          <cell r="I43">
            <v>0</v>
          </cell>
          <cell r="L43">
            <v>0</v>
          </cell>
          <cell r="M43">
            <v>0</v>
          </cell>
        </row>
        <row r="44">
          <cell r="B44">
            <v>1995</v>
          </cell>
          <cell r="C44" t="str">
            <v>Contributions and Grants</v>
          </cell>
          <cell r="D44">
            <v>-3455631.41</v>
          </cell>
          <cell r="E44">
            <v>-189711.12</v>
          </cell>
          <cell r="G44">
            <v>-3645342.5300000003</v>
          </cell>
          <cell r="I44">
            <v>-620007.49</v>
          </cell>
          <cell r="J44">
            <v>-143571.63</v>
          </cell>
          <cell r="L44">
            <v>-763579.12</v>
          </cell>
          <cell r="M44">
            <v>-2881763.41</v>
          </cell>
        </row>
        <row r="45">
          <cell r="B45">
            <v>2005</v>
          </cell>
          <cell r="C45" t="str">
            <v>Property under Capital Lease</v>
          </cell>
          <cell r="D45">
            <v>0</v>
          </cell>
          <cell r="G45">
            <v>0</v>
          </cell>
          <cell r="I45">
            <v>0</v>
          </cell>
          <cell r="L45">
            <v>0</v>
          </cell>
          <cell r="M45">
            <v>0</v>
          </cell>
        </row>
      </sheetData>
      <sheetData sheetId="5">
        <row r="10">
          <cell r="B10">
            <v>1805</v>
          </cell>
          <cell r="C10" t="str">
            <v>Land</v>
          </cell>
          <cell r="D10">
            <v>2112</v>
          </cell>
          <cell r="G10">
            <v>2112</v>
          </cell>
          <cell r="I10">
            <v>0</v>
          </cell>
          <cell r="L10">
            <v>0</v>
          </cell>
          <cell r="M10">
            <v>2112</v>
          </cell>
        </row>
        <row r="11">
          <cell r="B11">
            <v>1806</v>
          </cell>
          <cell r="C11" t="str">
            <v>Land Rights</v>
          </cell>
          <cell r="D11">
            <v>0</v>
          </cell>
          <cell r="G11">
            <v>0</v>
          </cell>
          <cell r="I11">
            <v>0</v>
          </cell>
          <cell r="L11">
            <v>0</v>
          </cell>
          <cell r="M11">
            <v>0</v>
          </cell>
        </row>
        <row r="12">
          <cell r="B12">
            <v>1808</v>
          </cell>
          <cell r="C12" t="str">
            <v>Buildings and Fixtures</v>
          </cell>
          <cell r="D12">
            <v>0</v>
          </cell>
          <cell r="G12">
            <v>0</v>
          </cell>
          <cell r="I12">
            <v>0</v>
          </cell>
          <cell r="L12">
            <v>0</v>
          </cell>
          <cell r="M12">
            <v>0</v>
          </cell>
        </row>
        <row r="13">
          <cell r="B13">
            <v>1810</v>
          </cell>
          <cell r="C13" t="str">
            <v>Leasehold Improvements</v>
          </cell>
          <cell r="D13">
            <v>0</v>
          </cell>
          <cell r="G13">
            <v>0</v>
          </cell>
          <cell r="I13">
            <v>0</v>
          </cell>
          <cell r="L13">
            <v>0</v>
          </cell>
          <cell r="M13">
            <v>0</v>
          </cell>
        </row>
        <row r="14">
          <cell r="B14">
            <v>1815</v>
          </cell>
          <cell r="C14" t="str">
            <v>Transformer Station Equipment - Normally Primary above 50 kV</v>
          </cell>
          <cell r="D14">
            <v>0</v>
          </cell>
          <cell r="G14">
            <v>0</v>
          </cell>
          <cell r="I14">
            <v>0</v>
          </cell>
          <cell r="L14">
            <v>0</v>
          </cell>
          <cell r="M14">
            <v>0</v>
          </cell>
        </row>
        <row r="15">
          <cell r="B15">
            <v>1820</v>
          </cell>
          <cell r="C15" t="str">
            <v>Distribution Station Equipment - Normally Primary below 50 kV</v>
          </cell>
          <cell r="D15">
            <v>142098.48000000001</v>
          </cell>
          <cell r="G15">
            <v>142098.48000000001</v>
          </cell>
          <cell r="I15">
            <v>140828.39000000001</v>
          </cell>
          <cell r="J15">
            <v>61.97</v>
          </cell>
          <cell r="L15">
            <v>140890.36000000002</v>
          </cell>
          <cell r="M15">
            <v>1208.1199999999953</v>
          </cell>
        </row>
        <row r="16">
          <cell r="B16">
            <v>1825</v>
          </cell>
          <cell r="C16" t="str">
            <v>Storage Battery Equipment</v>
          </cell>
          <cell r="D16">
            <v>0</v>
          </cell>
          <cell r="G16">
            <v>0</v>
          </cell>
          <cell r="I16">
            <v>0</v>
          </cell>
          <cell r="L16">
            <v>0</v>
          </cell>
          <cell r="M16">
            <v>0</v>
          </cell>
        </row>
        <row r="17">
          <cell r="B17">
            <v>1830</v>
          </cell>
          <cell r="C17" t="str">
            <v>Poles, Towers and Fixtures</v>
          </cell>
          <cell r="D17">
            <v>731962.29</v>
          </cell>
          <cell r="E17">
            <v>105761.89</v>
          </cell>
          <cell r="G17">
            <v>837724.18</v>
          </cell>
          <cell r="I17">
            <v>131664.43</v>
          </cell>
          <cell r="J17">
            <v>31403.71</v>
          </cell>
          <cell r="L17">
            <v>163068.13999999998</v>
          </cell>
          <cell r="M17">
            <v>674656.04</v>
          </cell>
        </row>
        <row r="18">
          <cell r="B18">
            <v>1835</v>
          </cell>
          <cell r="C18" t="str">
            <v>Overhead Conductors and Devices</v>
          </cell>
          <cell r="D18">
            <v>5929700.4000000004</v>
          </cell>
          <cell r="E18">
            <v>159164.75</v>
          </cell>
          <cell r="G18">
            <v>6088865.1500000004</v>
          </cell>
          <cell r="I18">
            <v>3828999.1</v>
          </cell>
          <cell r="J18">
            <v>235255.04000000001</v>
          </cell>
          <cell r="L18">
            <v>4064254.14</v>
          </cell>
          <cell r="M18">
            <v>2024611.0100000002</v>
          </cell>
        </row>
        <row r="19">
          <cell r="B19">
            <v>1840</v>
          </cell>
          <cell r="C19" t="str">
            <v>Underground Conduit</v>
          </cell>
          <cell r="D19">
            <v>1045813.7399999999</v>
          </cell>
          <cell r="E19">
            <v>123093.78</v>
          </cell>
          <cell r="G19">
            <v>1168907.5199999998</v>
          </cell>
          <cell r="I19">
            <v>151215.83000000002</v>
          </cell>
          <cell r="J19">
            <v>44299.61</v>
          </cell>
          <cell r="L19">
            <v>195515.44</v>
          </cell>
          <cell r="M19">
            <v>973392.07999999984</v>
          </cell>
        </row>
        <row r="20">
          <cell r="B20">
            <v>1845</v>
          </cell>
          <cell r="C20" t="str">
            <v>Underground Conductors and Devices</v>
          </cell>
          <cell r="D20">
            <v>6860077.9100000001</v>
          </cell>
          <cell r="E20">
            <v>216251.23</v>
          </cell>
          <cell r="G20">
            <v>7076329.1400000006</v>
          </cell>
          <cell r="I20">
            <v>4006854.1300000004</v>
          </cell>
          <cell r="J20">
            <v>261540.26</v>
          </cell>
          <cell r="L20">
            <v>4268394.3900000006</v>
          </cell>
          <cell r="M20">
            <v>2807934.75</v>
          </cell>
        </row>
        <row r="21">
          <cell r="B21">
            <v>1850</v>
          </cell>
          <cell r="C21" t="str">
            <v>Line Transformers</v>
          </cell>
          <cell r="D21">
            <v>5317718.1099999994</v>
          </cell>
          <cell r="E21">
            <v>107789.53</v>
          </cell>
          <cell r="G21">
            <v>5425507.6399999997</v>
          </cell>
          <cell r="I21">
            <v>2955197.92</v>
          </cell>
          <cell r="J21">
            <v>186125.1</v>
          </cell>
          <cell r="L21">
            <v>3141323.02</v>
          </cell>
          <cell r="M21">
            <v>2284184.6199999996</v>
          </cell>
        </row>
        <row r="22">
          <cell r="B22">
            <v>1855</v>
          </cell>
          <cell r="C22" t="str">
            <v>Services</v>
          </cell>
          <cell r="D22">
            <v>562459.78999999992</v>
          </cell>
          <cell r="E22">
            <v>67317.09</v>
          </cell>
          <cell r="G22">
            <v>629776.87999999989</v>
          </cell>
          <cell r="I22">
            <v>87447.23</v>
          </cell>
          <cell r="J22">
            <v>23853.95</v>
          </cell>
          <cell r="L22">
            <v>111301.18</v>
          </cell>
          <cell r="M22">
            <v>518475.6999999999</v>
          </cell>
        </row>
        <row r="23">
          <cell r="B23">
            <v>1860</v>
          </cell>
          <cell r="C23" t="str">
            <v>Meters</v>
          </cell>
          <cell r="D23">
            <v>1375472.9800000002</v>
          </cell>
          <cell r="E23">
            <v>26120.35</v>
          </cell>
          <cell r="F23">
            <v>891791.25</v>
          </cell>
          <cell r="G23">
            <v>509802.08000000031</v>
          </cell>
          <cell r="I23">
            <v>648787.32999999996</v>
          </cell>
          <cell r="J23">
            <v>8508.7800000000007</v>
          </cell>
          <cell r="K23">
            <v>599209.92000000004</v>
          </cell>
          <cell r="L23">
            <v>58086.189999999944</v>
          </cell>
          <cell r="M23">
            <v>451715.89000000036</v>
          </cell>
        </row>
        <row r="24">
          <cell r="B24">
            <v>1865</v>
          </cell>
          <cell r="C24" t="str">
            <v>Other Installations on Customer's Premises</v>
          </cell>
          <cell r="D24">
            <v>0</v>
          </cell>
          <cell r="G24">
            <v>0</v>
          </cell>
          <cell r="I24">
            <v>0</v>
          </cell>
          <cell r="L24">
            <v>0</v>
          </cell>
          <cell r="M24">
            <v>0</v>
          </cell>
        </row>
        <row r="25">
          <cell r="B25">
            <v>1905</v>
          </cell>
          <cell r="C25" t="str">
            <v>Land</v>
          </cell>
          <cell r="D25">
            <v>171765.02</v>
          </cell>
          <cell r="G25">
            <v>171765.02</v>
          </cell>
          <cell r="I25">
            <v>0</v>
          </cell>
          <cell r="L25">
            <v>0</v>
          </cell>
          <cell r="M25">
            <v>171765.02</v>
          </cell>
        </row>
        <row r="26">
          <cell r="B26">
            <v>1906</v>
          </cell>
          <cell r="C26" t="str">
            <v>Land Rights</v>
          </cell>
          <cell r="D26">
            <v>2944.73</v>
          </cell>
          <cell r="G26">
            <v>2944.73</v>
          </cell>
          <cell r="I26">
            <v>2724.73</v>
          </cell>
          <cell r="L26">
            <v>2724.73</v>
          </cell>
          <cell r="M26">
            <v>220</v>
          </cell>
        </row>
        <row r="27">
          <cell r="B27">
            <v>1908</v>
          </cell>
          <cell r="C27" t="str">
            <v>Buildings and Fixtures</v>
          </cell>
          <cell r="D27">
            <v>860528.11</v>
          </cell>
          <cell r="E27">
            <v>318.60000000000002</v>
          </cell>
          <cell r="F27">
            <v>201886.94</v>
          </cell>
          <cell r="G27">
            <v>658959.77</v>
          </cell>
          <cell r="I27">
            <v>401183.42</v>
          </cell>
          <cell r="J27">
            <v>14368.12</v>
          </cell>
          <cell r="K27">
            <v>97833.27</v>
          </cell>
          <cell r="L27">
            <v>317718.26999999996</v>
          </cell>
          <cell r="M27">
            <v>341241.50000000006</v>
          </cell>
        </row>
        <row r="28">
          <cell r="B28">
            <v>1910</v>
          </cell>
          <cell r="C28" t="str">
            <v>Leasehold Improvements</v>
          </cell>
          <cell r="D28">
            <v>0</v>
          </cell>
          <cell r="G28">
            <v>0</v>
          </cell>
          <cell r="I28">
            <v>0</v>
          </cell>
          <cell r="L28">
            <v>0</v>
          </cell>
          <cell r="M28">
            <v>0</v>
          </cell>
        </row>
        <row r="29">
          <cell r="B29">
            <v>1915</v>
          </cell>
          <cell r="C29" t="str">
            <v>Office Furniture and Equipment</v>
          </cell>
          <cell r="D29">
            <v>222315.66</v>
          </cell>
          <cell r="E29">
            <v>20593.43</v>
          </cell>
          <cell r="G29">
            <v>242909.09</v>
          </cell>
          <cell r="I29">
            <v>187171.24</v>
          </cell>
          <cell r="J29">
            <v>8953.69</v>
          </cell>
          <cell r="L29">
            <v>196124.93</v>
          </cell>
          <cell r="M29">
            <v>46784.160000000003</v>
          </cell>
        </row>
        <row r="30">
          <cell r="B30">
            <v>1920</v>
          </cell>
          <cell r="C30" t="str">
            <v>Computer Equipment - Hardware</v>
          </cell>
          <cell r="D30">
            <v>354645.59</v>
          </cell>
          <cell r="E30">
            <v>3384.72</v>
          </cell>
          <cell r="F30">
            <v>54</v>
          </cell>
          <cell r="G30">
            <v>357976.31</v>
          </cell>
          <cell r="I30">
            <v>312784.70999999996</v>
          </cell>
          <cell r="J30">
            <v>18535.830000000002</v>
          </cell>
          <cell r="L30">
            <v>331320.53999999998</v>
          </cell>
          <cell r="M30">
            <v>26655.770000000019</v>
          </cell>
        </row>
        <row r="31">
          <cell r="B31">
            <v>1925</v>
          </cell>
          <cell r="C31" t="str">
            <v>Computer Software</v>
          </cell>
          <cell r="D31">
            <v>238831.86999999997</v>
          </cell>
          <cell r="E31">
            <v>895</v>
          </cell>
          <cell r="G31">
            <v>239726.86999999997</v>
          </cell>
          <cell r="I31">
            <v>119950.91</v>
          </cell>
          <cell r="J31">
            <v>38005.300000000003</v>
          </cell>
          <cell r="L31">
            <v>157956.21000000002</v>
          </cell>
          <cell r="M31">
            <v>81770.659999999945</v>
          </cell>
        </row>
        <row r="32">
          <cell r="B32">
            <v>1930</v>
          </cell>
          <cell r="C32" t="str">
            <v>Transportation Equipment</v>
          </cell>
          <cell r="D32">
            <v>1872447.45</v>
          </cell>
          <cell r="G32">
            <v>1872447.45</v>
          </cell>
          <cell r="I32">
            <v>1393099.6700000002</v>
          </cell>
          <cell r="J32">
            <v>86858.86</v>
          </cell>
          <cell r="L32">
            <v>1479958.5300000003</v>
          </cell>
          <cell r="M32">
            <v>392488.91999999969</v>
          </cell>
        </row>
        <row r="33">
          <cell r="B33">
            <v>1935</v>
          </cell>
          <cell r="C33" t="str">
            <v>Stores Equipment</v>
          </cell>
          <cell r="D33">
            <v>0</v>
          </cell>
          <cell r="G33">
            <v>0</v>
          </cell>
          <cell r="I33">
            <v>0</v>
          </cell>
          <cell r="L33">
            <v>0</v>
          </cell>
          <cell r="M33">
            <v>0</v>
          </cell>
        </row>
        <row r="34">
          <cell r="B34">
            <v>1940</v>
          </cell>
          <cell r="C34" t="str">
            <v>Tools, Shop and Garage Equipment</v>
          </cell>
          <cell r="D34">
            <v>361925.23000000004</v>
          </cell>
          <cell r="E34">
            <v>2828.15</v>
          </cell>
          <cell r="G34">
            <v>364753.38000000006</v>
          </cell>
          <cell r="I34">
            <v>281122.52999999997</v>
          </cell>
          <cell r="J34">
            <v>12635.31</v>
          </cell>
          <cell r="L34">
            <v>293757.83999999997</v>
          </cell>
          <cell r="M34">
            <v>70995.540000000095</v>
          </cell>
        </row>
        <row r="35">
          <cell r="B35">
            <v>1945</v>
          </cell>
          <cell r="C35" t="str">
            <v>Measurement and Testing Equipment</v>
          </cell>
          <cell r="D35">
            <v>0</v>
          </cell>
          <cell r="G35">
            <v>0</v>
          </cell>
          <cell r="I35">
            <v>0</v>
          </cell>
          <cell r="L35">
            <v>0</v>
          </cell>
          <cell r="M35">
            <v>0</v>
          </cell>
        </row>
        <row r="36">
          <cell r="B36">
            <v>1950</v>
          </cell>
          <cell r="C36" t="str">
            <v>Power Operated Equipment</v>
          </cell>
          <cell r="D36">
            <v>0</v>
          </cell>
          <cell r="G36">
            <v>0</v>
          </cell>
          <cell r="I36">
            <v>0</v>
          </cell>
          <cell r="L36">
            <v>0</v>
          </cell>
          <cell r="M36">
            <v>0</v>
          </cell>
        </row>
        <row r="37">
          <cell r="B37">
            <v>1955</v>
          </cell>
          <cell r="C37" t="str">
            <v>Communication Equipment</v>
          </cell>
          <cell r="D37">
            <v>24604</v>
          </cell>
          <cell r="E37">
            <v>11226.6</v>
          </cell>
          <cell r="G37">
            <v>35830.6</v>
          </cell>
          <cell r="I37">
            <v>19220.649999999998</v>
          </cell>
          <cell r="J37">
            <v>2005.65</v>
          </cell>
          <cell r="L37">
            <v>21226.3</v>
          </cell>
          <cell r="M37">
            <v>14604.3</v>
          </cell>
        </row>
        <row r="38">
          <cell r="B38">
            <v>1960</v>
          </cell>
          <cell r="C38" t="str">
            <v>Miscellaneous Equipment</v>
          </cell>
          <cell r="D38">
            <v>0</v>
          </cell>
          <cell r="G38">
            <v>0</v>
          </cell>
          <cell r="I38">
            <v>0</v>
          </cell>
          <cell r="L38">
            <v>0</v>
          </cell>
          <cell r="M38">
            <v>0</v>
          </cell>
        </row>
        <row r="39">
          <cell r="B39">
            <v>1970</v>
          </cell>
          <cell r="C39" t="str">
            <v xml:space="preserve">Load Management Controls - Customer Premises </v>
          </cell>
          <cell r="D39">
            <v>0</v>
          </cell>
          <cell r="G39">
            <v>0</v>
          </cell>
          <cell r="I39">
            <v>0</v>
          </cell>
          <cell r="L39">
            <v>0</v>
          </cell>
          <cell r="M39">
            <v>0</v>
          </cell>
        </row>
        <row r="40">
          <cell r="B40">
            <v>1975</v>
          </cell>
          <cell r="C40" t="str">
            <v>Load Management Controls - Utility Premises</v>
          </cell>
          <cell r="D40">
            <v>0</v>
          </cell>
          <cell r="G40">
            <v>0</v>
          </cell>
          <cell r="I40">
            <v>0</v>
          </cell>
          <cell r="L40">
            <v>0</v>
          </cell>
          <cell r="M40">
            <v>0</v>
          </cell>
        </row>
        <row r="41">
          <cell r="B41">
            <v>1980</v>
          </cell>
          <cell r="C41" t="str">
            <v>System Supervisory Equipment</v>
          </cell>
          <cell r="D41">
            <v>0</v>
          </cell>
          <cell r="G41">
            <v>0</v>
          </cell>
          <cell r="I41">
            <v>0</v>
          </cell>
          <cell r="L41">
            <v>0</v>
          </cell>
          <cell r="M41">
            <v>0</v>
          </cell>
        </row>
        <row r="42">
          <cell r="B42">
            <v>1985</v>
          </cell>
          <cell r="C42" t="str">
            <v>Sentinel Lighting Rentals</v>
          </cell>
          <cell r="D42">
            <v>0</v>
          </cell>
          <cell r="G42">
            <v>0</v>
          </cell>
          <cell r="I42">
            <v>0</v>
          </cell>
          <cell r="L42">
            <v>0</v>
          </cell>
          <cell r="M42">
            <v>0</v>
          </cell>
        </row>
        <row r="43">
          <cell r="B43">
            <v>1990</v>
          </cell>
          <cell r="C43" t="str">
            <v>Other Tangible Property</v>
          </cell>
          <cell r="D43">
            <v>0</v>
          </cell>
          <cell r="G43">
            <v>0</v>
          </cell>
          <cell r="I43">
            <v>0</v>
          </cell>
          <cell r="L43">
            <v>0</v>
          </cell>
          <cell r="M43">
            <v>0</v>
          </cell>
        </row>
        <row r="44">
          <cell r="B44">
            <v>1995</v>
          </cell>
          <cell r="C44" t="str">
            <v>Contributions and Grants</v>
          </cell>
          <cell r="D44">
            <v>-3645342.5300000003</v>
          </cell>
          <cell r="E44">
            <v>-34434.519999999997</v>
          </cell>
          <cell r="G44">
            <v>-3679777.0500000003</v>
          </cell>
          <cell r="I44">
            <v>-763579.12</v>
          </cell>
          <cell r="J44">
            <v>-148054.54</v>
          </cell>
          <cell r="L44">
            <v>-911633.66</v>
          </cell>
          <cell r="M44">
            <v>-2768143.39</v>
          </cell>
        </row>
        <row r="45">
          <cell r="B45">
            <v>2005</v>
          </cell>
          <cell r="C45" t="str">
            <v>Property under Capital Lease</v>
          </cell>
          <cell r="D45">
            <v>0</v>
          </cell>
          <cell r="G45">
            <v>0</v>
          </cell>
          <cell r="I45">
            <v>0</v>
          </cell>
          <cell r="L45">
            <v>0</v>
          </cell>
          <cell r="M45">
            <v>0</v>
          </cell>
        </row>
      </sheetData>
      <sheetData sheetId="6">
        <row r="10">
          <cell r="B10">
            <v>1805</v>
          </cell>
          <cell r="C10" t="str">
            <v>Land</v>
          </cell>
          <cell r="D10">
            <v>2112</v>
          </cell>
          <cell r="G10">
            <v>2112</v>
          </cell>
          <cell r="I10">
            <v>0</v>
          </cell>
          <cell r="L10">
            <v>0</v>
          </cell>
          <cell r="M10">
            <v>2112</v>
          </cell>
        </row>
        <row r="11">
          <cell r="B11">
            <v>1806</v>
          </cell>
          <cell r="C11" t="str">
            <v>Land Rights</v>
          </cell>
          <cell r="D11">
            <v>0</v>
          </cell>
          <cell r="G11">
            <v>0</v>
          </cell>
          <cell r="I11">
            <v>0</v>
          </cell>
          <cell r="L11">
            <v>0</v>
          </cell>
          <cell r="M11">
            <v>0</v>
          </cell>
        </row>
        <row r="12">
          <cell r="B12">
            <v>1808</v>
          </cell>
          <cell r="C12" t="str">
            <v>Buildings and Fixtures</v>
          </cell>
          <cell r="D12">
            <v>0</v>
          </cell>
          <cell r="G12">
            <v>0</v>
          </cell>
          <cell r="I12">
            <v>0</v>
          </cell>
          <cell r="L12">
            <v>0</v>
          </cell>
          <cell r="M12">
            <v>0</v>
          </cell>
        </row>
        <row r="13">
          <cell r="B13">
            <v>1810</v>
          </cell>
          <cell r="C13" t="str">
            <v>Leasehold Improvements</v>
          </cell>
          <cell r="D13">
            <v>0</v>
          </cell>
          <cell r="G13">
            <v>0</v>
          </cell>
          <cell r="I13">
            <v>0</v>
          </cell>
          <cell r="L13">
            <v>0</v>
          </cell>
          <cell r="M13">
            <v>0</v>
          </cell>
        </row>
        <row r="14">
          <cell r="B14">
            <v>1815</v>
          </cell>
          <cell r="C14" t="str">
            <v>Transformer Station Equipment - Normally Primary above 50 kV</v>
          </cell>
          <cell r="D14">
            <v>0</v>
          </cell>
          <cell r="G14">
            <v>0</v>
          </cell>
          <cell r="I14">
            <v>0</v>
          </cell>
          <cell r="L14">
            <v>0</v>
          </cell>
          <cell r="M14">
            <v>0</v>
          </cell>
        </row>
        <row r="15">
          <cell r="B15">
            <v>1820</v>
          </cell>
          <cell r="C15" t="str">
            <v>Distribution Station Equipment - Normally Primary below 50 kV</v>
          </cell>
          <cell r="D15">
            <v>142098.48000000001</v>
          </cell>
          <cell r="G15">
            <v>142098.48000000001</v>
          </cell>
          <cell r="I15">
            <v>140890.36000000002</v>
          </cell>
          <cell r="J15">
            <v>61.97</v>
          </cell>
          <cell r="L15">
            <v>140952.33000000002</v>
          </cell>
          <cell r="M15">
            <v>1146.1499999999942</v>
          </cell>
        </row>
        <row r="16">
          <cell r="B16">
            <v>1825</v>
          </cell>
          <cell r="C16" t="str">
            <v>Storage Battery Equipment</v>
          </cell>
          <cell r="D16">
            <v>0</v>
          </cell>
          <cell r="G16">
            <v>0</v>
          </cell>
          <cell r="I16">
            <v>0</v>
          </cell>
          <cell r="L16">
            <v>0</v>
          </cell>
          <cell r="M16">
            <v>0</v>
          </cell>
        </row>
        <row r="17">
          <cell r="B17">
            <v>1830</v>
          </cell>
          <cell r="C17" t="str">
            <v>Poles, Towers and Fixtures</v>
          </cell>
          <cell r="D17">
            <v>837724.18</v>
          </cell>
          <cell r="E17">
            <v>51131.49</v>
          </cell>
          <cell r="G17">
            <v>888855.67</v>
          </cell>
          <cell r="I17">
            <v>163068.13999999998</v>
          </cell>
          <cell r="J17">
            <v>34541.58</v>
          </cell>
          <cell r="L17">
            <v>197609.71999999997</v>
          </cell>
          <cell r="M17">
            <v>691245.95000000007</v>
          </cell>
        </row>
        <row r="18">
          <cell r="B18">
            <v>1835</v>
          </cell>
          <cell r="C18" t="str">
            <v>Overhead Conductors and Devices</v>
          </cell>
          <cell r="D18">
            <v>6088865.1500000004</v>
          </cell>
          <cell r="E18">
            <v>186167.25</v>
          </cell>
          <cell r="G18">
            <v>6275032.4000000004</v>
          </cell>
          <cell r="I18">
            <v>4064254.14</v>
          </cell>
          <cell r="J18">
            <v>242161.68</v>
          </cell>
          <cell r="L18">
            <v>4306415.82</v>
          </cell>
          <cell r="M18">
            <v>1968616.58</v>
          </cell>
        </row>
        <row r="19">
          <cell r="B19">
            <v>1840</v>
          </cell>
          <cell r="C19" t="str">
            <v>Underground Conduit</v>
          </cell>
          <cell r="D19">
            <v>1168907.5199999998</v>
          </cell>
          <cell r="E19">
            <v>82633.440000000002</v>
          </cell>
          <cell r="G19">
            <v>1251540.9599999997</v>
          </cell>
          <cell r="I19">
            <v>195515.44</v>
          </cell>
          <cell r="J19">
            <v>48414.15</v>
          </cell>
          <cell r="L19">
            <v>243929.59</v>
          </cell>
          <cell r="M19">
            <v>1007611.3699999998</v>
          </cell>
        </row>
        <row r="20">
          <cell r="B20">
            <v>1845</v>
          </cell>
          <cell r="C20" t="str">
            <v>Underground Conductors and Devices</v>
          </cell>
          <cell r="D20">
            <v>7076329.1400000006</v>
          </cell>
          <cell r="E20">
            <v>170663.44</v>
          </cell>
          <cell r="G20">
            <v>7246992.580000001</v>
          </cell>
          <cell r="I20">
            <v>4268394.3900000006</v>
          </cell>
          <cell r="J20">
            <v>269278.55</v>
          </cell>
          <cell r="L20">
            <v>4537672.9400000004</v>
          </cell>
          <cell r="M20">
            <v>2709319.6400000006</v>
          </cell>
        </row>
        <row r="21">
          <cell r="B21">
            <v>1850</v>
          </cell>
          <cell r="C21" t="str">
            <v>Line Transformers</v>
          </cell>
          <cell r="D21">
            <v>5425507.6399999997</v>
          </cell>
          <cell r="E21">
            <v>85816.41</v>
          </cell>
          <cell r="G21">
            <v>5511324.0499999998</v>
          </cell>
          <cell r="I21">
            <v>3141323.02</v>
          </cell>
          <cell r="J21">
            <v>189997.22</v>
          </cell>
          <cell r="L21">
            <v>3331320.24</v>
          </cell>
          <cell r="M21">
            <v>2180003.8099999996</v>
          </cell>
        </row>
        <row r="22">
          <cell r="B22">
            <v>1855</v>
          </cell>
          <cell r="C22" t="str">
            <v>Services</v>
          </cell>
          <cell r="D22">
            <v>629776.87999999989</v>
          </cell>
          <cell r="E22">
            <v>70050.679999999993</v>
          </cell>
          <cell r="G22">
            <v>699827.55999999982</v>
          </cell>
          <cell r="I22">
            <v>111301.18</v>
          </cell>
          <cell r="J22">
            <v>26601.3</v>
          </cell>
          <cell r="L22">
            <v>137902.47999999998</v>
          </cell>
          <cell r="M22">
            <v>561925.07999999984</v>
          </cell>
        </row>
        <row r="23">
          <cell r="B23">
            <v>1860</v>
          </cell>
          <cell r="C23" t="str">
            <v>Meters</v>
          </cell>
          <cell r="D23">
            <v>509802.08000000031</v>
          </cell>
          <cell r="E23">
            <v>4458.92</v>
          </cell>
          <cell r="G23">
            <v>514261.00000000029</v>
          </cell>
          <cell r="I23">
            <v>58086.189999999944</v>
          </cell>
          <cell r="J23">
            <v>9120.36</v>
          </cell>
          <cell r="L23">
            <v>67206.549999999945</v>
          </cell>
          <cell r="M23">
            <v>447054.45000000036</v>
          </cell>
        </row>
        <row r="24">
          <cell r="B24">
            <v>1860</v>
          </cell>
          <cell r="C24" t="str">
            <v>Meters (Smart Meters)</v>
          </cell>
          <cell r="M24">
            <v>0</v>
          </cell>
        </row>
        <row r="25">
          <cell r="B25">
            <v>1865</v>
          </cell>
          <cell r="C25" t="str">
            <v>Other Installations on Customer's Premises</v>
          </cell>
          <cell r="D25">
            <v>0</v>
          </cell>
          <cell r="G25">
            <v>0</v>
          </cell>
          <cell r="I25">
            <v>0</v>
          </cell>
          <cell r="L25">
            <v>0</v>
          </cell>
          <cell r="M25">
            <v>0</v>
          </cell>
        </row>
        <row r="26">
          <cell r="B26">
            <v>1905</v>
          </cell>
          <cell r="C26" t="str">
            <v>Land</v>
          </cell>
          <cell r="D26">
            <v>171765.02</v>
          </cell>
          <cell r="G26">
            <v>171765.02</v>
          </cell>
          <cell r="I26">
            <v>0</v>
          </cell>
          <cell r="L26">
            <v>0</v>
          </cell>
          <cell r="M26">
            <v>171765.02</v>
          </cell>
        </row>
        <row r="27">
          <cell r="B27">
            <v>1906</v>
          </cell>
          <cell r="C27" t="str">
            <v>Land Rights</v>
          </cell>
          <cell r="D27">
            <v>2944.73</v>
          </cell>
          <cell r="G27">
            <v>2944.73</v>
          </cell>
          <cell r="I27">
            <v>2724.73</v>
          </cell>
          <cell r="L27">
            <v>2724.73</v>
          </cell>
          <cell r="M27">
            <v>220</v>
          </cell>
        </row>
        <row r="28">
          <cell r="B28">
            <v>1908</v>
          </cell>
          <cell r="C28" t="str">
            <v>Buildings and Fixtures</v>
          </cell>
          <cell r="D28">
            <v>658959.77</v>
          </cell>
          <cell r="E28">
            <v>2880</v>
          </cell>
          <cell r="G28">
            <v>661839.77</v>
          </cell>
          <cell r="I28">
            <v>317718.26999999996</v>
          </cell>
          <cell r="J28">
            <v>14399.31</v>
          </cell>
          <cell r="L28">
            <v>332117.57999999996</v>
          </cell>
          <cell r="M28">
            <v>329722.19000000006</v>
          </cell>
        </row>
        <row r="29">
          <cell r="B29">
            <v>1910</v>
          </cell>
          <cell r="C29" t="str">
            <v>Leasehold Improvements</v>
          </cell>
          <cell r="D29">
            <v>0</v>
          </cell>
          <cell r="G29">
            <v>0</v>
          </cell>
          <cell r="I29">
            <v>0</v>
          </cell>
          <cell r="L29">
            <v>0</v>
          </cell>
          <cell r="M29">
            <v>0</v>
          </cell>
        </row>
        <row r="30">
          <cell r="B30">
            <v>1915</v>
          </cell>
          <cell r="C30" t="str">
            <v>Office Furniture and Equipment</v>
          </cell>
          <cell r="D30">
            <v>242909.09</v>
          </cell>
          <cell r="G30">
            <v>242909.09</v>
          </cell>
          <cell r="I30">
            <v>196124.93</v>
          </cell>
          <cell r="J30">
            <v>8449.9500000000007</v>
          </cell>
          <cell r="L30">
            <v>204574.88</v>
          </cell>
          <cell r="M30">
            <v>38334.209999999992</v>
          </cell>
        </row>
        <row r="31">
          <cell r="B31">
            <v>1920</v>
          </cell>
          <cell r="C31" t="str">
            <v>Computer Equipment - Hardware</v>
          </cell>
          <cell r="D31">
            <v>357976.31</v>
          </cell>
          <cell r="E31">
            <v>2992</v>
          </cell>
          <cell r="G31">
            <v>360968.31</v>
          </cell>
          <cell r="I31">
            <v>331320.53999999998</v>
          </cell>
          <cell r="J31">
            <v>16000.98</v>
          </cell>
          <cell r="L31">
            <v>347321.51999999996</v>
          </cell>
          <cell r="M31">
            <v>13646.790000000037</v>
          </cell>
        </row>
        <row r="32">
          <cell r="B32">
            <v>1925</v>
          </cell>
          <cell r="C32" t="str">
            <v>Computer Software</v>
          </cell>
          <cell r="D32">
            <v>239726.86999999997</v>
          </cell>
          <cell r="G32">
            <v>239726.86999999997</v>
          </cell>
          <cell r="I32">
            <v>157956.21000000002</v>
          </cell>
          <cell r="J32">
            <v>36405.47</v>
          </cell>
          <cell r="L32">
            <v>194361.68000000002</v>
          </cell>
          <cell r="M32">
            <v>45365.189999999944</v>
          </cell>
        </row>
        <row r="33">
          <cell r="B33">
            <v>1930</v>
          </cell>
          <cell r="C33" t="str">
            <v>Transportation Equipment</v>
          </cell>
          <cell r="D33">
            <v>1872447.45</v>
          </cell>
          <cell r="E33">
            <v>14618</v>
          </cell>
          <cell r="F33">
            <v>500</v>
          </cell>
          <cell r="G33">
            <v>1886565.45</v>
          </cell>
          <cell r="I33">
            <v>1479958.5300000003</v>
          </cell>
          <cell r="J33">
            <v>82285.210000000006</v>
          </cell>
          <cell r="L33">
            <v>1562243.7400000002</v>
          </cell>
          <cell r="M33">
            <v>324321.70999999973</v>
          </cell>
        </row>
        <row r="34">
          <cell r="B34">
            <v>1935</v>
          </cell>
          <cell r="C34" t="str">
            <v>Stores Equipment</v>
          </cell>
          <cell r="D34">
            <v>0</v>
          </cell>
          <cell r="G34">
            <v>0</v>
          </cell>
          <cell r="I34">
            <v>0</v>
          </cell>
          <cell r="L34">
            <v>0</v>
          </cell>
          <cell r="M34">
            <v>0</v>
          </cell>
        </row>
        <row r="35">
          <cell r="B35">
            <v>1940</v>
          </cell>
          <cell r="C35" t="str">
            <v>Tools, Shop and Garage Equipment</v>
          </cell>
          <cell r="D35">
            <v>364753.38000000006</v>
          </cell>
          <cell r="E35">
            <v>563.55999999999995</v>
          </cell>
          <cell r="G35">
            <v>365316.94000000006</v>
          </cell>
          <cell r="I35">
            <v>293757.83999999997</v>
          </cell>
          <cell r="J35">
            <v>12685.02</v>
          </cell>
          <cell r="L35">
            <v>306442.86</v>
          </cell>
          <cell r="M35">
            <v>58874.080000000075</v>
          </cell>
        </row>
        <row r="36">
          <cell r="B36">
            <v>1945</v>
          </cell>
          <cell r="C36" t="str">
            <v>Measurement and Testing Equipment</v>
          </cell>
          <cell r="D36">
            <v>0</v>
          </cell>
          <cell r="G36">
            <v>0</v>
          </cell>
          <cell r="I36">
            <v>0</v>
          </cell>
          <cell r="L36">
            <v>0</v>
          </cell>
          <cell r="M36">
            <v>0</v>
          </cell>
        </row>
        <row r="37">
          <cell r="B37">
            <v>1950</v>
          </cell>
          <cell r="C37" t="str">
            <v>Power Operated Equipment</v>
          </cell>
          <cell r="D37">
            <v>0</v>
          </cell>
          <cell r="G37">
            <v>0</v>
          </cell>
          <cell r="I37">
            <v>0</v>
          </cell>
          <cell r="L37">
            <v>0</v>
          </cell>
          <cell r="M37">
            <v>0</v>
          </cell>
        </row>
        <row r="38">
          <cell r="B38">
            <v>1955</v>
          </cell>
          <cell r="C38" t="str">
            <v>Communication Equipment</v>
          </cell>
          <cell r="D38">
            <v>35830.6</v>
          </cell>
          <cell r="G38">
            <v>35830.6</v>
          </cell>
          <cell r="I38">
            <v>21226.3</v>
          </cell>
          <cell r="J38">
            <v>1972.45</v>
          </cell>
          <cell r="L38">
            <v>23198.75</v>
          </cell>
          <cell r="M38">
            <v>12631.849999999999</v>
          </cell>
        </row>
        <row r="39">
          <cell r="B39">
            <v>1955</v>
          </cell>
          <cell r="C39" t="str">
            <v>Communication Equipment (Smart Meters)</v>
          </cell>
          <cell r="M39">
            <v>0</v>
          </cell>
        </row>
        <row r="40">
          <cell r="B40">
            <v>1960</v>
          </cell>
          <cell r="C40" t="str">
            <v>Miscellaneous Equipment</v>
          </cell>
          <cell r="D40">
            <v>0</v>
          </cell>
          <cell r="G40">
            <v>0</v>
          </cell>
          <cell r="I40">
            <v>0</v>
          </cell>
          <cell r="L40">
            <v>0</v>
          </cell>
          <cell r="M40">
            <v>0</v>
          </cell>
        </row>
        <row r="41">
          <cell r="B41">
            <v>1970</v>
          </cell>
          <cell r="C41" t="str">
            <v xml:space="preserve">Load Management Controls - Customer Premises </v>
          </cell>
          <cell r="D41">
            <v>0</v>
          </cell>
          <cell r="G41">
            <v>0</v>
          </cell>
          <cell r="I41">
            <v>0</v>
          </cell>
          <cell r="L41">
            <v>0</v>
          </cell>
          <cell r="M41">
            <v>0</v>
          </cell>
        </row>
        <row r="42">
          <cell r="B42">
            <v>1975</v>
          </cell>
          <cell r="C42" t="str">
            <v>Load Management Controls - Utility Premises</v>
          </cell>
          <cell r="D42">
            <v>0</v>
          </cell>
          <cell r="G42">
            <v>0</v>
          </cell>
          <cell r="I42">
            <v>0</v>
          </cell>
          <cell r="L42">
            <v>0</v>
          </cell>
          <cell r="M42">
            <v>0</v>
          </cell>
        </row>
        <row r="43">
          <cell r="B43">
            <v>1980</v>
          </cell>
          <cell r="C43" t="str">
            <v>System Supervisory Equipment</v>
          </cell>
          <cell r="D43">
            <v>0</v>
          </cell>
          <cell r="G43">
            <v>0</v>
          </cell>
          <cell r="I43">
            <v>0</v>
          </cell>
          <cell r="L43">
            <v>0</v>
          </cell>
          <cell r="M43">
            <v>0</v>
          </cell>
        </row>
        <row r="44">
          <cell r="B44">
            <v>1985</v>
          </cell>
          <cell r="C44" t="str">
            <v>Sentinel Lighting Rentals</v>
          </cell>
          <cell r="D44">
            <v>0</v>
          </cell>
          <cell r="G44">
            <v>0</v>
          </cell>
          <cell r="I44">
            <v>0</v>
          </cell>
          <cell r="L44">
            <v>0</v>
          </cell>
          <cell r="M44">
            <v>0</v>
          </cell>
        </row>
        <row r="45">
          <cell r="B45">
            <v>1990</v>
          </cell>
          <cell r="C45" t="str">
            <v>Other Tangible Property</v>
          </cell>
          <cell r="D45">
            <v>0</v>
          </cell>
          <cell r="G45">
            <v>0</v>
          </cell>
          <cell r="I45">
            <v>0</v>
          </cell>
          <cell r="L45">
            <v>0</v>
          </cell>
          <cell r="M45">
            <v>0</v>
          </cell>
        </row>
        <row r="46">
          <cell r="B46">
            <v>1995</v>
          </cell>
          <cell r="C46" t="str">
            <v>Contributions and Grants</v>
          </cell>
          <cell r="D46">
            <v>-3679777.0500000003</v>
          </cell>
          <cell r="E46">
            <v>-191644.07</v>
          </cell>
          <cell r="G46">
            <v>-3871421.12</v>
          </cell>
          <cell r="I46">
            <v>-911633.66</v>
          </cell>
          <cell r="J46">
            <v>-152576.10999999999</v>
          </cell>
          <cell r="L46">
            <v>-1064209.77</v>
          </cell>
          <cell r="M46">
            <v>-2807211.35</v>
          </cell>
        </row>
      </sheetData>
      <sheetData sheetId="7">
        <row r="10">
          <cell r="B10">
            <v>1805</v>
          </cell>
          <cell r="C10" t="str">
            <v>Land</v>
          </cell>
          <cell r="D10">
            <v>2112</v>
          </cell>
          <cell r="G10">
            <v>2112</v>
          </cell>
          <cell r="I10">
            <v>0</v>
          </cell>
          <cell r="L10">
            <v>0</v>
          </cell>
          <cell r="M10">
            <v>2112</v>
          </cell>
        </row>
        <row r="11">
          <cell r="B11">
            <v>1806</v>
          </cell>
          <cell r="C11" t="str">
            <v>Land Rights</v>
          </cell>
          <cell r="D11">
            <v>0</v>
          </cell>
          <cell r="G11">
            <v>0</v>
          </cell>
          <cell r="I11">
            <v>0</v>
          </cell>
          <cell r="L11">
            <v>0</v>
          </cell>
          <cell r="M11">
            <v>0</v>
          </cell>
        </row>
        <row r="12">
          <cell r="B12">
            <v>1808</v>
          </cell>
          <cell r="C12" t="str">
            <v>Buildings and Fixtures</v>
          </cell>
          <cell r="D12">
            <v>0</v>
          </cell>
          <cell r="G12">
            <v>0</v>
          </cell>
          <cell r="I12">
            <v>0</v>
          </cell>
          <cell r="L12">
            <v>0</v>
          </cell>
          <cell r="M12">
            <v>0</v>
          </cell>
        </row>
        <row r="13">
          <cell r="B13">
            <v>1810</v>
          </cell>
          <cell r="C13" t="str">
            <v>Leasehold Improvements</v>
          </cell>
          <cell r="D13">
            <v>0</v>
          </cell>
          <cell r="G13">
            <v>0</v>
          </cell>
          <cell r="I13">
            <v>0</v>
          </cell>
          <cell r="L13">
            <v>0</v>
          </cell>
          <cell r="M13">
            <v>0</v>
          </cell>
        </row>
        <row r="14">
          <cell r="B14">
            <v>1815</v>
          </cell>
          <cell r="C14" t="str">
            <v>Transformer Station Equipment - Normally Primary above 50 kV</v>
          </cell>
          <cell r="D14">
            <v>0</v>
          </cell>
          <cell r="G14">
            <v>0</v>
          </cell>
          <cell r="I14">
            <v>0</v>
          </cell>
          <cell r="L14">
            <v>0</v>
          </cell>
          <cell r="M14">
            <v>0</v>
          </cell>
        </row>
        <row r="15">
          <cell r="B15">
            <v>1820</v>
          </cell>
          <cell r="C15" t="str">
            <v>Distribution Station Equipment - Normally Primary below 50 kV</v>
          </cell>
          <cell r="D15">
            <v>142098.48000000001</v>
          </cell>
          <cell r="G15">
            <v>142098.48000000001</v>
          </cell>
          <cell r="I15">
            <v>140952.33000000002</v>
          </cell>
          <cell r="J15">
            <v>61.97</v>
          </cell>
          <cell r="L15">
            <v>141014.30000000002</v>
          </cell>
          <cell r="M15">
            <v>1084.179999999993</v>
          </cell>
        </row>
        <row r="16">
          <cell r="B16">
            <v>1825</v>
          </cell>
          <cell r="C16" t="str">
            <v>Storage Battery Equipment</v>
          </cell>
          <cell r="D16">
            <v>0</v>
          </cell>
          <cell r="G16">
            <v>0</v>
          </cell>
          <cell r="I16">
            <v>0</v>
          </cell>
          <cell r="L16">
            <v>0</v>
          </cell>
          <cell r="M16">
            <v>0</v>
          </cell>
        </row>
        <row r="17">
          <cell r="B17">
            <v>1830</v>
          </cell>
          <cell r="C17" t="str">
            <v>Poles, Towers and Fixtures</v>
          </cell>
          <cell r="D17">
            <v>888855.67</v>
          </cell>
          <cell r="E17">
            <v>21000</v>
          </cell>
          <cell r="G17">
            <v>909855.67</v>
          </cell>
          <cell r="I17">
            <v>197609.71999999997</v>
          </cell>
          <cell r="J17">
            <v>35984.21</v>
          </cell>
          <cell r="L17">
            <v>233593.92999999996</v>
          </cell>
          <cell r="M17">
            <v>676261.74000000011</v>
          </cell>
        </row>
        <row r="18">
          <cell r="B18">
            <v>1835</v>
          </cell>
          <cell r="C18" t="str">
            <v>Overhead Conductors and Devices</v>
          </cell>
          <cell r="D18">
            <v>6275032.4000000004</v>
          </cell>
          <cell r="E18">
            <v>47000</v>
          </cell>
          <cell r="G18">
            <v>6322032.4000000004</v>
          </cell>
          <cell r="I18">
            <v>4306415.82</v>
          </cell>
          <cell r="J18">
            <v>246825.02</v>
          </cell>
          <cell r="L18">
            <v>4553240.84</v>
          </cell>
          <cell r="M18">
            <v>1768791.5600000005</v>
          </cell>
        </row>
        <row r="19">
          <cell r="B19">
            <v>1840</v>
          </cell>
          <cell r="C19" t="str">
            <v>Underground Conduit</v>
          </cell>
          <cell r="D19">
            <v>1251540.9599999997</v>
          </cell>
          <cell r="E19">
            <v>200100</v>
          </cell>
          <cell r="G19">
            <v>1451640.9599999997</v>
          </cell>
          <cell r="I19">
            <v>243929.59</v>
          </cell>
          <cell r="J19">
            <v>54068.82</v>
          </cell>
          <cell r="L19">
            <v>297998.40999999997</v>
          </cell>
          <cell r="M19">
            <v>1153642.5499999998</v>
          </cell>
        </row>
        <row r="20">
          <cell r="B20">
            <v>1845</v>
          </cell>
          <cell r="C20" t="str">
            <v>Underground Conductors and Devices</v>
          </cell>
          <cell r="D20">
            <v>7246992.580000001</v>
          </cell>
          <cell r="E20">
            <v>517100</v>
          </cell>
          <cell r="G20">
            <v>7764092.580000001</v>
          </cell>
          <cell r="I20">
            <v>4537672.9400000004</v>
          </cell>
          <cell r="J20">
            <v>283033.82</v>
          </cell>
          <cell r="L20">
            <v>4820706.7600000007</v>
          </cell>
          <cell r="M20">
            <v>2943385.8200000003</v>
          </cell>
        </row>
        <row r="21">
          <cell r="B21">
            <v>1850</v>
          </cell>
          <cell r="C21" t="str">
            <v>Line Transformers</v>
          </cell>
          <cell r="D21">
            <v>5511324.0499999998</v>
          </cell>
          <cell r="E21">
            <v>399590</v>
          </cell>
          <cell r="G21">
            <v>5910914.0499999998</v>
          </cell>
          <cell r="I21">
            <v>3331320.24</v>
          </cell>
          <cell r="J21">
            <v>199705.35</v>
          </cell>
          <cell r="L21">
            <v>3531025.5900000003</v>
          </cell>
          <cell r="M21">
            <v>2379888.4599999995</v>
          </cell>
        </row>
        <row r="22">
          <cell r="B22">
            <v>1855</v>
          </cell>
          <cell r="C22" t="str">
            <v>Services</v>
          </cell>
          <cell r="D22">
            <v>699827.55999999982</v>
          </cell>
          <cell r="E22">
            <v>88200</v>
          </cell>
          <cell r="G22">
            <v>788027.55999999982</v>
          </cell>
          <cell r="I22">
            <v>137902.47999999998</v>
          </cell>
          <cell r="J22">
            <v>29766.32</v>
          </cell>
          <cell r="L22">
            <v>167668.79999999999</v>
          </cell>
          <cell r="M22">
            <v>620358.75999999978</v>
          </cell>
        </row>
        <row r="23">
          <cell r="B23">
            <v>1860</v>
          </cell>
          <cell r="C23" t="str">
            <v>Meters</v>
          </cell>
          <cell r="D23">
            <v>514261.00000000029</v>
          </cell>
          <cell r="E23">
            <v>21260</v>
          </cell>
          <cell r="G23">
            <v>535521.00000000023</v>
          </cell>
          <cell r="I23">
            <v>67206.549999999945</v>
          </cell>
          <cell r="J23">
            <v>9634.74</v>
          </cell>
          <cell r="L23">
            <v>76841.28999999995</v>
          </cell>
          <cell r="M23">
            <v>458679.71000000031</v>
          </cell>
        </row>
        <row r="24">
          <cell r="B24">
            <v>1860</v>
          </cell>
          <cell r="C24" t="str">
            <v>Meters (Smart Meters)</v>
          </cell>
          <cell r="D24">
            <v>1574203.7499999998</v>
          </cell>
          <cell r="G24">
            <v>1574203.7499999998</v>
          </cell>
          <cell r="I24">
            <v>137875.34366666665</v>
          </cell>
          <cell r="J24">
            <v>105478.30933333332</v>
          </cell>
          <cell r="L24">
            <v>243353.65299999999</v>
          </cell>
          <cell r="M24">
            <v>1330850.0969999998</v>
          </cell>
        </row>
        <row r="25">
          <cell r="B25">
            <v>1865</v>
          </cell>
          <cell r="C25" t="str">
            <v>Other Installations on Customer's Premises</v>
          </cell>
          <cell r="D25">
            <v>0</v>
          </cell>
          <cell r="G25">
            <v>0</v>
          </cell>
          <cell r="I25">
            <v>0</v>
          </cell>
          <cell r="L25">
            <v>0</v>
          </cell>
          <cell r="M25">
            <v>0</v>
          </cell>
        </row>
        <row r="26">
          <cell r="B26">
            <v>1905</v>
          </cell>
          <cell r="C26" t="str">
            <v>Land</v>
          </cell>
          <cell r="D26">
            <v>171765.02</v>
          </cell>
          <cell r="G26">
            <v>171765.02</v>
          </cell>
          <cell r="I26">
            <v>0</v>
          </cell>
          <cell r="L26">
            <v>0</v>
          </cell>
          <cell r="M26">
            <v>171765.02</v>
          </cell>
        </row>
        <row r="27">
          <cell r="B27">
            <v>1906</v>
          </cell>
          <cell r="C27" t="str">
            <v>Land Rights</v>
          </cell>
          <cell r="D27">
            <v>2944.73</v>
          </cell>
          <cell r="G27">
            <v>2944.73</v>
          </cell>
          <cell r="I27">
            <v>2724.73</v>
          </cell>
          <cell r="L27">
            <v>2724.73</v>
          </cell>
          <cell r="M27">
            <v>220</v>
          </cell>
        </row>
        <row r="28">
          <cell r="B28">
            <v>1908</v>
          </cell>
          <cell r="C28" t="str">
            <v>Buildings and Fixtures</v>
          </cell>
          <cell r="D28">
            <v>661839.77</v>
          </cell>
          <cell r="E28">
            <v>14500</v>
          </cell>
          <cell r="G28">
            <v>676339.77</v>
          </cell>
          <cell r="I28">
            <v>332117.57999999996</v>
          </cell>
          <cell r="J28">
            <v>14573.91</v>
          </cell>
          <cell r="L28">
            <v>346691.48999999993</v>
          </cell>
          <cell r="M28">
            <v>329648.28000000009</v>
          </cell>
        </row>
        <row r="29">
          <cell r="B29">
            <v>1910</v>
          </cell>
          <cell r="C29" t="str">
            <v>Leasehold Improvements</v>
          </cell>
          <cell r="D29">
            <v>0</v>
          </cell>
          <cell r="G29">
            <v>0</v>
          </cell>
          <cell r="I29">
            <v>0</v>
          </cell>
          <cell r="L29">
            <v>0</v>
          </cell>
          <cell r="M29">
            <v>0</v>
          </cell>
        </row>
        <row r="30">
          <cell r="B30">
            <v>1915</v>
          </cell>
          <cell r="C30" t="str">
            <v>Office Furniture and Equipment</v>
          </cell>
          <cell r="D30">
            <v>242909.09</v>
          </cell>
          <cell r="E30">
            <v>2500</v>
          </cell>
          <cell r="G30">
            <v>245409.09</v>
          </cell>
          <cell r="I30">
            <v>204574.88</v>
          </cell>
          <cell r="J30">
            <v>7101.71</v>
          </cell>
          <cell r="L30">
            <v>211676.59</v>
          </cell>
          <cell r="M30">
            <v>33732.5</v>
          </cell>
        </row>
        <row r="31">
          <cell r="B31">
            <v>1920</v>
          </cell>
          <cell r="C31" t="str">
            <v>Computer Equipment - Hardware</v>
          </cell>
          <cell r="D31">
            <v>360968.31</v>
          </cell>
          <cell r="E31">
            <v>5000</v>
          </cell>
          <cell r="G31">
            <v>365968.31</v>
          </cell>
          <cell r="I31">
            <v>347321.51999999996</v>
          </cell>
          <cell r="J31">
            <v>11688.14</v>
          </cell>
          <cell r="L31">
            <v>359009.66</v>
          </cell>
          <cell r="M31">
            <v>6958.6500000000233</v>
          </cell>
        </row>
        <row r="32">
          <cell r="B32">
            <v>1925</v>
          </cell>
          <cell r="C32" t="str">
            <v>Computer Software</v>
          </cell>
          <cell r="D32">
            <v>265645.87</v>
          </cell>
          <cell r="E32">
            <v>19000</v>
          </cell>
          <cell r="G32">
            <v>284645.87</v>
          </cell>
          <cell r="I32">
            <v>202137.38000000003</v>
          </cell>
          <cell r="J32">
            <v>43489.270000000004</v>
          </cell>
          <cell r="L32">
            <v>245626.65000000002</v>
          </cell>
          <cell r="M32">
            <v>39019.219999999972</v>
          </cell>
        </row>
        <row r="33">
          <cell r="B33">
            <v>1930</v>
          </cell>
          <cell r="C33" t="str">
            <v>Transportation Equipment</v>
          </cell>
          <cell r="D33">
            <v>1886565.45</v>
          </cell>
          <cell r="E33">
            <v>89250</v>
          </cell>
          <cell r="G33">
            <v>1975815.45</v>
          </cell>
          <cell r="I33">
            <v>1562243.7400000002</v>
          </cell>
          <cell r="J33">
            <v>88715.34</v>
          </cell>
          <cell r="L33">
            <v>1650959.0800000003</v>
          </cell>
          <cell r="M33">
            <v>324856.36999999965</v>
          </cell>
        </row>
        <row r="34">
          <cell r="B34">
            <v>1935</v>
          </cell>
          <cell r="C34" t="str">
            <v>Stores Equipment</v>
          </cell>
          <cell r="D34">
            <v>0</v>
          </cell>
          <cell r="G34">
            <v>0</v>
          </cell>
          <cell r="I34">
            <v>0</v>
          </cell>
          <cell r="L34">
            <v>0</v>
          </cell>
          <cell r="M34">
            <v>0</v>
          </cell>
        </row>
        <row r="35">
          <cell r="B35">
            <v>1940</v>
          </cell>
          <cell r="C35" t="str">
            <v>Tools, Shop and Garage Equipment</v>
          </cell>
          <cell r="D35">
            <v>365316.94000000006</v>
          </cell>
          <cell r="E35">
            <v>25000</v>
          </cell>
          <cell r="G35">
            <v>390316.94000000006</v>
          </cell>
          <cell r="I35">
            <v>306442.86</v>
          </cell>
          <cell r="J35">
            <v>13909.17</v>
          </cell>
          <cell r="L35">
            <v>320352.02999999997</v>
          </cell>
          <cell r="M35">
            <v>69964.910000000091</v>
          </cell>
        </row>
        <row r="36">
          <cell r="B36">
            <v>1945</v>
          </cell>
          <cell r="C36" t="str">
            <v>Measurement and Testing Equipment</v>
          </cell>
          <cell r="D36">
            <v>0</v>
          </cell>
          <cell r="G36">
            <v>0</v>
          </cell>
          <cell r="I36">
            <v>0</v>
          </cell>
          <cell r="L36">
            <v>0</v>
          </cell>
          <cell r="M36">
            <v>0</v>
          </cell>
        </row>
        <row r="37">
          <cell r="B37">
            <v>1950</v>
          </cell>
          <cell r="C37" t="str">
            <v>Power Operated Equipment</v>
          </cell>
          <cell r="D37">
            <v>0</v>
          </cell>
          <cell r="G37">
            <v>0</v>
          </cell>
          <cell r="I37">
            <v>0</v>
          </cell>
          <cell r="L37">
            <v>0</v>
          </cell>
          <cell r="M37">
            <v>0</v>
          </cell>
        </row>
        <row r="38">
          <cell r="B38">
            <v>1955</v>
          </cell>
          <cell r="C38" t="str">
            <v>Communication Equipment</v>
          </cell>
          <cell r="D38">
            <v>35830.6</v>
          </cell>
          <cell r="G38">
            <v>35830.6</v>
          </cell>
          <cell r="I38">
            <v>23198.75</v>
          </cell>
          <cell r="J38">
            <v>1545.35</v>
          </cell>
          <cell r="L38">
            <v>24744.1</v>
          </cell>
          <cell r="M38">
            <v>11086.5</v>
          </cell>
        </row>
        <row r="39">
          <cell r="B39">
            <v>1955</v>
          </cell>
          <cell r="C39" t="str">
            <v>Communication Equipment (Smart Meters)</v>
          </cell>
          <cell r="D39">
            <v>0</v>
          </cell>
          <cell r="G39">
            <v>0</v>
          </cell>
          <cell r="I39">
            <v>0</v>
          </cell>
          <cell r="L39">
            <v>0</v>
          </cell>
          <cell r="M39">
            <v>0</v>
          </cell>
        </row>
        <row r="40">
          <cell r="B40">
            <v>1960</v>
          </cell>
          <cell r="C40" t="str">
            <v>Miscellaneous Equipment</v>
          </cell>
          <cell r="D40">
            <v>0</v>
          </cell>
          <cell r="G40">
            <v>0</v>
          </cell>
          <cell r="I40">
            <v>0</v>
          </cell>
          <cell r="L40">
            <v>0</v>
          </cell>
          <cell r="M40">
            <v>0</v>
          </cell>
        </row>
        <row r="41">
          <cell r="B41">
            <v>1970</v>
          </cell>
          <cell r="C41" t="str">
            <v xml:space="preserve">Load Management Controls - Customer Premises </v>
          </cell>
          <cell r="D41">
            <v>0</v>
          </cell>
          <cell r="G41">
            <v>0</v>
          </cell>
          <cell r="I41">
            <v>0</v>
          </cell>
          <cell r="L41">
            <v>0</v>
          </cell>
          <cell r="M41">
            <v>0</v>
          </cell>
        </row>
        <row r="42">
          <cell r="B42">
            <v>1975</v>
          </cell>
          <cell r="C42" t="str">
            <v>Load Management Controls - Utility Premises</v>
          </cell>
          <cell r="D42">
            <v>0</v>
          </cell>
          <cell r="G42">
            <v>0</v>
          </cell>
          <cell r="I42">
            <v>0</v>
          </cell>
          <cell r="L42">
            <v>0</v>
          </cell>
          <cell r="M42">
            <v>0</v>
          </cell>
        </row>
        <row r="43">
          <cell r="B43">
            <v>1980</v>
          </cell>
          <cell r="C43" t="str">
            <v>System Supervisory Equipment</v>
          </cell>
          <cell r="D43">
            <v>0</v>
          </cell>
          <cell r="G43">
            <v>0</v>
          </cell>
          <cell r="I43">
            <v>0</v>
          </cell>
          <cell r="L43">
            <v>0</v>
          </cell>
          <cell r="M43">
            <v>0</v>
          </cell>
        </row>
        <row r="44">
          <cell r="B44">
            <v>1985</v>
          </cell>
          <cell r="C44" t="str">
            <v>Sentinel Lighting Rentals</v>
          </cell>
          <cell r="D44">
            <v>0</v>
          </cell>
          <cell r="G44">
            <v>0</v>
          </cell>
          <cell r="I44">
            <v>0</v>
          </cell>
          <cell r="L44">
            <v>0</v>
          </cell>
          <cell r="M44">
            <v>0</v>
          </cell>
        </row>
        <row r="45">
          <cell r="B45">
            <v>1990</v>
          </cell>
          <cell r="C45" t="str">
            <v>Other Tangible Property</v>
          </cell>
          <cell r="D45">
            <v>0</v>
          </cell>
          <cell r="G45">
            <v>0</v>
          </cell>
          <cell r="I45">
            <v>0</v>
          </cell>
          <cell r="L45">
            <v>0</v>
          </cell>
          <cell r="M45">
            <v>0</v>
          </cell>
        </row>
        <row r="46">
          <cell r="B46">
            <v>1995</v>
          </cell>
          <cell r="C46" t="str">
            <v>Contributions and Grants</v>
          </cell>
          <cell r="D46">
            <v>-3871421.12</v>
          </cell>
          <cell r="E46">
            <v>-703250</v>
          </cell>
          <cell r="G46">
            <v>-4574671.12</v>
          </cell>
          <cell r="I46">
            <v>-1064209.77</v>
          </cell>
          <cell r="J46">
            <v>-170474</v>
          </cell>
          <cell r="L46">
            <v>-1234683.77</v>
          </cell>
          <cell r="M46">
            <v>-3339987.35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62">
          <cell r="D262">
            <v>-363445.22</v>
          </cell>
          <cell r="H262">
            <v>-222433.78</v>
          </cell>
          <cell r="J262">
            <v>-47399.839999999997</v>
          </cell>
          <cell r="L262">
            <v>-55154.1</v>
          </cell>
          <cell r="N262">
            <v>-77844.240000000005</v>
          </cell>
          <cell r="P262">
            <v>-77000</v>
          </cell>
        </row>
        <row r="277">
          <cell r="A277">
            <v>5005</v>
          </cell>
          <cell r="B277" t="str">
            <v>Operation Supervision and Engineering</v>
          </cell>
          <cell r="D277">
            <v>72063.94</v>
          </cell>
          <cell r="F277">
            <v>71389.08</v>
          </cell>
          <cell r="H277">
            <v>58337.16</v>
          </cell>
          <cell r="J277">
            <v>60019.76</v>
          </cell>
          <cell r="L277">
            <v>55206.53</v>
          </cell>
          <cell r="N277">
            <v>60875.5</v>
          </cell>
          <cell r="P277">
            <v>81000</v>
          </cell>
        </row>
        <row r="278">
          <cell r="A278">
            <v>5010</v>
          </cell>
          <cell r="B278" t="str">
            <v>Load Dispatching</v>
          </cell>
          <cell r="F278">
            <v>268.52</v>
          </cell>
          <cell r="H278">
            <v>449.23</v>
          </cell>
          <cell r="J278">
            <v>82.43</v>
          </cell>
          <cell r="L278">
            <v>4836.04</v>
          </cell>
          <cell r="N278">
            <v>277.49</v>
          </cell>
          <cell r="P278">
            <v>1000</v>
          </cell>
        </row>
        <row r="279">
          <cell r="A279">
            <v>5012</v>
          </cell>
          <cell r="B279" t="str">
            <v>Station Buildings and Fixtures Expense</v>
          </cell>
        </row>
        <row r="280">
          <cell r="A280">
            <v>5014</v>
          </cell>
          <cell r="B280" t="str">
            <v>Transformer Station Equipment - Operation Labour</v>
          </cell>
        </row>
        <row r="281">
          <cell r="A281">
            <v>5015</v>
          </cell>
          <cell r="B281" t="str">
            <v>Transformer Station Equipment - Operation Supplies and Expenses</v>
          </cell>
        </row>
        <row r="282">
          <cell r="A282">
            <v>5016</v>
          </cell>
          <cell r="B282" t="str">
            <v>Distribution Station Equipment - Operation Labour</v>
          </cell>
          <cell r="D282">
            <v>1061.24</v>
          </cell>
          <cell r="F282">
            <v>729.29</v>
          </cell>
          <cell r="H282">
            <v>2558.87</v>
          </cell>
          <cell r="J282">
            <v>1647.94</v>
          </cell>
          <cell r="L282">
            <v>661.18</v>
          </cell>
          <cell r="N282">
            <v>459.55</v>
          </cell>
          <cell r="P282">
            <v>2000</v>
          </cell>
        </row>
        <row r="283">
          <cell r="A283">
            <v>5017</v>
          </cell>
          <cell r="B283" t="str">
            <v>Distribution Station Equipment - Operation Supplies and Expenses</v>
          </cell>
        </row>
        <row r="284">
          <cell r="A284">
            <v>5020</v>
          </cell>
          <cell r="B284" t="str">
            <v>Overhead Distribution Lines and Feeders - Operation Labour</v>
          </cell>
          <cell r="D284">
            <v>49506.720000000001</v>
          </cell>
          <cell r="F284">
            <v>39309.019999999997</v>
          </cell>
          <cell r="H284">
            <v>43301.919999999998</v>
          </cell>
          <cell r="J284">
            <v>45900.37</v>
          </cell>
          <cell r="L284">
            <v>35367.089999999997</v>
          </cell>
          <cell r="N284">
            <v>40304.160000000003</v>
          </cell>
          <cell r="P284">
            <v>54000</v>
          </cell>
        </row>
        <row r="285">
          <cell r="A285">
            <v>5025</v>
          </cell>
          <cell r="B285" t="str">
            <v>Overhead Distribution Lines and Feeders - Operation Supplies and Expenses</v>
          </cell>
          <cell r="N285">
            <v>23.75</v>
          </cell>
        </row>
        <row r="286">
          <cell r="A286">
            <v>5030</v>
          </cell>
          <cell r="B286" t="str">
            <v>Overhead Subtransmission Feeders - Operation</v>
          </cell>
        </row>
        <row r="287">
          <cell r="A287">
            <v>5035</v>
          </cell>
          <cell r="B287" t="str">
            <v>Overhead Distribution Transformers - Operation</v>
          </cell>
          <cell r="D287">
            <v>417.01</v>
          </cell>
          <cell r="F287">
            <v>1038.5999999999999</v>
          </cell>
          <cell r="H287">
            <v>1146.83</v>
          </cell>
          <cell r="J287">
            <v>2459.41</v>
          </cell>
          <cell r="L287">
            <v>2384.7199999999998</v>
          </cell>
          <cell r="N287">
            <v>4180.41</v>
          </cell>
          <cell r="P287">
            <v>4000</v>
          </cell>
        </row>
        <row r="288">
          <cell r="A288">
            <v>5040</v>
          </cell>
          <cell r="B288" t="str">
            <v>Underground Distribution Lines and Feeders - Operation Labour</v>
          </cell>
          <cell r="D288">
            <v>78635.97</v>
          </cell>
          <cell r="F288">
            <v>87955.14</v>
          </cell>
          <cell r="H288">
            <v>86907.01</v>
          </cell>
          <cell r="J288">
            <v>109884.86</v>
          </cell>
          <cell r="L288">
            <v>77137.08</v>
          </cell>
          <cell r="N288">
            <v>103083.97</v>
          </cell>
          <cell r="P288">
            <v>100000</v>
          </cell>
        </row>
        <row r="289">
          <cell r="A289">
            <v>5045</v>
          </cell>
          <cell r="B289" t="str">
            <v>Underground Distribution Lines and Feeders - Operation Supplies and Expenses</v>
          </cell>
          <cell r="J289">
            <v>58.83</v>
          </cell>
        </row>
        <row r="290">
          <cell r="A290">
            <v>5050</v>
          </cell>
          <cell r="B290" t="str">
            <v>Underground Subtransmission Feeders - Operation</v>
          </cell>
          <cell r="L290">
            <v>1179.24</v>
          </cell>
        </row>
        <row r="291">
          <cell r="A291">
            <v>5055</v>
          </cell>
          <cell r="B291" t="str">
            <v>Underground Distribution Transformers - Operation</v>
          </cell>
          <cell r="D291">
            <v>1328.2</v>
          </cell>
          <cell r="F291">
            <v>-1324.9</v>
          </cell>
          <cell r="H291">
            <v>2127.27</v>
          </cell>
          <cell r="J291">
            <v>4525.2</v>
          </cell>
          <cell r="N291">
            <v>2550.1</v>
          </cell>
          <cell r="P291">
            <v>1000</v>
          </cell>
        </row>
        <row r="292">
          <cell r="A292">
            <v>5060</v>
          </cell>
          <cell r="B292" t="str">
            <v>Street Lighting and Signal System Expense</v>
          </cell>
        </row>
        <row r="293">
          <cell r="A293">
            <v>5065</v>
          </cell>
          <cell r="B293" t="str">
            <v>Meter Expense</v>
          </cell>
          <cell r="D293">
            <v>17365.150000000001</v>
          </cell>
          <cell r="F293">
            <v>6569.05</v>
          </cell>
          <cell r="H293">
            <v>16205.1</v>
          </cell>
          <cell r="J293">
            <v>52782.19</v>
          </cell>
          <cell r="L293">
            <v>22653.84</v>
          </cell>
          <cell r="N293">
            <v>20936.900000000001</v>
          </cell>
          <cell r="P293">
            <v>22000</v>
          </cell>
        </row>
        <row r="294">
          <cell r="A294">
            <v>5070</v>
          </cell>
          <cell r="B294" t="str">
            <v>Customer Premises - Operation Labour</v>
          </cell>
        </row>
        <row r="295">
          <cell r="A295">
            <v>5075</v>
          </cell>
          <cell r="B295" t="str">
            <v>Customer Premises - Materials and Expenses</v>
          </cell>
        </row>
        <row r="296">
          <cell r="A296">
            <v>5085</v>
          </cell>
          <cell r="B296" t="str">
            <v>Miscellaneous Distribution Expense</v>
          </cell>
          <cell r="F296">
            <v>878.43</v>
          </cell>
        </row>
        <row r="297">
          <cell r="A297">
            <v>5090</v>
          </cell>
          <cell r="B297" t="str">
            <v>Underground Distribution Lines and Feeders - Rental Paid</v>
          </cell>
        </row>
        <row r="298">
          <cell r="A298">
            <v>5095</v>
          </cell>
          <cell r="B298" t="str">
            <v>Overhead Distribution Lines and Feeders - Rental Paid</v>
          </cell>
          <cell r="D298">
            <v>10179.52</v>
          </cell>
          <cell r="F298">
            <v>8837.4</v>
          </cell>
          <cell r="H298">
            <v>100</v>
          </cell>
          <cell r="J298">
            <v>21566.3</v>
          </cell>
          <cell r="L298">
            <v>37124.36</v>
          </cell>
          <cell r="N298">
            <v>14131.25</v>
          </cell>
          <cell r="P298">
            <v>26000</v>
          </cell>
        </row>
        <row r="299">
          <cell r="A299">
            <v>5096</v>
          </cell>
          <cell r="B299" t="str">
            <v>Other Rent</v>
          </cell>
        </row>
        <row r="300">
          <cell r="B300" t="str">
            <v>Distribution Expenses - Maintenance</v>
          </cell>
        </row>
        <row r="301">
          <cell r="A301">
            <v>5105</v>
          </cell>
          <cell r="B301" t="str">
            <v>Maintenance Supervision and Engineering</v>
          </cell>
        </row>
        <row r="302">
          <cell r="A302">
            <v>5110</v>
          </cell>
          <cell r="B302" t="str">
            <v>Maintenance of Structures</v>
          </cell>
        </row>
        <row r="303">
          <cell r="A303">
            <v>5112</v>
          </cell>
          <cell r="B303" t="str">
            <v>Maintenance of Transformer Station Equipment</v>
          </cell>
        </row>
        <row r="304">
          <cell r="A304">
            <v>5114</v>
          </cell>
          <cell r="B304" t="str">
            <v>Mtaint Dist Stn Equip</v>
          </cell>
        </row>
        <row r="305">
          <cell r="A305">
            <v>5120</v>
          </cell>
          <cell r="B305" t="str">
            <v>Maintenance of Poles, Towers and Fixtures</v>
          </cell>
          <cell r="D305">
            <v>7954.48</v>
          </cell>
          <cell r="F305">
            <v>24220.38</v>
          </cell>
          <cell r="H305">
            <v>28708.29</v>
          </cell>
          <cell r="J305">
            <v>26751.39</v>
          </cell>
          <cell r="L305">
            <v>27946.33</v>
          </cell>
          <cell r="N305">
            <v>28939.599999999999</v>
          </cell>
          <cell r="P305">
            <v>29000</v>
          </cell>
        </row>
        <row r="306">
          <cell r="A306">
            <v>5125</v>
          </cell>
          <cell r="B306" t="str">
            <v>Maintenance of Overhead Conductors and Devices</v>
          </cell>
          <cell r="D306">
            <v>55885.72</v>
          </cell>
          <cell r="F306">
            <v>85397.45</v>
          </cell>
          <cell r="H306">
            <v>67004.66</v>
          </cell>
          <cell r="J306">
            <v>120251.69</v>
          </cell>
          <cell r="L306">
            <v>65316.08</v>
          </cell>
          <cell r="N306">
            <v>101474.41</v>
          </cell>
          <cell r="P306">
            <v>90000</v>
          </cell>
        </row>
        <row r="307">
          <cell r="A307">
            <v>5130</v>
          </cell>
          <cell r="B307" t="str">
            <v>Maintenance of Overhead Services</v>
          </cell>
          <cell r="D307">
            <v>28276.28</v>
          </cell>
          <cell r="F307">
            <v>40890.33</v>
          </cell>
          <cell r="H307">
            <v>33353.24</v>
          </cell>
          <cell r="J307">
            <v>46616.56</v>
          </cell>
          <cell r="L307">
            <v>44898.2</v>
          </cell>
          <cell r="N307">
            <v>35287.29</v>
          </cell>
          <cell r="P307">
            <v>35000</v>
          </cell>
        </row>
        <row r="308">
          <cell r="A308">
            <v>5135</v>
          </cell>
          <cell r="B308" t="str">
            <v>Overhead Distribution Lines and Feeders - Right of Way</v>
          </cell>
          <cell r="D308">
            <v>23263.63</v>
          </cell>
          <cell r="F308">
            <v>42212.34</v>
          </cell>
          <cell r="H308">
            <v>63629.08</v>
          </cell>
          <cell r="J308">
            <v>109492.67</v>
          </cell>
          <cell r="L308">
            <v>32896.5</v>
          </cell>
          <cell r="N308">
            <v>89165.51</v>
          </cell>
          <cell r="P308">
            <v>81000</v>
          </cell>
        </row>
        <row r="309">
          <cell r="A309">
            <v>5145</v>
          </cell>
          <cell r="B309" t="str">
            <v>Maintenance of Underground Conduit</v>
          </cell>
          <cell r="D309">
            <v>4604.17</v>
          </cell>
        </row>
        <row r="310">
          <cell r="A310">
            <v>5150</v>
          </cell>
          <cell r="B310" t="str">
            <v>Maintenance of Underground Conductors and Devices</v>
          </cell>
          <cell r="D310">
            <v>30807.62</v>
          </cell>
          <cell r="F310">
            <v>28683.17</v>
          </cell>
          <cell r="H310">
            <v>21283.01</v>
          </cell>
          <cell r="J310">
            <v>64097.22</v>
          </cell>
          <cell r="L310">
            <v>37758.76</v>
          </cell>
          <cell r="N310">
            <v>86462.14</v>
          </cell>
          <cell r="P310">
            <v>76000</v>
          </cell>
        </row>
        <row r="311">
          <cell r="A311">
            <v>5155</v>
          </cell>
          <cell r="B311" t="str">
            <v>Maintenance of Underground Services</v>
          </cell>
          <cell r="D311">
            <v>58332.57</v>
          </cell>
          <cell r="F311">
            <v>51112.24</v>
          </cell>
          <cell r="H311">
            <v>90167.59</v>
          </cell>
          <cell r="J311">
            <v>63613.56</v>
          </cell>
          <cell r="L311">
            <v>50311.58</v>
          </cell>
          <cell r="N311">
            <v>129762.18</v>
          </cell>
          <cell r="P311">
            <v>94000</v>
          </cell>
        </row>
        <row r="312">
          <cell r="A312">
            <v>5160</v>
          </cell>
          <cell r="B312" t="str">
            <v>Maintenance of Line Transformers</v>
          </cell>
          <cell r="D312">
            <v>24593.41</v>
          </cell>
          <cell r="F312">
            <v>28844.35</v>
          </cell>
          <cell r="H312">
            <v>27346.32</v>
          </cell>
          <cell r="J312">
            <v>63826.83</v>
          </cell>
          <cell r="L312">
            <v>30364.27</v>
          </cell>
          <cell r="N312">
            <v>33009.25</v>
          </cell>
          <cell r="P312">
            <v>32000</v>
          </cell>
        </row>
        <row r="313">
          <cell r="A313">
            <v>5165</v>
          </cell>
          <cell r="B313" t="str">
            <v>Maintenance of Street Lighting and Signal Systems</v>
          </cell>
          <cell r="H313">
            <v>126.94</v>
          </cell>
        </row>
        <row r="314">
          <cell r="A314">
            <v>5170</v>
          </cell>
          <cell r="B314" t="str">
            <v>Sentinel Lights - Labour</v>
          </cell>
        </row>
        <row r="315">
          <cell r="A315">
            <v>5172</v>
          </cell>
          <cell r="B315" t="str">
            <v>Sentinel Lights - Materials and Expenses</v>
          </cell>
        </row>
        <row r="316">
          <cell r="A316">
            <v>5175</v>
          </cell>
          <cell r="B316" t="str">
            <v>Maintenance of Meters</v>
          </cell>
          <cell r="D316">
            <v>11157.66</v>
          </cell>
          <cell r="F316">
            <v>89346.27</v>
          </cell>
          <cell r="H316">
            <v>77164.38</v>
          </cell>
          <cell r="J316">
            <v>12321.98</v>
          </cell>
          <cell r="L316">
            <v>19365.07</v>
          </cell>
          <cell r="N316">
            <v>18462.64</v>
          </cell>
          <cell r="P316">
            <v>18000</v>
          </cell>
        </row>
        <row r="317">
          <cell r="A317">
            <v>5178</v>
          </cell>
          <cell r="B317" t="str">
            <v>Customer Installations Expenses - Leased Property</v>
          </cell>
        </row>
        <row r="318">
          <cell r="A318">
            <v>5195</v>
          </cell>
          <cell r="B318" t="str">
            <v>Maintenance of Other Installations on Customer Premises</v>
          </cell>
        </row>
        <row r="319">
          <cell r="B319" t="str">
            <v>Other Expenses</v>
          </cell>
        </row>
        <row r="320">
          <cell r="A320">
            <v>5205</v>
          </cell>
          <cell r="B320" t="str">
            <v>Purchase of Transmission and System Services</v>
          </cell>
        </row>
        <row r="321">
          <cell r="A321">
            <v>5210</v>
          </cell>
          <cell r="B321" t="str">
            <v>Transmission Charges</v>
          </cell>
        </row>
        <row r="322">
          <cell r="A322">
            <v>5215</v>
          </cell>
          <cell r="B322" t="str">
            <v>Transmission Charges Recovered</v>
          </cell>
        </row>
        <row r="323">
          <cell r="B323" t="str">
            <v>Billing and Collecting</v>
          </cell>
        </row>
        <row r="324">
          <cell r="A324">
            <v>5305</v>
          </cell>
          <cell r="B324" t="str">
            <v>Supervision</v>
          </cell>
          <cell r="D324">
            <v>88397.91</v>
          </cell>
          <cell r="F324">
            <v>84455.3</v>
          </cell>
          <cell r="H324">
            <v>79675.41</v>
          </cell>
          <cell r="J324">
            <v>81379.539999999994</v>
          </cell>
          <cell r="L324">
            <v>87892.74</v>
          </cell>
          <cell r="N324">
            <v>87990.61</v>
          </cell>
          <cell r="P324">
            <v>90000</v>
          </cell>
        </row>
        <row r="325">
          <cell r="A325">
            <v>5310</v>
          </cell>
          <cell r="B325" t="str">
            <v>Meter Reading Expense</v>
          </cell>
          <cell r="D325">
            <v>141705.60000000001</v>
          </cell>
          <cell r="F325">
            <v>155797.17000000001</v>
          </cell>
          <cell r="H325">
            <v>146837.54</v>
          </cell>
          <cell r="J325">
            <v>171785.92</v>
          </cell>
          <cell r="L325">
            <v>130838.06</v>
          </cell>
          <cell r="N325">
            <v>78664.73</v>
          </cell>
          <cell r="P325">
            <v>110063.76</v>
          </cell>
        </row>
        <row r="326">
          <cell r="A326">
            <v>5315</v>
          </cell>
          <cell r="B326" t="str">
            <v>Customer Billing</v>
          </cell>
          <cell r="D326">
            <v>195400.23</v>
          </cell>
          <cell r="F326">
            <v>214343.8</v>
          </cell>
          <cell r="H326">
            <v>213169.15</v>
          </cell>
          <cell r="J326">
            <v>232442.56</v>
          </cell>
          <cell r="L326">
            <v>218800.88</v>
          </cell>
          <cell r="N326">
            <v>235490.29</v>
          </cell>
          <cell r="P326">
            <v>241000</v>
          </cell>
        </row>
        <row r="327">
          <cell r="A327">
            <v>5320</v>
          </cell>
          <cell r="B327" t="str">
            <v>Collecting</v>
          </cell>
          <cell r="D327">
            <v>73051.5</v>
          </cell>
          <cell r="F327">
            <v>78695.210000000006</v>
          </cell>
          <cell r="H327">
            <v>80761.73</v>
          </cell>
          <cell r="J327">
            <v>99722.23</v>
          </cell>
          <cell r="L327">
            <v>79975.990000000005</v>
          </cell>
          <cell r="N327">
            <v>79386.460000000006</v>
          </cell>
          <cell r="P327">
            <v>80000</v>
          </cell>
        </row>
        <row r="328">
          <cell r="A328">
            <v>5325</v>
          </cell>
          <cell r="B328" t="str">
            <v>Collecting - Cash Over and Short</v>
          </cell>
          <cell r="D328">
            <v>-257</v>
          </cell>
          <cell r="F328">
            <v>760.4</v>
          </cell>
          <cell r="H328">
            <v>-1794.89</v>
          </cell>
          <cell r="J328">
            <v>2431.98</v>
          </cell>
          <cell r="L328">
            <v>-14.51</v>
          </cell>
          <cell r="N328">
            <v>1333.77</v>
          </cell>
          <cell r="P328">
            <v>1000</v>
          </cell>
        </row>
        <row r="329">
          <cell r="A329">
            <v>5330</v>
          </cell>
          <cell r="B329" t="str">
            <v>Collection Charges</v>
          </cell>
        </row>
        <row r="330">
          <cell r="A330">
            <v>5335</v>
          </cell>
          <cell r="B330" t="str">
            <v>Bad Debt Expense</v>
          </cell>
          <cell r="D330">
            <v>10916.56</v>
          </cell>
          <cell r="F330">
            <v>4482.1000000000004</v>
          </cell>
          <cell r="H330">
            <v>281545.09999999998</v>
          </cell>
          <cell r="J330">
            <v>258966.05</v>
          </cell>
          <cell r="L330">
            <v>193279.27</v>
          </cell>
          <cell r="N330">
            <v>312515.17</v>
          </cell>
          <cell r="P330">
            <v>253000</v>
          </cell>
        </row>
        <row r="331">
          <cell r="A331">
            <v>5340</v>
          </cell>
          <cell r="B331" t="str">
            <v>Miscellaneous Customer Accounts Expenses</v>
          </cell>
          <cell r="D331">
            <v>4594.42</v>
          </cell>
        </row>
        <row r="332">
          <cell r="B332" t="str">
            <v>Community Relations</v>
          </cell>
        </row>
        <row r="333">
          <cell r="A333">
            <v>5405</v>
          </cell>
          <cell r="B333" t="str">
            <v>Supervision</v>
          </cell>
        </row>
        <row r="334">
          <cell r="A334">
            <v>5410</v>
          </cell>
          <cell r="B334" t="str">
            <v>Community Relations - Sundry</v>
          </cell>
          <cell r="D334">
            <v>4879.16</v>
          </cell>
          <cell r="F334">
            <v>4020.31</v>
          </cell>
          <cell r="H334">
            <v>8086.88</v>
          </cell>
          <cell r="J334">
            <v>9918.77</v>
          </cell>
          <cell r="L334">
            <v>8141.61</v>
          </cell>
          <cell r="N334">
            <v>3794.8</v>
          </cell>
          <cell r="P334">
            <v>3000</v>
          </cell>
        </row>
        <row r="335">
          <cell r="A335">
            <v>5415</v>
          </cell>
          <cell r="B335" t="str">
            <v>Energy Conservation</v>
          </cell>
          <cell r="D335">
            <v>6812.57</v>
          </cell>
          <cell r="F335">
            <v>10552.42</v>
          </cell>
          <cell r="H335">
            <v>4772.5200000000004</v>
          </cell>
        </row>
        <row r="336">
          <cell r="A336">
            <v>5420</v>
          </cell>
          <cell r="B336" t="str">
            <v>Community Safety Program</v>
          </cell>
          <cell r="D336">
            <v>312.94</v>
          </cell>
        </row>
        <row r="337">
          <cell r="A337">
            <v>5425</v>
          </cell>
          <cell r="B337" t="str">
            <v>Miscellaneous Customer Service and Informational Expenses</v>
          </cell>
        </row>
        <row r="338">
          <cell r="B338" t="str">
            <v>Sales Expenses</v>
          </cell>
        </row>
        <row r="339">
          <cell r="A339">
            <v>5505</v>
          </cell>
          <cell r="B339" t="str">
            <v>Supervision</v>
          </cell>
        </row>
        <row r="340">
          <cell r="A340">
            <v>5510</v>
          </cell>
          <cell r="B340" t="str">
            <v>Demonstrating and Selling Expense</v>
          </cell>
        </row>
        <row r="341">
          <cell r="A341">
            <v>5515</v>
          </cell>
          <cell r="B341" t="str">
            <v>Advertising Expense</v>
          </cell>
          <cell r="D341">
            <v>1416.54</v>
          </cell>
          <cell r="F341">
            <v>5762.45</v>
          </cell>
          <cell r="H341">
            <v>4022.43</v>
          </cell>
          <cell r="J341">
            <v>4205.29</v>
          </cell>
          <cell r="L341">
            <v>7788.5</v>
          </cell>
          <cell r="P341">
            <v>7000</v>
          </cell>
        </row>
        <row r="342">
          <cell r="A342">
            <v>5520</v>
          </cell>
          <cell r="B342" t="str">
            <v>Miscellaneous Sales Expense</v>
          </cell>
        </row>
        <row r="343">
          <cell r="B343" t="str">
            <v>Administrative and General Expenses</v>
          </cell>
        </row>
        <row r="344">
          <cell r="A344">
            <v>5605</v>
          </cell>
          <cell r="B344" t="str">
            <v>Executive Salaries and Expenses</v>
          </cell>
          <cell r="D344">
            <v>29779.96</v>
          </cell>
          <cell r="F344">
            <v>25073</v>
          </cell>
          <cell r="H344">
            <v>42633.97</v>
          </cell>
          <cell r="J344">
            <v>13631.17</v>
          </cell>
          <cell r="L344">
            <v>18940.07</v>
          </cell>
          <cell r="N344">
            <v>19660.8</v>
          </cell>
          <cell r="P344">
            <v>20000</v>
          </cell>
        </row>
        <row r="345">
          <cell r="A345">
            <v>5610</v>
          </cell>
          <cell r="B345" t="str">
            <v>Management Salaries and Expenses</v>
          </cell>
          <cell r="D345">
            <v>248232.7</v>
          </cell>
          <cell r="F345">
            <v>263973.46000000002</v>
          </cell>
          <cell r="H345">
            <v>208911.59</v>
          </cell>
          <cell r="J345">
            <v>269158.31</v>
          </cell>
          <cell r="L345">
            <v>331646.86</v>
          </cell>
          <cell r="N345">
            <v>316300.40999999997</v>
          </cell>
          <cell r="P345">
            <v>505000</v>
          </cell>
        </row>
        <row r="346">
          <cell r="A346">
            <v>5615</v>
          </cell>
          <cell r="B346" t="str">
            <v>General Administrative Salaries and Expenses</v>
          </cell>
          <cell r="D346">
            <v>59075.51</v>
          </cell>
          <cell r="F346">
            <v>59251.53</v>
          </cell>
          <cell r="H346">
            <v>77015.740000000005</v>
          </cell>
          <cell r="J346">
            <v>72225.460000000006</v>
          </cell>
          <cell r="L346">
            <v>55322.03</v>
          </cell>
          <cell r="N346">
            <v>61904.57</v>
          </cell>
          <cell r="P346">
            <v>65000</v>
          </cell>
        </row>
        <row r="347">
          <cell r="A347">
            <v>5620</v>
          </cell>
          <cell r="B347" t="str">
            <v>Office Supplies and Expenses</v>
          </cell>
          <cell r="D347">
            <v>113824.32000000001</v>
          </cell>
          <cell r="F347">
            <v>92585.82</v>
          </cell>
          <cell r="H347">
            <v>82003.78</v>
          </cell>
          <cell r="J347">
            <v>104100.25</v>
          </cell>
          <cell r="L347">
            <v>61253.15</v>
          </cell>
          <cell r="N347">
            <v>81983.63</v>
          </cell>
          <cell r="P347">
            <v>87000</v>
          </cell>
        </row>
        <row r="348">
          <cell r="A348">
            <v>5625</v>
          </cell>
          <cell r="B348" t="str">
            <v>Administrative Expense Transferred-Credit</v>
          </cell>
        </row>
        <row r="349">
          <cell r="A349">
            <v>5630</v>
          </cell>
          <cell r="B349" t="str">
            <v>Outside Services Employed</v>
          </cell>
          <cell r="D349">
            <v>110401.65</v>
          </cell>
          <cell r="F349">
            <v>99275.5</v>
          </cell>
          <cell r="H349">
            <v>111176.55</v>
          </cell>
          <cell r="J349">
            <v>140089.13</v>
          </cell>
          <cell r="L349">
            <v>107295.3</v>
          </cell>
          <cell r="N349">
            <v>109678.65</v>
          </cell>
          <cell r="P349">
            <v>122000</v>
          </cell>
        </row>
        <row r="350">
          <cell r="A350">
            <v>5635</v>
          </cell>
          <cell r="B350" t="str">
            <v>Property Insurance</v>
          </cell>
          <cell r="D350">
            <v>35627.800000000003</v>
          </cell>
          <cell r="F350">
            <v>29618.11</v>
          </cell>
          <cell r="H350">
            <v>30416.48</v>
          </cell>
          <cell r="J350">
            <v>30087.72</v>
          </cell>
          <cell r="L350">
            <v>28988.85</v>
          </cell>
          <cell r="N350">
            <v>41995.66</v>
          </cell>
          <cell r="P350">
            <v>28000</v>
          </cell>
        </row>
        <row r="351">
          <cell r="A351">
            <v>5640</v>
          </cell>
          <cell r="B351" t="str">
            <v>Injuries and Damages</v>
          </cell>
          <cell r="D351">
            <v>50547.72</v>
          </cell>
          <cell r="F351">
            <v>44969.35</v>
          </cell>
          <cell r="H351">
            <v>32173.96</v>
          </cell>
          <cell r="J351">
            <v>47779.75</v>
          </cell>
          <cell r="L351">
            <v>36995.79</v>
          </cell>
          <cell r="N351">
            <v>33797.870000000003</v>
          </cell>
          <cell r="P351">
            <v>58000</v>
          </cell>
        </row>
        <row r="352">
          <cell r="A352">
            <v>5645</v>
          </cell>
          <cell r="B352" t="str">
            <v>Employee Pensions and Benefits</v>
          </cell>
          <cell r="D352">
            <v>4838</v>
          </cell>
          <cell r="F352">
            <v>15282</v>
          </cell>
          <cell r="H352">
            <v>28672.49</v>
          </cell>
          <cell r="J352">
            <v>26900.99</v>
          </cell>
          <cell r="L352">
            <v>393</v>
          </cell>
          <cell r="N352">
            <v>2228.87</v>
          </cell>
          <cell r="P352">
            <v>1000</v>
          </cell>
        </row>
        <row r="353">
          <cell r="A353">
            <v>5650</v>
          </cell>
          <cell r="B353" t="str">
            <v>Franchise Requirements</v>
          </cell>
        </row>
        <row r="354">
          <cell r="A354">
            <v>5655</v>
          </cell>
          <cell r="B354" t="str">
            <v>Regulatory Expenses</v>
          </cell>
          <cell r="D354">
            <v>33791</v>
          </cell>
          <cell r="F354">
            <v>24682.41</v>
          </cell>
          <cell r="H354">
            <v>26016.04</v>
          </cell>
          <cell r="J354">
            <v>28081.1</v>
          </cell>
          <cell r="L354">
            <v>32939.65</v>
          </cell>
          <cell r="N354">
            <v>48176.38</v>
          </cell>
          <cell r="P354">
            <v>109408.015</v>
          </cell>
        </row>
        <row r="355">
          <cell r="A355">
            <v>5660</v>
          </cell>
          <cell r="B355" t="str">
            <v>General Advertising Expenses</v>
          </cell>
          <cell r="D355">
            <v>6111.56</v>
          </cell>
          <cell r="F355">
            <v>4678.3999999999996</v>
          </cell>
        </row>
        <row r="356">
          <cell r="A356">
            <v>5665</v>
          </cell>
          <cell r="B356" t="str">
            <v>Miscellaneous Expenses</v>
          </cell>
          <cell r="D356">
            <v>5556.91</v>
          </cell>
          <cell r="F356">
            <v>3310.9</v>
          </cell>
          <cell r="H356">
            <v>2480.41</v>
          </cell>
          <cell r="J356">
            <v>1326.59</v>
          </cell>
          <cell r="L356">
            <v>10547.23</v>
          </cell>
          <cell r="N356">
            <v>9133.76</v>
          </cell>
          <cell r="P356">
            <v>10000</v>
          </cell>
        </row>
        <row r="357">
          <cell r="A357">
            <v>5670</v>
          </cell>
          <cell r="B357" t="str">
            <v xml:space="preserve">Rent  </v>
          </cell>
        </row>
        <row r="358">
          <cell r="A358">
            <v>5675</v>
          </cell>
          <cell r="B358" t="str">
            <v>Maintenance of General Plant</v>
          </cell>
          <cell r="D358">
            <v>92854.86</v>
          </cell>
          <cell r="F358">
            <v>95441.36</v>
          </cell>
          <cell r="H358">
            <v>88466.37</v>
          </cell>
          <cell r="J358">
            <v>104548.81</v>
          </cell>
          <cell r="L358">
            <v>78221.23</v>
          </cell>
          <cell r="N358">
            <v>83538.490000000005</v>
          </cell>
          <cell r="P358">
            <v>64000</v>
          </cell>
        </row>
        <row r="359">
          <cell r="A359">
            <v>5680</v>
          </cell>
          <cell r="B359" t="str">
            <v>Electrical Safety Authority Fees</v>
          </cell>
          <cell r="D359">
            <v>5088.2700000000004</v>
          </cell>
          <cell r="F359">
            <v>4644.1499999999996</v>
          </cell>
          <cell r="H359">
            <v>5092.5</v>
          </cell>
          <cell r="J359">
            <v>5000.01</v>
          </cell>
          <cell r="L359">
            <v>5575.61</v>
          </cell>
          <cell r="N359">
            <v>5522.79</v>
          </cell>
          <cell r="P359">
            <v>6000</v>
          </cell>
        </row>
        <row r="360">
          <cell r="A360">
            <v>5681</v>
          </cell>
          <cell r="B360" t="str">
            <v>Special Purpose Charge Expense</v>
          </cell>
          <cell r="L360">
            <v>41625.910000000003</v>
          </cell>
          <cell r="N360">
            <v>35213.43</v>
          </cell>
        </row>
        <row r="361">
          <cell r="A361">
            <v>5685</v>
          </cell>
          <cell r="B361" t="str">
            <v>Independent Market Operator Fees and Penalties</v>
          </cell>
        </row>
        <row r="362">
          <cell r="A362">
            <v>5695</v>
          </cell>
          <cell r="B362" t="str">
            <v>OM&amp;A Contra Account</v>
          </cell>
          <cell r="F362">
            <v>0.87</v>
          </cell>
          <cell r="J362">
            <v>-11488.66</v>
          </cell>
        </row>
        <row r="363">
          <cell r="B363" t="str">
            <v>Amortization Expense</v>
          </cell>
        </row>
        <row r="364">
          <cell r="A364">
            <v>5705</v>
          </cell>
          <cell r="B364" t="str">
            <v>Amortization Expense - Property, Plant and Equipment</v>
          </cell>
          <cell r="D364">
            <v>642658.13000000012</v>
          </cell>
          <cell r="F364">
            <v>726585.66000000015</v>
          </cell>
          <cell r="H364">
            <v>813512.19</v>
          </cell>
          <cell r="J364">
            <v>852413.55000000016</v>
          </cell>
          <cell r="L364">
            <v>824356.64</v>
          </cell>
          <cell r="N364">
            <v>839799.08999999985</v>
          </cell>
          <cell r="P364">
            <v>975107.44933333341</v>
          </cell>
        </row>
        <row r="365">
          <cell r="A365">
            <v>5710</v>
          </cell>
          <cell r="B365" t="str">
            <v>Amortization of Limited Term Electric Plant</v>
          </cell>
        </row>
        <row r="366">
          <cell r="A366">
            <v>5715</v>
          </cell>
          <cell r="B366" t="str">
            <v>Amortization of Intangibles and Other Electric Plant</v>
          </cell>
        </row>
        <row r="367">
          <cell r="A367">
            <v>5720</v>
          </cell>
          <cell r="B367" t="str">
            <v>Amortization of Electric Plant Acquisition Adjustments</v>
          </cell>
        </row>
        <row r="368">
          <cell r="A368">
            <v>5725</v>
          </cell>
          <cell r="B368" t="str">
            <v>Miscellaneous Amortization</v>
          </cell>
        </row>
        <row r="369">
          <cell r="A369">
            <v>5730</v>
          </cell>
          <cell r="B369" t="str">
            <v>Amortization of Unrecovered Plant and Regulatory Study Costs</v>
          </cell>
        </row>
        <row r="370">
          <cell r="A370">
            <v>5735</v>
          </cell>
          <cell r="B370" t="str">
            <v>Amortization of Deferred Development Costs</v>
          </cell>
        </row>
        <row r="371">
          <cell r="A371">
            <v>5740</v>
          </cell>
          <cell r="B371" t="str">
            <v>Amortization of Deferred Charges</v>
          </cell>
        </row>
        <row r="372">
          <cell r="B372" t="str">
            <v>Interest Expense</v>
          </cell>
        </row>
        <row r="373">
          <cell r="A373">
            <v>6005</v>
          </cell>
          <cell r="B373" t="str">
            <v>Interest on Long Term Debt</v>
          </cell>
          <cell r="J373">
            <v>56516.37</v>
          </cell>
        </row>
        <row r="374">
          <cell r="A374">
            <v>6010</v>
          </cell>
          <cell r="B374" t="str">
            <v>Amortization of Debt Discount and Expense</v>
          </cell>
        </row>
        <row r="375">
          <cell r="A375">
            <v>6015</v>
          </cell>
          <cell r="B375" t="str">
            <v>Amortization of Premium on Debt-Credit</v>
          </cell>
        </row>
        <row r="376">
          <cell r="A376">
            <v>6020</v>
          </cell>
          <cell r="B376" t="str">
            <v>Amortization of Loss on Reacquired Debt</v>
          </cell>
        </row>
        <row r="377">
          <cell r="A377">
            <v>6025</v>
          </cell>
          <cell r="B377" t="str">
            <v>Amortization of Gain on Reacquired Debt-Credit</v>
          </cell>
        </row>
        <row r="378">
          <cell r="A378">
            <v>6030</v>
          </cell>
          <cell r="B378" t="str">
            <v>Interest on Debt to Associated Companies</v>
          </cell>
        </row>
        <row r="379">
          <cell r="A379">
            <v>6035</v>
          </cell>
          <cell r="B379" t="str">
            <v>Other Interest Expense</v>
          </cell>
          <cell r="D379">
            <v>333738.40999999997</v>
          </cell>
          <cell r="F379">
            <v>302244.38</v>
          </cell>
          <cell r="H379">
            <v>292253.31</v>
          </cell>
          <cell r="J379">
            <v>176453.97</v>
          </cell>
          <cell r="L379">
            <v>142925.32999999999</v>
          </cell>
          <cell r="N379">
            <v>154044.9</v>
          </cell>
          <cell r="P379">
            <v>155000</v>
          </cell>
        </row>
        <row r="380">
          <cell r="A380">
            <v>6040</v>
          </cell>
          <cell r="B380" t="str">
            <v>Allowance for Borrowed Funds Used During Construction-Credit</v>
          </cell>
          <cell r="L380">
            <v>147027.93</v>
          </cell>
          <cell r="N380">
            <v>153272.65</v>
          </cell>
          <cell r="P380">
            <v>141000</v>
          </cell>
        </row>
        <row r="381">
          <cell r="A381">
            <v>6042</v>
          </cell>
          <cell r="B381" t="str">
            <v>Allowance for Other Funds Used During Construction</v>
          </cell>
        </row>
        <row r="382">
          <cell r="A382">
            <v>6045</v>
          </cell>
          <cell r="B382" t="str">
            <v>Interest Expense on Capital Lease Obligations</v>
          </cell>
        </row>
        <row r="383">
          <cell r="B383" t="str">
            <v>Taxes</v>
          </cell>
        </row>
        <row r="384">
          <cell r="A384">
            <v>6105</v>
          </cell>
          <cell r="B384" t="str">
            <v>Taxes Other Than Income Taxes</v>
          </cell>
          <cell r="D384">
            <v>24969.65</v>
          </cell>
          <cell r="F384">
            <v>37111.9</v>
          </cell>
          <cell r="H384">
            <v>38324.35</v>
          </cell>
          <cell r="J384">
            <v>18983.810000000001</v>
          </cell>
          <cell r="L384">
            <v>31708.53</v>
          </cell>
          <cell r="N384">
            <v>21914.42</v>
          </cell>
          <cell r="P384">
            <v>23000</v>
          </cell>
        </row>
        <row r="385">
          <cell r="A385">
            <v>6110</v>
          </cell>
          <cell r="B385" t="str">
            <v>Income Taxes</v>
          </cell>
          <cell r="D385">
            <v>559840</v>
          </cell>
          <cell r="F385">
            <v>497125</v>
          </cell>
          <cell r="H385">
            <v>711549</v>
          </cell>
          <cell r="J385">
            <v>562106</v>
          </cell>
          <cell r="L385">
            <v>295494</v>
          </cell>
          <cell r="N385">
            <v>216886.96</v>
          </cell>
          <cell r="P385">
            <v>157800</v>
          </cell>
        </row>
        <row r="386">
          <cell r="A386">
            <v>6115</v>
          </cell>
          <cell r="B386" t="str">
            <v>Provision for Future Income Taxes</v>
          </cell>
          <cell r="F386">
            <v>97000</v>
          </cell>
          <cell r="H386">
            <v>104000</v>
          </cell>
        </row>
        <row r="387">
          <cell r="B387" t="str">
            <v>Other Deductions</v>
          </cell>
        </row>
        <row r="388">
          <cell r="A388">
            <v>6205</v>
          </cell>
          <cell r="B388" t="str">
            <v>Donations</v>
          </cell>
          <cell r="L388">
            <v>50</v>
          </cell>
          <cell r="N388">
            <v>25</v>
          </cell>
          <cell r="P388">
            <v>37.5</v>
          </cell>
        </row>
        <row r="389">
          <cell r="A389">
            <v>6210</v>
          </cell>
          <cell r="B389" t="str">
            <v>Life Insurance</v>
          </cell>
        </row>
        <row r="390">
          <cell r="A390">
            <v>6215</v>
          </cell>
          <cell r="B390" t="str">
            <v>Penalties</v>
          </cell>
        </row>
        <row r="391">
          <cell r="A391">
            <v>6225</v>
          </cell>
          <cell r="B391" t="str">
            <v>Other Deductions</v>
          </cell>
        </row>
        <row r="392">
          <cell r="B392" t="str">
            <v>Extraordinary Items</v>
          </cell>
        </row>
        <row r="393">
          <cell r="A393">
            <v>6305</v>
          </cell>
          <cell r="B393" t="str">
            <v>Extraordinary Income</v>
          </cell>
        </row>
        <row r="394">
          <cell r="A394">
            <v>6310</v>
          </cell>
          <cell r="B394" t="str">
            <v>Extraordinary Deductions</v>
          </cell>
          <cell r="N394">
            <v>10914.16</v>
          </cell>
          <cell r="P394">
            <v>5457.08</v>
          </cell>
        </row>
        <row r="395">
          <cell r="A395">
            <v>6315</v>
          </cell>
          <cell r="B395" t="str">
            <v>Income Taxes, Extraordinary Items</v>
          </cell>
        </row>
      </sheetData>
      <sheetData sheetId="23"/>
      <sheetData sheetId="24">
        <row r="135">
          <cell r="E135">
            <v>0.56000000000000005</v>
          </cell>
          <cell r="F135">
            <v>2.71208E-2</v>
          </cell>
        </row>
        <row r="136">
          <cell r="E136">
            <v>0.04</v>
          </cell>
          <cell r="F136">
            <v>2.0799999999999999E-2</v>
          </cell>
        </row>
        <row r="139">
          <cell r="E139">
            <v>0.4</v>
          </cell>
          <cell r="F139">
            <v>9.1200000000000003E-2</v>
          </cell>
        </row>
        <row r="142">
          <cell r="D142">
            <v>13266093.706888393</v>
          </cell>
        </row>
      </sheetData>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
          <cell r="B39">
            <v>4</v>
          </cell>
        </row>
        <row r="53">
          <cell r="B53">
            <v>1</v>
          </cell>
        </row>
        <row r="67">
          <cell r="B67">
            <v>15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99">
          <cell r="H99">
            <v>138</v>
          </cell>
        </row>
        <row r="103">
          <cell r="H103">
            <v>2731</v>
          </cell>
        </row>
        <row r="120">
          <cell r="H120">
            <v>13347</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ibit 3 Tables"/>
      <sheetName val="Summary"/>
      <sheetName val="Purchased Power Model "/>
      <sheetName val="Rate Class Energy Model"/>
      <sheetName val="Rate Class Customer Model"/>
      <sheetName val="Rate Class Load Model"/>
      <sheetName val="Weather Analysis"/>
      <sheetName val="CDM Activity"/>
    </sheetNames>
    <sheetDataSet>
      <sheetData sheetId="0" refreshError="1"/>
      <sheetData sheetId="1"/>
      <sheetData sheetId="2">
        <row r="4">
          <cell r="D4">
            <v>271076220</v>
          </cell>
          <cell r="E4">
            <v>262640600</v>
          </cell>
          <cell r="F4">
            <v>248858578.46153846</v>
          </cell>
          <cell r="G4">
            <v>261284907.69230774</v>
          </cell>
          <cell r="H4">
            <v>255035715.38461539</v>
          </cell>
        </row>
        <row r="8">
          <cell r="D8">
            <v>257725196.85335857</v>
          </cell>
          <cell r="E8">
            <v>247717037.41603673</v>
          </cell>
          <cell r="F8">
            <v>237106249.39841127</v>
          </cell>
          <cell r="G8">
            <v>228261453.35758415</v>
          </cell>
          <cell r="H8">
            <v>231894181.01485741</v>
          </cell>
        </row>
        <row r="12">
          <cell r="I12">
            <v>10023.425678689409</v>
          </cell>
        </row>
        <row r="13">
          <cell r="I13">
            <v>93093254.929558441</v>
          </cell>
        </row>
        <row r="16">
          <cell r="I16">
            <v>1214.4801246521154</v>
          </cell>
        </row>
        <row r="17">
          <cell r="I17">
            <v>31699823.798003074</v>
          </cell>
        </row>
        <row r="20">
          <cell r="I20">
            <v>93.462448747383306</v>
          </cell>
        </row>
        <row r="21">
          <cell r="I21">
            <v>71176062.618914545</v>
          </cell>
        </row>
        <row r="22">
          <cell r="I22">
            <v>194765.94889933764</v>
          </cell>
        </row>
        <row r="25">
          <cell r="C25">
            <v>2744.5</v>
          </cell>
          <cell r="D25">
            <v>2753.5</v>
          </cell>
          <cell r="E25">
            <v>2762.5</v>
          </cell>
          <cell r="F25">
            <v>2771.5</v>
          </cell>
          <cell r="G25">
            <v>2780.5</v>
          </cell>
          <cell r="H25">
            <v>2789.5</v>
          </cell>
          <cell r="I25">
            <v>2801.1936395745015</v>
          </cell>
        </row>
        <row r="26">
          <cell r="I26">
            <v>1916371.2581829289</v>
          </cell>
        </row>
        <row r="27">
          <cell r="I27">
            <v>5340.3302935468428</v>
          </cell>
        </row>
        <row r="30">
          <cell r="I30">
            <v>32.02858627679273</v>
          </cell>
        </row>
        <row r="31">
          <cell r="I31">
            <v>187863.11337454716</v>
          </cell>
        </row>
        <row r="34">
          <cell r="C34">
            <v>105</v>
          </cell>
          <cell r="D34">
            <v>83</v>
          </cell>
          <cell r="E34">
            <v>61</v>
          </cell>
          <cell r="F34">
            <v>39</v>
          </cell>
          <cell r="G34">
            <v>17.5</v>
          </cell>
          <cell r="H34">
            <v>7</v>
          </cell>
          <cell r="I34">
            <v>7</v>
          </cell>
        </row>
        <row r="35">
          <cell r="I35">
            <v>4023.8692210783129</v>
          </cell>
        </row>
        <row r="36">
          <cell r="I36">
            <v>11.213271231676979</v>
          </cell>
        </row>
        <row r="39">
          <cell r="I39">
            <v>4</v>
          </cell>
        </row>
        <row r="40">
          <cell r="I40">
            <v>42996782.152953438</v>
          </cell>
        </row>
        <row r="41">
          <cell r="I41">
            <v>96048.524183723959</v>
          </cell>
        </row>
        <row r="44">
          <cell r="C44">
            <v>13570.617202616786</v>
          </cell>
          <cell r="D44">
            <v>13655.547544457753</v>
          </cell>
          <cell r="E44">
            <v>13696.50737123376</v>
          </cell>
          <cell r="F44">
            <v>13823</v>
          </cell>
          <cell r="G44">
            <v>13980.5</v>
          </cell>
          <cell r="H44">
            <v>14053.5</v>
          </cell>
          <cell r="I44">
            <v>14175.590477940201</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Intro"/>
      <sheetName val="I2 LDC class"/>
      <sheetName val="I3 TB Data"/>
      <sheetName val="I4 BO ASSETS"/>
      <sheetName val="I5 Misc Data"/>
      <sheetName val="I6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sheetData sheetId="8"/>
      <sheetData sheetId="9"/>
      <sheetData sheetId="10">
        <row r="35">
          <cell r="D35">
            <v>1974478.7192079918</v>
          </cell>
          <cell r="E35">
            <v>893141.63273164176</v>
          </cell>
          <cell r="F35">
            <v>625968.24286343751</v>
          </cell>
          <cell r="J35">
            <v>21752.431976870743</v>
          </cell>
          <cell r="K35">
            <v>1936.5646882813753</v>
          </cell>
          <cell r="L35">
            <v>1951.2085317762399</v>
          </cell>
        </row>
        <row r="70">
          <cell r="D70">
            <v>1.1137849514787272</v>
          </cell>
          <cell r="E70">
            <v>0.28718819048110189</v>
          </cell>
          <cell r="F70">
            <v>1.6959846358365742</v>
          </cell>
          <cell r="J70">
            <v>0.12767700991033748</v>
          </cell>
          <cell r="K70">
            <v>0.43085479114859837</v>
          </cell>
          <cell r="L70">
            <v>8.9649055102681565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F17" t="str">
            <v>GS&gt;50-Regular</v>
          </cell>
        </row>
        <row r="40">
          <cell r="D40">
            <v>2934673.1742745675</v>
          </cell>
          <cell r="E40">
            <v>670596.35710466257</v>
          </cell>
          <cell r="F40">
            <v>552897.22612747946</v>
          </cell>
          <cell r="J40">
            <v>195060.76639048499</v>
          </cell>
          <cell r="K40">
            <v>607.10100289783259</v>
          </cell>
          <cell r="L40">
            <v>4807.3412548129327</v>
          </cell>
          <cell r="M40">
            <v>181037.98578414222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2011 Existing Rates"/>
      <sheetName val="2012 Test Yr On Existing Rates"/>
      <sheetName val="Forecast Data For 2012"/>
      <sheetName val="Cost Allocation Study"/>
      <sheetName val="Rates By Rate Class"/>
      <sheetName val="Allocation Low Voltage Costs"/>
      <sheetName val="Low Voltage Rates"/>
      <sheetName val="LRAM and SSM Rate Rider"/>
      <sheetName val="2012 Rate Rider"/>
      <sheetName val="Distribution Rate Schedule"/>
      <sheetName val="Other Electriciy Rates"/>
      <sheetName val="BILL IMPACTS "/>
      <sheetName val="BILL IMPACTS W-GA"/>
      <sheetName val="Rate Schedule (Part 1)"/>
      <sheetName val="Rate Schedule (Part 2)"/>
      <sheetName val="Dist. Rev. Reconciliation"/>
      <sheetName val="Revenue Deficiency Analysis"/>
    </sheetNames>
    <sheetDataSet>
      <sheetData sheetId="0"/>
      <sheetData sheetId="1"/>
      <sheetData sheetId="2"/>
      <sheetData sheetId="3">
        <row r="9">
          <cell r="J9">
            <v>2074165.4475892691</v>
          </cell>
        </row>
        <row r="10">
          <cell r="J10">
            <v>215075.50260043395</v>
          </cell>
        </row>
        <row r="11">
          <cell r="J11">
            <v>793811.88581927889</v>
          </cell>
        </row>
        <row r="12">
          <cell r="J12">
            <v>17269.6685</v>
          </cell>
        </row>
        <row r="13">
          <cell r="J13">
            <v>42.018924040743073</v>
          </cell>
        </row>
        <row r="14">
          <cell r="J14">
            <v>856.29140734040266</v>
          </cell>
        </row>
        <row r="15">
          <cell r="J15">
            <v>2448.6277084179105</v>
          </cell>
        </row>
        <row r="17">
          <cell r="J17">
            <v>52472.480080220615</v>
          </cell>
        </row>
      </sheetData>
      <sheetData sheetId="4"/>
      <sheetData sheetId="5">
        <row r="7">
          <cell r="C7">
            <v>2536483.0394021915</v>
          </cell>
          <cell r="J7">
            <v>468427.89666643948</v>
          </cell>
          <cell r="K7">
            <v>2536483.0394021915</v>
          </cell>
        </row>
        <row r="8">
          <cell r="C8">
            <v>263014.39220818167</v>
          </cell>
          <cell r="J8">
            <v>87715.949783429533</v>
          </cell>
          <cell r="K8">
            <v>448761.13590030058</v>
          </cell>
        </row>
        <row r="9">
          <cell r="C9">
            <v>991866.20261847507</v>
          </cell>
          <cell r="J9">
            <v>82837.061372291122</v>
          </cell>
          <cell r="K9">
            <v>580639.60998068424</v>
          </cell>
        </row>
        <row r="11">
          <cell r="C11">
            <v>51.38466089440859</v>
          </cell>
          <cell r="J11">
            <v>72.182057943090484</v>
          </cell>
          <cell r="K11">
            <v>413.49874437517565</v>
          </cell>
        </row>
        <row r="12">
          <cell r="C12">
            <v>1047.1530291998492</v>
          </cell>
          <cell r="J12">
            <v>20224.773372755852</v>
          </cell>
          <cell r="K12">
            <v>129220.94587064488</v>
          </cell>
        </row>
        <row r="13">
          <cell r="C13">
            <v>2994.4104311596757</v>
          </cell>
          <cell r="J13">
            <v>636.30635503462486</v>
          </cell>
          <cell r="K13">
            <v>3209.5666488157212</v>
          </cell>
        </row>
        <row r="15">
          <cell r="C15">
            <v>64168.244588946036</v>
          </cell>
          <cell r="J15">
            <v>20140.955392106218</v>
          </cell>
          <cell r="K15">
            <v>160897.03039203602</v>
          </cell>
        </row>
      </sheetData>
      <sheetData sheetId="6">
        <row r="8">
          <cell r="B8">
            <v>2536483.0394021915</v>
          </cell>
        </row>
        <row r="9">
          <cell r="B9">
            <v>448761.13590030058</v>
          </cell>
        </row>
        <row r="10">
          <cell r="B10">
            <v>580639.60998068424</v>
          </cell>
          <cell r="H10">
            <v>80627.482062394527</v>
          </cell>
        </row>
        <row r="12">
          <cell r="B12">
            <v>413.49874437517565</v>
          </cell>
        </row>
        <row r="13">
          <cell r="B13">
            <v>129220.94587064488</v>
          </cell>
        </row>
        <row r="14">
          <cell r="B14">
            <v>3209.5666488157212</v>
          </cell>
        </row>
        <row r="16">
          <cell r="B16">
            <v>160897.03039203602</v>
          </cell>
        </row>
      </sheetData>
      <sheetData sheetId="7"/>
      <sheetData sheetId="8"/>
      <sheetData sheetId="9"/>
      <sheetData sheetId="10"/>
      <sheetData sheetId="11">
        <row r="11">
          <cell r="C11">
            <v>13.61</v>
          </cell>
          <cell r="E11">
            <v>9.7000000000000003E-3</v>
          </cell>
        </row>
        <row r="12">
          <cell r="C12">
            <v>23.08</v>
          </cell>
          <cell r="E12">
            <v>3.5000000000000001E-3</v>
          </cell>
        </row>
        <row r="13">
          <cell r="C13">
            <v>315.94</v>
          </cell>
          <cell r="D13">
            <v>1.5759000000000001</v>
          </cell>
        </row>
        <row r="15">
          <cell r="B15">
            <v>3.9363000000000001</v>
          </cell>
          <cell r="D15">
            <v>7.3884999999999996</v>
          </cell>
        </row>
        <row r="16">
          <cell r="B16">
            <v>1.5091000000000001</v>
          </cell>
          <cell r="D16">
            <v>14.698399999999999</v>
          </cell>
        </row>
        <row r="17">
          <cell r="B17">
            <v>7.2615999999999996</v>
          </cell>
          <cell r="E17">
            <v>2.2000000000000001E-3</v>
          </cell>
        </row>
        <row r="19">
          <cell r="C19">
            <v>2583.2199999999998</v>
          </cell>
          <cell r="D19">
            <v>0.38419999999999999</v>
          </cell>
        </row>
      </sheetData>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Utility_Info"/>
      <sheetName val="2. Smart_Meter_Costs"/>
      <sheetName val="3. Cost_of_Service_Parameters"/>
      <sheetName val="4. SM_Assets_and_Rate_Base"/>
      <sheetName val="5. SM_Rev_Reqt"/>
      <sheetName val="6. UCC_Calculation"/>
      <sheetName val="7_Taxes_PILs"/>
      <sheetName val="8. Funding_Adder_Revs"/>
      <sheetName val="8A. Opex_Interest_monthly"/>
      <sheetName val="8B. Opex_Interest_annual"/>
      <sheetName val="9. SMFA_SMDR_SMIRR"/>
      <sheetName val="Sheet1"/>
    </sheetNames>
    <sheetDataSet>
      <sheetData sheetId="0"/>
      <sheetData sheetId="1">
        <row r="25">
          <cell r="O25">
            <v>9008</v>
          </cell>
          <cell r="Q25">
            <v>826</v>
          </cell>
          <cell r="S25">
            <v>0</v>
          </cell>
        </row>
        <row r="27">
          <cell r="O27">
            <v>474</v>
          </cell>
          <cell r="Q27">
            <v>400</v>
          </cell>
          <cell r="S27">
            <v>94</v>
          </cell>
        </row>
        <row r="193">
          <cell r="M193">
            <v>11488.66</v>
          </cell>
          <cell r="O193">
            <v>1283969.96</v>
          </cell>
          <cell r="Q193">
            <v>304664.12999999995</v>
          </cell>
          <cell r="S193">
            <v>15941.779999999999</v>
          </cell>
        </row>
        <row r="197">
          <cell r="O197">
            <v>19135.21</v>
          </cell>
          <cell r="Q197">
            <v>46368.66</v>
          </cell>
          <cell r="S197">
            <v>52063.759999999995</v>
          </cell>
        </row>
      </sheetData>
      <sheetData sheetId="2"/>
      <sheetData sheetId="3"/>
      <sheetData sheetId="4"/>
      <sheetData sheetId="5"/>
      <sheetData sheetId="6"/>
      <sheetData sheetId="7">
        <row r="36">
          <cell r="K36">
            <v>1965.75</v>
          </cell>
        </row>
        <row r="37">
          <cell r="K37">
            <v>1965.75</v>
          </cell>
        </row>
        <row r="38">
          <cell r="K38">
            <v>1965.75</v>
          </cell>
        </row>
        <row r="39">
          <cell r="K39">
            <v>1965.75</v>
          </cell>
        </row>
        <row r="40">
          <cell r="K40">
            <v>1965.75</v>
          </cell>
        </row>
        <row r="41">
          <cell r="K41">
            <v>1965.75</v>
          </cell>
        </row>
        <row r="42">
          <cell r="K42">
            <v>1965.75</v>
          </cell>
        </row>
        <row r="43">
          <cell r="K43">
            <v>1965.75</v>
          </cell>
        </row>
        <row r="44">
          <cell r="K44">
            <v>1965.75</v>
          </cell>
        </row>
        <row r="45">
          <cell r="K45">
            <v>1965.75</v>
          </cell>
        </row>
        <row r="46">
          <cell r="K46">
            <v>1965.75</v>
          </cell>
        </row>
        <row r="47">
          <cell r="K47">
            <v>1965.75</v>
          </cell>
        </row>
        <row r="48">
          <cell r="K48">
            <v>2953.6141666666663</v>
          </cell>
        </row>
        <row r="49">
          <cell r="K49">
            <v>2953.6141666666663</v>
          </cell>
        </row>
        <row r="50">
          <cell r="K50">
            <v>2953.6141666666663</v>
          </cell>
        </row>
        <row r="51">
          <cell r="K51">
            <v>2953.6141666666663</v>
          </cell>
        </row>
        <row r="52">
          <cell r="K52">
            <v>2953.6141666666663</v>
          </cell>
        </row>
        <row r="53">
          <cell r="K53">
            <v>2953.6141666666663</v>
          </cell>
        </row>
        <row r="54">
          <cell r="K54">
            <v>2953.6141666666663</v>
          </cell>
        </row>
        <row r="55">
          <cell r="K55">
            <v>2953.6141666666663</v>
          </cell>
        </row>
        <row r="56">
          <cell r="K56">
            <v>2953.6141666666663</v>
          </cell>
        </row>
        <row r="57">
          <cell r="K57">
            <v>2953.6141666666663</v>
          </cell>
        </row>
        <row r="58">
          <cell r="K58">
            <v>2953.6141666666663</v>
          </cell>
        </row>
        <row r="59">
          <cell r="K59">
            <v>2953.6141666666663</v>
          </cell>
        </row>
        <row r="60">
          <cell r="K60">
            <v>2940.7275000000004</v>
          </cell>
        </row>
        <row r="61">
          <cell r="K61">
            <v>2940.7275000000004</v>
          </cell>
        </row>
        <row r="62">
          <cell r="K62">
            <v>2940.7275000000004</v>
          </cell>
        </row>
        <row r="63">
          <cell r="K63">
            <v>2940.7275000000004</v>
          </cell>
        </row>
        <row r="64">
          <cell r="K64">
            <v>2940.7275000000004</v>
          </cell>
        </row>
        <row r="65">
          <cell r="K65">
            <v>2940.7275000000004</v>
          </cell>
        </row>
        <row r="66">
          <cell r="K66">
            <v>2940.7275000000004</v>
          </cell>
        </row>
        <row r="67">
          <cell r="K67">
            <v>2940.7275000000004</v>
          </cell>
        </row>
        <row r="68">
          <cell r="K68">
            <v>2940.7275000000004</v>
          </cell>
        </row>
        <row r="69">
          <cell r="K69">
            <v>2940.7275000000004</v>
          </cell>
        </row>
        <row r="70">
          <cell r="K70">
            <v>2940.7275000000004</v>
          </cell>
        </row>
        <row r="71">
          <cell r="K71">
            <v>2940.7275000000004</v>
          </cell>
        </row>
        <row r="72">
          <cell r="K72">
            <v>5415.1077777777782</v>
          </cell>
        </row>
        <row r="73">
          <cell r="K73">
            <v>5415.1077777777782</v>
          </cell>
        </row>
        <row r="74">
          <cell r="K74">
            <v>5415.1077777777782</v>
          </cell>
        </row>
        <row r="75">
          <cell r="K75">
            <v>5415.1077777777782</v>
          </cell>
        </row>
        <row r="76">
          <cell r="K76">
            <v>5415.1077777777782</v>
          </cell>
        </row>
        <row r="77">
          <cell r="K77">
            <v>5415.1077777777782</v>
          </cell>
        </row>
        <row r="78">
          <cell r="K78">
            <v>5415.1077777777782</v>
          </cell>
        </row>
        <row r="79">
          <cell r="K79">
            <v>5415.1077777777782</v>
          </cell>
        </row>
        <row r="80">
          <cell r="K80">
            <v>5415.1077777777782</v>
          </cell>
        </row>
        <row r="81">
          <cell r="K81">
            <v>11311.589999999997</v>
          </cell>
        </row>
        <row r="82">
          <cell r="K82">
            <v>11311.589999999997</v>
          </cell>
        </row>
        <row r="83">
          <cell r="K83">
            <v>11311.589999999997</v>
          </cell>
        </row>
        <row r="84">
          <cell r="K84">
            <v>10659.916666666666</v>
          </cell>
        </row>
        <row r="85">
          <cell r="K85">
            <v>10659.916666666666</v>
          </cell>
        </row>
        <row r="86">
          <cell r="K86">
            <v>10659.916666666666</v>
          </cell>
        </row>
        <row r="87">
          <cell r="K87">
            <v>16800.133333333331</v>
          </cell>
        </row>
        <row r="88">
          <cell r="K88">
            <v>16800.133333333331</v>
          </cell>
        </row>
        <row r="89">
          <cell r="K89">
            <v>16800.133333333331</v>
          </cell>
        </row>
        <row r="90">
          <cell r="K90">
            <v>15859.376666666669</v>
          </cell>
        </row>
        <row r="91">
          <cell r="K91">
            <v>15859.376666666669</v>
          </cell>
        </row>
        <row r="92">
          <cell r="K92">
            <v>15859.376666666669</v>
          </cell>
        </row>
        <row r="93">
          <cell r="K93">
            <v>23906.460000000003</v>
          </cell>
        </row>
        <row r="94">
          <cell r="K94">
            <v>23906.460000000003</v>
          </cell>
        </row>
        <row r="95">
          <cell r="K95">
            <v>23906.460000000003</v>
          </cell>
        </row>
        <row r="96">
          <cell r="K96">
            <v>15954.293333333335</v>
          </cell>
        </row>
        <row r="97">
          <cell r="K97">
            <v>15954.293333333335</v>
          </cell>
        </row>
        <row r="98">
          <cell r="K98">
            <v>15954.293333333335</v>
          </cell>
        </row>
        <row r="99">
          <cell r="K99">
            <v>15013.343333333332</v>
          </cell>
        </row>
        <row r="100">
          <cell r="K100">
            <v>15013.343333333332</v>
          </cell>
        </row>
        <row r="101">
          <cell r="K101">
            <v>15013.343333333332</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42"/>
  <sheetViews>
    <sheetView showGridLines="0" topLeftCell="A2" zoomScaleNormal="100" workbookViewId="0">
      <selection activeCell="C30" sqref="C30"/>
    </sheetView>
  </sheetViews>
  <sheetFormatPr defaultRowHeight="12.75" x14ac:dyDescent="0.2"/>
  <sheetData>
    <row r="1" spans="3:5" ht="40.5" customHeight="1" x14ac:dyDescent="0.2"/>
    <row r="2" spans="3:5" ht="40.5" customHeight="1" x14ac:dyDescent="0.2"/>
    <row r="3" spans="3:5" ht="40.5" customHeight="1" x14ac:dyDescent="0.2"/>
    <row r="4" spans="3:5" ht="40.5" customHeight="1" x14ac:dyDescent="0.2"/>
    <row r="5" spans="3:5" ht="40.5" customHeight="1" x14ac:dyDescent="0.2"/>
    <row r="7" spans="3:5" ht="18" x14ac:dyDescent="0.25">
      <c r="C7" s="561" t="s">
        <v>1</v>
      </c>
    </row>
    <row r="8" spans="3:5" x14ac:dyDescent="0.2">
      <c r="C8" s="419"/>
    </row>
    <row r="9" spans="3:5" x14ac:dyDescent="0.2">
      <c r="C9" s="431" t="s">
        <v>2</v>
      </c>
      <c r="D9" s="52" t="s">
        <v>25</v>
      </c>
    </row>
    <row r="10" spans="3:5" x14ac:dyDescent="0.2">
      <c r="C10" s="431" t="s">
        <v>3</v>
      </c>
      <c r="D10" s="52" t="s">
        <v>578</v>
      </c>
    </row>
    <row r="11" spans="3:5" x14ac:dyDescent="0.2">
      <c r="C11" s="431" t="s">
        <v>4</v>
      </c>
      <c r="D11" s="52" t="s">
        <v>33</v>
      </c>
    </row>
    <row r="12" spans="3:5" x14ac:dyDescent="0.2">
      <c r="C12" s="431" t="s">
        <v>5</v>
      </c>
      <c r="D12" s="52" t="s">
        <v>47</v>
      </c>
    </row>
    <row r="13" spans="3:5" x14ac:dyDescent="0.2">
      <c r="C13" s="431" t="s">
        <v>6</v>
      </c>
      <c r="D13" s="52" t="s">
        <v>219</v>
      </c>
    </row>
    <row r="14" spans="3:5" x14ac:dyDescent="0.2">
      <c r="C14" s="431" t="s">
        <v>7</v>
      </c>
      <c r="D14" s="52" t="s">
        <v>220</v>
      </c>
    </row>
    <row r="15" spans="3:5" x14ac:dyDescent="0.2">
      <c r="C15" s="431" t="s">
        <v>8</v>
      </c>
      <c r="D15" s="52" t="s">
        <v>221</v>
      </c>
      <c r="E15" s="52"/>
    </row>
    <row r="16" spans="3:5" x14ac:dyDescent="0.2">
      <c r="C16" s="431" t="s">
        <v>9</v>
      </c>
      <c r="D16" s="52" t="s">
        <v>222</v>
      </c>
    </row>
    <row r="17" spans="2:4" x14ac:dyDescent="0.2">
      <c r="C17" s="431" t="s">
        <v>10</v>
      </c>
      <c r="D17" s="52" t="s">
        <v>223</v>
      </c>
    </row>
    <row r="18" spans="2:4" x14ac:dyDescent="0.2">
      <c r="C18" s="431" t="s">
        <v>11</v>
      </c>
      <c r="D18" s="52" t="s">
        <v>224</v>
      </c>
    </row>
    <row r="19" spans="2:4" x14ac:dyDescent="0.2">
      <c r="C19" s="431" t="s">
        <v>12</v>
      </c>
      <c r="D19" s="52" t="s">
        <v>623</v>
      </c>
    </row>
    <row r="20" spans="2:4" x14ac:dyDescent="0.2">
      <c r="C20" s="431" t="s">
        <v>13</v>
      </c>
      <c r="D20" s="52" t="s">
        <v>225</v>
      </c>
    </row>
    <row r="21" spans="2:4" x14ac:dyDescent="0.2">
      <c r="C21" s="431" t="s">
        <v>14</v>
      </c>
      <c r="D21" s="52" t="s">
        <v>624</v>
      </c>
    </row>
    <row r="22" spans="2:4" x14ac:dyDescent="0.2">
      <c r="C22" s="431" t="s">
        <v>15</v>
      </c>
      <c r="D22" s="52" t="s">
        <v>43</v>
      </c>
    </row>
    <row r="23" spans="2:4" x14ac:dyDescent="0.2">
      <c r="C23" s="562" t="s">
        <v>16</v>
      </c>
      <c r="D23" s="52" t="s">
        <v>226</v>
      </c>
    </row>
    <row r="24" spans="2:4" x14ac:dyDescent="0.2">
      <c r="C24" s="562" t="s">
        <v>17</v>
      </c>
      <c r="D24" s="52" t="s">
        <v>227</v>
      </c>
    </row>
    <row r="25" spans="2:4" x14ac:dyDescent="0.2">
      <c r="C25" s="562" t="s">
        <v>18</v>
      </c>
      <c r="D25" s="52" t="s">
        <v>543</v>
      </c>
    </row>
    <row r="26" spans="2:4" x14ac:dyDescent="0.2">
      <c r="C26" s="562" t="s">
        <v>19</v>
      </c>
      <c r="D26" s="52" t="s">
        <v>388</v>
      </c>
    </row>
    <row r="27" spans="2:4" x14ac:dyDescent="0.2">
      <c r="C27" s="562" t="s">
        <v>20</v>
      </c>
      <c r="D27" s="52" t="s">
        <v>106</v>
      </c>
    </row>
    <row r="28" spans="2:4" x14ac:dyDescent="0.2">
      <c r="C28" s="562" t="s">
        <v>21</v>
      </c>
      <c r="D28" s="52" t="s">
        <v>387</v>
      </c>
    </row>
    <row r="29" spans="2:4" x14ac:dyDescent="0.2">
      <c r="C29" s="562" t="s">
        <v>22</v>
      </c>
      <c r="D29" s="52" t="s">
        <v>107</v>
      </c>
    </row>
    <row r="30" spans="2:4" x14ac:dyDescent="0.2">
      <c r="C30" s="562" t="s">
        <v>23</v>
      </c>
      <c r="D30" s="52" t="s">
        <v>45</v>
      </c>
    </row>
    <row r="31" spans="2:4" x14ac:dyDescent="0.2">
      <c r="C31" s="562" t="s">
        <v>24</v>
      </c>
      <c r="D31" s="52" t="s">
        <v>228</v>
      </c>
    </row>
    <row r="32" spans="2:4" x14ac:dyDescent="0.2">
      <c r="B32" s="314"/>
      <c r="C32" s="52"/>
    </row>
    <row r="34" spans="2:14" x14ac:dyDescent="0.2">
      <c r="C34" s="432" t="s">
        <v>609</v>
      </c>
    </row>
    <row r="35" spans="2:14" ht="13.5" thickBot="1" x14ac:dyDescent="0.25"/>
    <row r="36" spans="2:14" ht="13.5" thickBot="1" x14ac:dyDescent="0.25">
      <c r="C36" s="451"/>
      <c r="D36" s="658" t="s">
        <v>436</v>
      </c>
      <c r="E36" s="658"/>
      <c r="F36" s="658"/>
      <c r="G36" s="658"/>
      <c r="H36" s="658"/>
      <c r="I36" s="658"/>
      <c r="J36" s="658"/>
      <c r="K36" s="658"/>
      <c r="L36" s="658"/>
      <c r="M36" s="658"/>
    </row>
    <row r="37" spans="2:14" ht="13.5" thickBot="1" x14ac:dyDescent="0.25"/>
    <row r="38" spans="2:14" ht="12.75" customHeight="1" thickBot="1" x14ac:dyDescent="0.25">
      <c r="C38" s="452"/>
      <c r="D38" s="657" t="s">
        <v>437</v>
      </c>
      <c r="E38" s="657"/>
      <c r="F38" s="657"/>
      <c r="G38" s="657"/>
      <c r="H38" s="657"/>
      <c r="I38" s="657"/>
      <c r="J38" s="657"/>
      <c r="K38" s="657"/>
      <c r="L38" s="657"/>
      <c r="M38" s="657"/>
    </row>
    <row r="39" spans="2:14" ht="13.5" thickBot="1" x14ac:dyDescent="0.25">
      <c r="C39" s="376"/>
    </row>
    <row r="40" spans="2:14" ht="29.25" customHeight="1" thickBot="1" x14ac:dyDescent="0.25">
      <c r="C40" s="212"/>
      <c r="D40" s="657" t="s">
        <v>37</v>
      </c>
      <c r="E40" s="657"/>
      <c r="F40" s="657"/>
      <c r="G40" s="657"/>
      <c r="H40" s="657"/>
      <c r="I40" s="657"/>
      <c r="J40" s="657"/>
      <c r="K40" s="657"/>
      <c r="L40" s="657"/>
      <c r="M40" s="657"/>
      <c r="N40" s="657"/>
    </row>
    <row r="41" spans="2:14" ht="12.75" customHeight="1" x14ac:dyDescent="0.2">
      <c r="C41" s="376"/>
      <c r="D41" s="376"/>
      <c r="E41" s="376"/>
      <c r="F41" s="376"/>
      <c r="G41" s="376"/>
      <c r="H41" s="376"/>
      <c r="I41" s="376"/>
      <c r="J41" s="376"/>
      <c r="K41" s="376"/>
    </row>
    <row r="42" spans="2:14" x14ac:dyDescent="0.2">
      <c r="B42" s="376"/>
      <c r="C42" s="376"/>
    </row>
  </sheetData>
  <mergeCells count="3">
    <mergeCell ref="D40:N40"/>
    <mergeCell ref="D36:M36"/>
    <mergeCell ref="D38:M38"/>
  </mergeCells>
  <phoneticPr fontId="3" type="noConversion"/>
  <hyperlinks>
    <hyperlink ref="C9" location="'App.2-A_Capital Projects'!A1" display="2-A"/>
    <hyperlink ref="C10" location="'App.2-B_Fixed Asset Continuity'!A1" display="2-B"/>
    <hyperlink ref="C11" location="'App.2-C_Other_Oper_Rev'!A1" display="2-C"/>
    <hyperlink ref="C19" location="'App.2-K Employee Costs'!A1" display="2-K"/>
    <hyperlink ref="C21" location="'App.2-M_Depreciation Expense'!A1" display="2-M"/>
    <hyperlink ref="C22" location="'App.2-N Capitalization'!A1" display="2-N"/>
    <hyperlink ref="C25" location="'App.2-Q_Smart_Meters'!Print_Area" display="2-Q"/>
    <hyperlink ref="C27" location="'App.2-S_Embedded_Dx_LV_rate'!Print_Area" display="2-S"/>
    <hyperlink ref="C28" location="'App.2-T_1592_Defer_PILs'!Print_Area" display="2-T"/>
    <hyperlink ref="C30" location="'App.2-V Bill Impacts'!Print_Area" display="2-V"/>
    <hyperlink ref="C12" location="'App.2-D_OM&amp;A_Accts'!A1" display="2-D"/>
    <hyperlink ref="C14" location="'App.2-F_Detailed_OM&amp;A_Expenses'!A1" display="2-F"/>
    <hyperlink ref="C15" location="'App.2-G_OM&amp;A_Cost _Drivers'!A1" display="2-G"/>
    <hyperlink ref="C16" location="'App.2-H_Regulatory_Costs'!A1" display="2-H"/>
    <hyperlink ref="C18" location="'App.2-J_OM&amp;A_Variance_Analysis'!A1" display="2-J"/>
    <hyperlink ref="C13" location="'App.2-E_OM&amp;A_Exp_Summary'!A1" display="2-E"/>
    <hyperlink ref="C17" location="'App.2-I_OM&amp;A_per_Cust_FTEE'!Print_Area" display="2-I"/>
    <hyperlink ref="C20" location="'App.2-L_Corp_Cost_Allocation'!Print_Area" display="2-L"/>
    <hyperlink ref="C29" location="'App.2-U_Rev_Reconciliation'!Print_Area" display="2-U"/>
    <hyperlink ref="C31" location="'App.2-W_CoS_Flowchart'!Print_Area" display="2-W"/>
    <hyperlink ref="C23" location="'App.2-O_Cost_Allocation'!Print_Area" display="2-O"/>
    <hyperlink ref="C24" location="'App.2-P_Loss Factors'!Print_Area" display="2-P"/>
    <hyperlink ref="C26" location="'App.2-R_Stranded Meters'!Print_Area" display="2-R"/>
  </hyperlinks>
  <pageMargins left="0.75" right="0.75" top="1" bottom="1" header="0.5" footer="0.5"/>
  <pageSetup scale="5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O67"/>
  <sheetViews>
    <sheetView showGridLines="0" topLeftCell="C28" zoomScaleNormal="100" workbookViewId="0">
      <selection activeCell="C16" sqref="C16:G46"/>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2006</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Rates'!$C$16:$E$51,3,$C$16:$C$51)</f>
        <v>0</v>
      </c>
      <c r="F16" s="580">
        <f>VLOOKUP(C16,'[1]FA Continuity 2006'!$B$10:$M$45,3,$C$16:$C$48)</f>
        <v>2112</v>
      </c>
      <c r="G16" s="580">
        <f>VLOOKUP(C16,'[1]FA Continuity 2006'!$B$10:$M$45,4,$C$16:$C$48)</f>
        <v>0</v>
      </c>
      <c r="H16" s="580">
        <f>VLOOKUP(C16,'[1]FA Continuity 2006'!$B$10:$M$45,5,$C$16:$C$48)</f>
        <v>0</v>
      </c>
      <c r="I16" s="27">
        <f>F16+G16+H16</f>
        <v>2112</v>
      </c>
      <c r="J16" s="4"/>
      <c r="K16" s="580">
        <f>VLOOKUP(C16,'[1]FA Continuity 2006'!$B$10:$M$45,8,$C$16:$C$48)</f>
        <v>0</v>
      </c>
      <c r="L16" s="580">
        <f>VLOOKUP(C16,'[1]FA Continuity 2006'!$B$10:$M$45,9,$C$16:$C$48)</f>
        <v>0</v>
      </c>
      <c r="M16" s="580">
        <f>VLOOKUP(C16,'[1]FA Continuity 2006'!$B$10:$M$45,10,$C$16:$C$48)</f>
        <v>0</v>
      </c>
      <c r="N16" s="27">
        <f>K16+L16+M16</f>
        <v>0</v>
      </c>
      <c r="O16" s="28">
        <f>I16-N16</f>
        <v>2112</v>
      </c>
    </row>
    <row r="17" spans="2:15" x14ac:dyDescent="0.2">
      <c r="B17" s="7">
        <v>47</v>
      </c>
      <c r="C17" s="7">
        <v>1808</v>
      </c>
      <c r="D17" s="2" t="s">
        <v>537</v>
      </c>
      <c r="E17" s="582"/>
      <c r="F17" s="580">
        <f>VLOOKUP(C17,'[1]FA Continuity 2006'!$B$10:$M$45,3,$C$16:$C$48)</f>
        <v>0</v>
      </c>
      <c r="G17" s="580">
        <f>VLOOKUP(C17,'[1]FA Continuity 2006'!$B$10:$M$45,4,$C$16:$C$48)</f>
        <v>0</v>
      </c>
      <c r="H17" s="580">
        <f>VLOOKUP(C17,'[1]FA Continuity 2006'!$B$10:$M$45,5,$C$16:$C$48)</f>
        <v>0</v>
      </c>
      <c r="I17" s="27">
        <f t="shared" ref="I17:I47" si="0">F17+G17+H17</f>
        <v>0</v>
      </c>
      <c r="J17" s="4"/>
      <c r="K17" s="580">
        <f>VLOOKUP(C17,'[1]FA Continuity 2006'!$B$10:$M$45,8,$C$16:$C$48)</f>
        <v>0</v>
      </c>
      <c r="L17" s="580">
        <f>VLOOKUP(C17,'[1]FA Continuity 2006'!$B$10:$M$45,9,$C$16:$C$48)</f>
        <v>0</v>
      </c>
      <c r="M17" s="580">
        <f>VLOOKUP(C17,'[1]FA Continuity 2006'!$B$10:$M$45,10,$C$16:$C$48)</f>
        <v>0</v>
      </c>
      <c r="N17" s="27">
        <f t="shared" ref="N17:N47" si="1">K17+L17+M17</f>
        <v>0</v>
      </c>
      <c r="O17" s="28">
        <f t="shared" ref="O17:O48" si="2">I17-N17</f>
        <v>0</v>
      </c>
    </row>
    <row r="18" spans="2:15" x14ac:dyDescent="0.2">
      <c r="B18" s="7">
        <v>13</v>
      </c>
      <c r="C18" s="7">
        <v>1810</v>
      </c>
      <c r="D18" s="2" t="s">
        <v>579</v>
      </c>
      <c r="E18" s="582"/>
      <c r="F18" s="580">
        <f>VLOOKUP(C18,'[1]FA Continuity 2006'!$B$10:$M$45,3,$C$16:$C$48)</f>
        <v>0</v>
      </c>
      <c r="G18" s="580">
        <f>VLOOKUP(C18,'[1]FA Continuity 2006'!$B$10:$M$45,4,$C$16:$C$48)</f>
        <v>0</v>
      </c>
      <c r="H18" s="580">
        <f>VLOOKUP(C18,'[1]FA Continuity 2006'!$B$10:$M$45,5,$C$16:$C$48)</f>
        <v>0</v>
      </c>
      <c r="I18" s="27">
        <f t="shared" si="0"/>
        <v>0</v>
      </c>
      <c r="J18" s="4"/>
      <c r="K18" s="580">
        <f>VLOOKUP(C18,'[1]FA Continuity 2006'!$B$10:$M$45,8,$C$16:$C$48)</f>
        <v>0</v>
      </c>
      <c r="L18" s="580">
        <f>VLOOKUP(C18,'[1]FA Continuity 2006'!$B$10:$M$45,9,$C$16:$C$48)</f>
        <v>0</v>
      </c>
      <c r="M18" s="580">
        <f>VLOOKUP(C18,'[1]FA Continuity 2006'!$B$10:$M$45,10,$C$16:$C$48)</f>
        <v>0</v>
      </c>
      <c r="N18" s="27">
        <f t="shared" si="1"/>
        <v>0</v>
      </c>
      <c r="O18" s="28">
        <f t="shared" si="2"/>
        <v>0</v>
      </c>
    </row>
    <row r="19" spans="2:15" x14ac:dyDescent="0.2">
      <c r="B19" s="7">
        <v>47</v>
      </c>
      <c r="C19" s="7">
        <v>1815</v>
      </c>
      <c r="D19" s="2" t="s">
        <v>538</v>
      </c>
      <c r="E19" s="582"/>
      <c r="F19" s="580">
        <f>VLOOKUP(C19,'[1]FA Continuity 2006'!$B$10:$M$45,3,$C$16:$C$48)</f>
        <v>0</v>
      </c>
      <c r="G19" s="580">
        <f>VLOOKUP(C19,'[1]FA Continuity 2006'!$B$10:$M$45,4,$C$16:$C$48)</f>
        <v>0</v>
      </c>
      <c r="H19" s="580">
        <f>VLOOKUP(C19,'[1]FA Continuity 2006'!$B$10:$M$45,5,$C$16:$C$48)</f>
        <v>0</v>
      </c>
      <c r="I19" s="27">
        <f t="shared" si="0"/>
        <v>0</v>
      </c>
      <c r="J19" s="4"/>
      <c r="K19" s="580">
        <f>VLOOKUP(C19,'[1]FA Continuity 2006'!$B$10:$M$45,8,$C$16:$C$48)</f>
        <v>0</v>
      </c>
      <c r="L19" s="580">
        <f>VLOOKUP(C19,'[1]FA Continuity 2006'!$B$10:$M$45,9,$C$16:$C$48)</f>
        <v>0</v>
      </c>
      <c r="M19" s="580">
        <f>VLOOKUP(C19,'[1]FA Continuity 2006'!$B$10:$M$45,10,$C$16:$C$48)</f>
        <v>0</v>
      </c>
      <c r="N19" s="27">
        <f t="shared" si="1"/>
        <v>0</v>
      </c>
      <c r="O19" s="28">
        <f t="shared" si="2"/>
        <v>0</v>
      </c>
    </row>
    <row r="20" spans="2:15" x14ac:dyDescent="0.2">
      <c r="B20" s="7">
        <v>47</v>
      </c>
      <c r="C20" s="7">
        <v>1820</v>
      </c>
      <c r="D20" s="456" t="s">
        <v>462</v>
      </c>
      <c r="E20" s="582">
        <f>VLOOKUP(C20,'App.2-B1_Depr Rates'!$C$16:$E$51,3,$C$16:$C$51)</f>
        <v>0.04</v>
      </c>
      <c r="F20" s="580">
        <f>VLOOKUP(C20,'[1]FA Continuity 2006'!$B$10:$M$45,3,$C$16:$C$48)</f>
        <v>142098.48000000001</v>
      </c>
      <c r="G20" s="580">
        <f>VLOOKUP(C20,'[1]FA Continuity 2006'!$B$10:$M$45,4,$C$16:$C$48)</f>
        <v>0</v>
      </c>
      <c r="H20" s="580">
        <f>VLOOKUP(C20,'[1]FA Continuity 2006'!$B$10:$M$45,5,$C$16:$C$48)</f>
        <v>0</v>
      </c>
      <c r="I20" s="27">
        <f t="shared" si="0"/>
        <v>142098.48000000001</v>
      </c>
      <c r="J20" s="4"/>
      <c r="K20" s="580">
        <f>VLOOKUP(C20,'[1]FA Continuity 2006'!$B$10:$M$45,8,$C$16:$C$48)</f>
        <v>142098.48000000001</v>
      </c>
      <c r="L20" s="580">
        <f>VLOOKUP(C20,'[1]FA Continuity 2006'!$B$10:$M$45,9,$C$16:$C$48)</f>
        <v>61.97</v>
      </c>
      <c r="M20" s="580">
        <f>VLOOKUP(C20,'[1]FA Continuity 2006'!$B$10:$M$45,10,$C$16:$C$48)</f>
        <v>0</v>
      </c>
      <c r="N20" s="27">
        <f t="shared" si="1"/>
        <v>142160.45000000001</v>
      </c>
      <c r="O20" s="28">
        <f t="shared" si="2"/>
        <v>-61.970000000001164</v>
      </c>
    </row>
    <row r="21" spans="2:15" x14ac:dyDescent="0.2">
      <c r="B21" s="7">
        <v>47</v>
      </c>
      <c r="C21" s="7">
        <v>1825</v>
      </c>
      <c r="D21" s="2" t="s">
        <v>539</v>
      </c>
      <c r="E21" s="582"/>
      <c r="F21" s="580">
        <f>VLOOKUP(C21,'[1]FA Continuity 2006'!$B$10:$M$45,3,$C$16:$C$48)</f>
        <v>0</v>
      </c>
      <c r="G21" s="580">
        <f>VLOOKUP(C21,'[1]FA Continuity 2006'!$B$10:$M$45,4,$C$16:$C$48)</f>
        <v>0</v>
      </c>
      <c r="H21" s="580">
        <f>VLOOKUP(C21,'[1]FA Continuity 2006'!$B$10:$M$45,5,$C$16:$C$48)</f>
        <v>0</v>
      </c>
      <c r="I21" s="27">
        <f t="shared" si="0"/>
        <v>0</v>
      </c>
      <c r="J21" s="4"/>
      <c r="K21" s="580">
        <f>VLOOKUP(C21,'[1]FA Continuity 2006'!$B$10:$M$45,8,$C$16:$C$48)</f>
        <v>0</v>
      </c>
      <c r="L21" s="580">
        <f>VLOOKUP(C21,'[1]FA Continuity 2006'!$B$10:$M$45,9,$C$16:$C$48)</f>
        <v>0</v>
      </c>
      <c r="M21" s="580">
        <f>VLOOKUP(C21,'[1]FA Continuity 2006'!$B$10:$M$45,10,$C$16:$C$48)</f>
        <v>0</v>
      </c>
      <c r="N21" s="27">
        <f t="shared" si="1"/>
        <v>0</v>
      </c>
      <c r="O21" s="28">
        <f t="shared" si="2"/>
        <v>0</v>
      </c>
    </row>
    <row r="22" spans="2:15" x14ac:dyDescent="0.2">
      <c r="B22" s="7">
        <v>47</v>
      </c>
      <c r="C22" s="7">
        <v>1830</v>
      </c>
      <c r="D22" s="2" t="s">
        <v>540</v>
      </c>
      <c r="E22" s="582">
        <f>VLOOKUP(C22,'App.2-B1_Depr Rates'!$C$16:$E$51,3,$C$16:$C$51)</f>
        <v>0.04</v>
      </c>
      <c r="F22" s="580">
        <f>VLOOKUP(C22,'[1]FA Continuity 2006'!$B$10:$M$45,3,$C$16:$C$48)</f>
        <v>444429.93</v>
      </c>
      <c r="G22" s="580">
        <f>VLOOKUP(C22,'[1]FA Continuity 2006'!$B$10:$M$45,4,$C$16:$C$48)</f>
        <v>27725.5</v>
      </c>
      <c r="H22" s="580">
        <f>VLOOKUP(C22,'[1]FA Continuity 2006'!$B$10:$M$45,5,$C$16:$C$48)</f>
        <v>0</v>
      </c>
      <c r="I22" s="27">
        <f t="shared" si="0"/>
        <v>472155.43</v>
      </c>
      <c r="J22" s="4"/>
      <c r="K22" s="580">
        <f>VLOOKUP(C22,'[1]FA Continuity 2006'!$B$10:$M$45,8,$C$16:$C$48)</f>
        <v>39680.519999999997</v>
      </c>
      <c r="L22" s="580">
        <f>VLOOKUP(C22,'[1]FA Continuity 2006'!$B$10:$M$45,9,$C$16:$C$48)</f>
        <v>18331.68</v>
      </c>
      <c r="M22" s="580">
        <f>VLOOKUP(C22,'[1]FA Continuity 2006'!$B$10:$M$45,10,$C$16:$C$48)</f>
        <v>0</v>
      </c>
      <c r="N22" s="27">
        <f t="shared" si="1"/>
        <v>58012.2</v>
      </c>
      <c r="O22" s="28">
        <f t="shared" si="2"/>
        <v>414143.23</v>
      </c>
    </row>
    <row r="23" spans="2:15" x14ac:dyDescent="0.2">
      <c r="B23" s="7">
        <v>47</v>
      </c>
      <c r="C23" s="7">
        <v>1835</v>
      </c>
      <c r="D23" s="2" t="s">
        <v>463</v>
      </c>
      <c r="E23" s="582">
        <f>VLOOKUP(C23,'App.2-B1_Depr Rates'!$C$16:$E$51,3,$C$16:$C$51)</f>
        <v>0.04</v>
      </c>
      <c r="F23" s="580">
        <f>VLOOKUP(C23,'[1]FA Continuity 2006'!$B$10:$M$45,3,$C$16:$C$48)</f>
        <v>5439115.3700000001</v>
      </c>
      <c r="G23" s="580">
        <f>VLOOKUP(C23,'[1]FA Continuity 2006'!$B$10:$M$45,4,$C$16:$C$48)</f>
        <v>72103.48</v>
      </c>
      <c r="H23" s="580">
        <f>VLOOKUP(C23,'[1]FA Continuity 2006'!$B$10:$M$45,5,$C$16:$C$48)</f>
        <v>0</v>
      </c>
      <c r="I23" s="27">
        <f t="shared" si="0"/>
        <v>5511218.8500000006</v>
      </c>
      <c r="J23" s="4"/>
      <c r="K23" s="580">
        <f>VLOOKUP(C23,'[1]FA Continuity 2006'!$B$10:$M$45,8,$C$16:$C$48)</f>
        <v>2943963.46</v>
      </c>
      <c r="L23" s="580">
        <f>VLOOKUP(C23,'[1]FA Continuity 2006'!$B$10:$M$45,9,$C$16:$C$48)</f>
        <v>213858.89</v>
      </c>
      <c r="M23" s="580">
        <f>VLOOKUP(C23,'[1]FA Continuity 2006'!$B$10:$M$45,10,$C$16:$C$48)</f>
        <v>0</v>
      </c>
      <c r="N23" s="27">
        <f t="shared" si="1"/>
        <v>3157822.35</v>
      </c>
      <c r="O23" s="28">
        <f t="shared" si="2"/>
        <v>2353396.5000000005</v>
      </c>
    </row>
    <row r="24" spans="2:15" x14ac:dyDescent="0.2">
      <c r="B24" s="7">
        <v>47</v>
      </c>
      <c r="C24" s="7">
        <v>1840</v>
      </c>
      <c r="D24" s="2" t="s">
        <v>464</v>
      </c>
      <c r="E24" s="582">
        <f>VLOOKUP(C24,'App.2-B1_Depr Rates'!$C$16:$E$51,3,$C$16:$C$51)</f>
        <v>0.04</v>
      </c>
      <c r="F24" s="580">
        <f>VLOOKUP(C24,'[1]FA Continuity 2006'!$B$10:$M$45,3,$C$16:$C$48)</f>
        <v>488017.23</v>
      </c>
      <c r="G24" s="580">
        <f>VLOOKUP(C24,'[1]FA Continuity 2006'!$B$10:$M$45,4,$C$16:$C$48)</f>
        <v>131979.6</v>
      </c>
      <c r="H24" s="580">
        <f>VLOOKUP(C24,'[1]FA Continuity 2006'!$B$10:$M$45,5,$C$16:$C$48)</f>
        <v>0</v>
      </c>
      <c r="I24" s="27">
        <f t="shared" si="0"/>
        <v>619996.82999999996</v>
      </c>
      <c r="J24" s="4"/>
      <c r="K24" s="580">
        <f>VLOOKUP(C24,'[1]FA Continuity 2006'!$B$10:$M$45,8,$C$16:$C$48)</f>
        <v>31362.27</v>
      </c>
      <c r="L24" s="580">
        <f>VLOOKUP(C24,'[1]FA Continuity 2006'!$B$10:$M$45,9,$C$16:$C$48)</f>
        <v>22160.28</v>
      </c>
      <c r="M24" s="580">
        <f>VLOOKUP(C24,'[1]FA Continuity 2006'!$B$10:$M$45,10,$C$16:$C$48)</f>
        <v>0</v>
      </c>
      <c r="N24" s="27">
        <f t="shared" si="1"/>
        <v>53522.55</v>
      </c>
      <c r="O24" s="28">
        <f t="shared" si="2"/>
        <v>566474.27999999991</v>
      </c>
    </row>
    <row r="25" spans="2:15" x14ac:dyDescent="0.2">
      <c r="B25" s="7">
        <v>47</v>
      </c>
      <c r="C25" s="7">
        <v>1845</v>
      </c>
      <c r="D25" s="2" t="s">
        <v>465</v>
      </c>
      <c r="E25" s="582">
        <f>VLOOKUP(C25,'App.2-B1_Depr Rates'!$C$16:$E$51,3,$C$16:$C$51)</f>
        <v>0.04</v>
      </c>
      <c r="F25" s="580">
        <f>VLOOKUP(C25,'[1]FA Continuity 2006'!$B$10:$M$45,3,$C$16:$C$48)</f>
        <v>6156447.1100000003</v>
      </c>
      <c r="G25" s="580">
        <f>VLOOKUP(C25,'[1]FA Continuity 2006'!$B$10:$M$45,4,$C$16:$C$48)</f>
        <v>207934.52</v>
      </c>
      <c r="H25" s="580">
        <f>VLOOKUP(C25,'[1]FA Continuity 2006'!$B$10:$M$45,5,$C$16:$C$48)</f>
        <v>0</v>
      </c>
      <c r="I25" s="27">
        <f t="shared" si="0"/>
        <v>6364381.6299999999</v>
      </c>
      <c r="J25" s="4"/>
      <c r="K25" s="580">
        <f>VLOOKUP(C25,'[1]FA Continuity 2006'!$B$10:$M$45,8,$C$16:$C$48)</f>
        <v>3028251</v>
      </c>
      <c r="L25" s="580">
        <f>VLOOKUP(C25,'[1]FA Continuity 2006'!$B$10:$M$45,9,$C$16:$C$48)</f>
        <v>233221.37</v>
      </c>
      <c r="M25" s="580">
        <f>VLOOKUP(C25,'[1]FA Continuity 2006'!$B$10:$M$45,10,$C$16:$C$48)</f>
        <v>0</v>
      </c>
      <c r="N25" s="27">
        <f t="shared" si="1"/>
        <v>3261472.37</v>
      </c>
      <c r="O25" s="28">
        <f t="shared" si="2"/>
        <v>3102909.26</v>
      </c>
    </row>
    <row r="26" spans="2:15" x14ac:dyDescent="0.2">
      <c r="B26" s="7">
        <v>47</v>
      </c>
      <c r="C26" s="7">
        <v>1850</v>
      </c>
      <c r="D26" s="2" t="s">
        <v>541</v>
      </c>
      <c r="E26" s="582">
        <f>VLOOKUP(C26,'App.2-B1_Depr Rates'!$C$16:$E$51,3,$C$16:$C$51)</f>
        <v>0.04</v>
      </c>
      <c r="F26" s="580">
        <f>VLOOKUP(C26,'[1]FA Continuity 2006'!$B$10:$M$45,3,$C$16:$C$48)</f>
        <v>4411293.93</v>
      </c>
      <c r="G26" s="580">
        <f>VLOOKUP(C26,'[1]FA Continuity 2006'!$B$10:$M$45,4,$C$16:$C$48)</f>
        <v>56484.65</v>
      </c>
      <c r="H26" s="580">
        <f>VLOOKUP(C26,'[1]FA Continuity 2006'!$B$10:$M$45,5,$C$16:$C$48)</f>
        <v>0</v>
      </c>
      <c r="I26" s="27">
        <f t="shared" si="0"/>
        <v>4467778.58</v>
      </c>
      <c r="J26" s="4"/>
      <c r="K26" s="580">
        <f>VLOOKUP(C26,'[1]FA Continuity 2006'!$B$10:$M$45,8,$C$16:$C$48)</f>
        <v>2291210</v>
      </c>
      <c r="L26" s="580">
        <f>VLOOKUP(C26,'[1]FA Continuity 2006'!$B$10:$M$45,9,$C$16:$C$48)</f>
        <v>148839.60999999999</v>
      </c>
      <c r="M26" s="580">
        <f>VLOOKUP(C26,'[1]FA Continuity 2006'!$B$10:$M$45,10,$C$16:$C$48)</f>
        <v>0</v>
      </c>
      <c r="N26" s="27">
        <f t="shared" si="1"/>
        <v>2440049.61</v>
      </c>
      <c r="O26" s="28">
        <f t="shared" si="2"/>
        <v>2027728.9700000002</v>
      </c>
    </row>
    <row r="27" spans="2:15" x14ac:dyDescent="0.2">
      <c r="B27" s="7">
        <v>47</v>
      </c>
      <c r="C27" s="7">
        <v>1855</v>
      </c>
      <c r="D27" s="2" t="s">
        <v>466</v>
      </c>
      <c r="E27" s="582">
        <f>VLOOKUP(C27,'App.2-B1_Depr Rates'!$C$16:$E$51,3,$C$16:$C$51)</f>
        <v>0.04</v>
      </c>
      <c r="F27" s="580">
        <f>VLOOKUP(C27,'[1]FA Continuity 2006'!$B$10:$M$45,3,$C$16:$C$48)</f>
        <v>235736.65</v>
      </c>
      <c r="G27" s="580">
        <f>VLOOKUP(C27,'[1]FA Continuity 2006'!$B$10:$M$45,4,$C$16:$C$48)</f>
        <v>88092.14</v>
      </c>
      <c r="H27" s="580">
        <f>VLOOKUP(C27,'[1]FA Continuity 2006'!$B$10:$M$45,5,$C$16:$C$48)</f>
        <v>0</v>
      </c>
      <c r="I27" s="27">
        <f t="shared" si="0"/>
        <v>323828.78999999998</v>
      </c>
      <c r="J27" s="4"/>
      <c r="K27" s="580">
        <f>VLOOKUP(C27,'[1]FA Continuity 2006'!$B$10:$M$45,8,$C$16:$C$48)</f>
        <v>21570.9</v>
      </c>
      <c r="L27" s="580">
        <f>VLOOKUP(C27,'[1]FA Continuity 2006'!$B$10:$M$45,9,$C$16:$C$48)</f>
        <v>11191.31</v>
      </c>
      <c r="M27" s="580">
        <f>VLOOKUP(C27,'[1]FA Continuity 2006'!$B$10:$M$45,10,$C$16:$C$48)</f>
        <v>0</v>
      </c>
      <c r="N27" s="27">
        <f t="shared" si="1"/>
        <v>32762.21</v>
      </c>
      <c r="O27" s="28">
        <f t="shared" si="2"/>
        <v>291066.57999999996</v>
      </c>
    </row>
    <row r="28" spans="2:15" x14ac:dyDescent="0.2">
      <c r="B28" s="7">
        <v>47</v>
      </c>
      <c r="C28" s="7">
        <v>1860</v>
      </c>
      <c r="D28" s="2" t="s">
        <v>542</v>
      </c>
      <c r="E28" s="582">
        <f>'App.2-B1_Depr Rates'!E28</f>
        <v>0.04</v>
      </c>
      <c r="F28" s="580">
        <f>VLOOKUP(C28,'[1]FA Continuity 2006'!$B$10:$M$45,3,$C$16:$C$48)</f>
        <v>879822.03</v>
      </c>
      <c r="G28" s="580">
        <f>VLOOKUP(C28,'[1]FA Continuity 2006'!$B$10:$M$45,4,$C$16:$C$48)</f>
        <v>52061.47</v>
      </c>
      <c r="H28" s="580">
        <f>VLOOKUP(C28,'[1]FA Continuity 2006'!$B$10:$M$45,5,$C$16:$C$48)</f>
        <v>0</v>
      </c>
      <c r="I28" s="27">
        <f t="shared" si="0"/>
        <v>931883.5</v>
      </c>
      <c r="J28" s="4"/>
      <c r="K28" s="580">
        <f>VLOOKUP(C28,'[1]FA Continuity 2006'!$B$10:$M$45,8,$C$16:$C$48)</f>
        <v>526114.64</v>
      </c>
      <c r="L28" s="580">
        <f>VLOOKUP(C28,'[1]FA Continuity 2006'!$B$10:$M$45,9,$C$16:$C$48)</f>
        <v>1041.23</v>
      </c>
      <c r="M28" s="580">
        <f>VLOOKUP(C28,'[1]FA Continuity 2006'!$B$10:$M$45,10,$C$16:$C$48)</f>
        <v>0</v>
      </c>
      <c r="N28" s="27">
        <f t="shared" si="1"/>
        <v>527155.87</v>
      </c>
      <c r="O28" s="28">
        <f t="shared" si="2"/>
        <v>404727.63</v>
      </c>
    </row>
    <row r="29" spans="2:15" x14ac:dyDescent="0.2">
      <c r="B29" s="7" t="s">
        <v>535</v>
      </c>
      <c r="C29" s="7">
        <v>1905</v>
      </c>
      <c r="D29" s="2" t="s">
        <v>536</v>
      </c>
      <c r="E29" s="582">
        <f>VLOOKUP(C29,'App.2-B1_Depr Rates'!$C$16:$E$51,3,$C$16:$C$51)</f>
        <v>0</v>
      </c>
      <c r="F29" s="580">
        <f>VLOOKUP(C29,'[1]FA Continuity 2006'!$B$10:$M$45,3,$C$16:$C$48)</f>
        <v>154265.01999999999</v>
      </c>
      <c r="G29" s="580">
        <f>VLOOKUP(C29,'[1]FA Continuity 2006'!$B$10:$M$45,4,$C$16:$C$48)</f>
        <v>17500</v>
      </c>
      <c r="H29" s="580">
        <f>VLOOKUP(C29,'[1]FA Continuity 2006'!$B$10:$M$45,5,$C$16:$C$48)</f>
        <v>0</v>
      </c>
      <c r="I29" s="27">
        <f t="shared" si="0"/>
        <v>171765.02</v>
      </c>
      <c r="J29" s="4"/>
      <c r="K29" s="580">
        <f>VLOOKUP(C29,'[1]FA Continuity 2006'!$B$10:$M$45,8,$C$16:$C$48)</f>
        <v>0</v>
      </c>
      <c r="L29" s="580">
        <f>VLOOKUP(C29,'[1]FA Continuity 2006'!$B$10:$M$45,9,$C$16:$C$48)</f>
        <v>0</v>
      </c>
      <c r="M29" s="580">
        <f>VLOOKUP(C29,'[1]FA Continuity 2006'!$B$10:$M$45,10,$C$16:$C$48)</f>
        <v>0</v>
      </c>
      <c r="N29" s="27">
        <f t="shared" si="1"/>
        <v>0</v>
      </c>
      <c r="O29" s="28">
        <f t="shared" si="2"/>
        <v>171765.02</v>
      </c>
    </row>
    <row r="30" spans="2:15" x14ac:dyDescent="0.2">
      <c r="B30" s="7" t="s">
        <v>544</v>
      </c>
      <c r="C30" s="7">
        <v>1906</v>
      </c>
      <c r="D30" s="2" t="s">
        <v>545</v>
      </c>
      <c r="E30" s="582">
        <f>VLOOKUP(C30,'App.2-B1_Depr Rates'!$C$16:$E$51,3,$C$16:$C$51)</f>
        <v>0.02</v>
      </c>
      <c r="F30" s="580">
        <f>VLOOKUP(C30,'[1]FA Continuity 2006'!$B$10:$M$45,3,$C$16:$C$48)</f>
        <v>2724.73</v>
      </c>
      <c r="G30" s="580">
        <f>VLOOKUP(C30,'[1]FA Continuity 2006'!$B$10:$M$45,4,$C$16:$C$48)</f>
        <v>0</v>
      </c>
      <c r="H30" s="580">
        <f>-VLOOKUP(C30,'[1]FA Continuity 2006'!$B$10:$M$45,5,$C$16:$C$48)</f>
        <v>-180</v>
      </c>
      <c r="I30" s="27">
        <f t="shared" si="0"/>
        <v>2544.73</v>
      </c>
      <c r="J30" s="4"/>
      <c r="K30" s="580">
        <f>VLOOKUP(C30,'[1]FA Continuity 2006'!$B$10:$M$45,8,$C$16:$C$48)</f>
        <v>2724.73</v>
      </c>
      <c r="L30" s="580">
        <f>VLOOKUP(C30,'[1]FA Continuity 2006'!$B$10:$M$45,9,$C$16:$C$48)</f>
        <v>0</v>
      </c>
      <c r="M30" s="580">
        <f>VLOOKUP(C30,'[1]FA Continuity 2006'!$B$10:$M$45,10,$C$16:$C$48)</f>
        <v>0</v>
      </c>
      <c r="N30" s="27">
        <f t="shared" si="1"/>
        <v>2724.73</v>
      </c>
      <c r="O30" s="28">
        <f t="shared" si="2"/>
        <v>-180</v>
      </c>
    </row>
    <row r="31" spans="2:15" x14ac:dyDescent="0.2">
      <c r="B31" s="7">
        <v>47</v>
      </c>
      <c r="C31" s="7">
        <v>1908</v>
      </c>
      <c r="D31" s="2" t="s">
        <v>546</v>
      </c>
      <c r="E31" s="582">
        <f>VLOOKUP(C31,'App.2-B1_Depr Rates'!$C$16:$E$51,3,$C$16:$C$51)</f>
        <v>0.1</v>
      </c>
      <c r="F31" s="580">
        <f>VLOOKUP(C31,'[1]FA Continuity 2006'!$B$10:$M$45,3,$C$16:$C$48)</f>
        <v>791546.86</v>
      </c>
      <c r="G31" s="580">
        <f>VLOOKUP(C31,'[1]FA Continuity 2006'!$B$10:$M$45,4,$C$16:$C$48)</f>
        <v>0</v>
      </c>
      <c r="H31" s="580">
        <f>VLOOKUP(C31,'[1]FA Continuity 2006'!$B$10:$M$45,5,$C$16:$C$48)</f>
        <v>0</v>
      </c>
      <c r="I31" s="27">
        <f t="shared" si="0"/>
        <v>791546.86</v>
      </c>
      <c r="J31" s="4"/>
      <c r="K31" s="580">
        <f>VLOOKUP(C31,'[1]FA Continuity 2006'!$B$10:$M$45,8,$C$16:$C$48)</f>
        <v>329872.15000000002</v>
      </c>
      <c r="L31" s="580">
        <f>VLOOKUP(C31,'[1]FA Continuity 2006'!$B$10:$M$45,9,$C$16:$C$48)</f>
        <v>17023.05</v>
      </c>
      <c r="M31" s="580">
        <f>VLOOKUP(C31,'[1]FA Continuity 2006'!$B$10:$M$45,10,$C$16:$C$48)</f>
        <v>0</v>
      </c>
      <c r="N31" s="27">
        <f t="shared" si="1"/>
        <v>346895.2</v>
      </c>
      <c r="O31" s="28">
        <f t="shared" si="2"/>
        <v>444651.66</v>
      </c>
    </row>
    <row r="32" spans="2:15" x14ac:dyDescent="0.2">
      <c r="B32" s="7">
        <v>13</v>
      </c>
      <c r="C32" s="7">
        <v>1910</v>
      </c>
      <c r="D32" s="2" t="s">
        <v>579</v>
      </c>
      <c r="E32" s="582"/>
      <c r="F32" s="580">
        <f>VLOOKUP(C32,'[1]FA Continuity 2006'!$B$10:$M$45,3,$C$16:$C$48)</f>
        <v>0</v>
      </c>
      <c r="G32" s="580">
        <f>VLOOKUP(C32,'[1]FA Continuity 2006'!$B$10:$M$45,4,$C$16:$C$48)</f>
        <v>0</v>
      </c>
      <c r="H32" s="580">
        <f>VLOOKUP(C32,'[1]FA Continuity 2006'!$B$10:$M$45,5,$C$16:$C$48)</f>
        <v>0</v>
      </c>
      <c r="I32" s="27">
        <f t="shared" si="0"/>
        <v>0</v>
      </c>
      <c r="J32" s="4"/>
      <c r="K32" s="580">
        <f>VLOOKUP(C32,'[1]FA Continuity 2006'!$B$10:$M$45,8,$C$16:$C$48)</f>
        <v>0</v>
      </c>
      <c r="L32" s="580">
        <f>VLOOKUP(C32,'[1]FA Continuity 2006'!$B$10:$M$45,9,$C$16:$C$48)</f>
        <v>0</v>
      </c>
      <c r="M32" s="580">
        <f>VLOOKUP(C32,'[1]FA Continuity 2006'!$B$10:$M$45,10,$C$16:$C$48)</f>
        <v>0</v>
      </c>
      <c r="N32" s="27">
        <f t="shared" si="1"/>
        <v>0</v>
      </c>
      <c r="O32" s="28">
        <f t="shared" si="2"/>
        <v>0</v>
      </c>
    </row>
    <row r="33" spans="2:15" x14ac:dyDescent="0.2">
      <c r="B33" s="7">
        <v>8</v>
      </c>
      <c r="C33" s="7">
        <v>1915</v>
      </c>
      <c r="D33" s="2" t="s">
        <v>750</v>
      </c>
      <c r="E33" s="582">
        <f>E31</f>
        <v>0.1</v>
      </c>
      <c r="F33" s="580">
        <f>VLOOKUP(C33,'[1]FA Continuity 2006'!$B$10:$M$45,3,$C$16:$C$48)</f>
        <v>199499.47</v>
      </c>
      <c r="G33" s="580">
        <f>VLOOKUP(C33,'[1]FA Continuity 2006'!$B$10:$M$45,4,$C$16:$C$48)</f>
        <v>9953.84</v>
      </c>
      <c r="H33" s="580">
        <f>VLOOKUP(C33,'[1]FA Continuity 2006'!$B$10:$M$45,5,$C$16:$C$48)</f>
        <v>0</v>
      </c>
      <c r="I33" s="27">
        <f t="shared" si="0"/>
        <v>209453.31</v>
      </c>
      <c r="J33" s="4"/>
      <c r="K33" s="580">
        <f>VLOOKUP(C33,'[1]FA Continuity 2006'!$B$10:$M$45,8,$C$16:$C$48)</f>
        <v>158147.59</v>
      </c>
      <c r="L33" s="580">
        <f>VLOOKUP(C33,'[1]FA Continuity 2006'!$B$10:$M$45,9,$C$16:$C$48)</f>
        <v>6395.54</v>
      </c>
      <c r="M33" s="580">
        <f>VLOOKUP(C33,'[1]FA Continuity 2006'!$B$10:$M$45,10,$C$16:$C$48)</f>
        <v>0</v>
      </c>
      <c r="N33" s="27">
        <f t="shared" si="1"/>
        <v>164543.13</v>
      </c>
      <c r="O33" s="28">
        <f t="shared" si="2"/>
        <v>44910.179999999993</v>
      </c>
    </row>
    <row r="34" spans="2:15" x14ac:dyDescent="0.2">
      <c r="B34" s="7">
        <v>45</v>
      </c>
      <c r="C34" s="457">
        <v>1920</v>
      </c>
      <c r="D34" s="583" t="s">
        <v>756</v>
      </c>
      <c r="E34" s="582">
        <f>VLOOKUP(C34,'App.2-B1_Depr Rates'!$C$16:$E$51,3,$C$16:$C$51)</f>
        <v>0.2</v>
      </c>
      <c r="F34" s="580">
        <f>VLOOKUP(C34,'[1]FA Continuity 2006'!$B$10:$M$45,3,$C$16:$C$48)</f>
        <v>277477.64</v>
      </c>
      <c r="G34" s="580">
        <f>VLOOKUP(C34,'[1]FA Continuity 2006'!$B$10:$M$45,4,$C$16:$C$48)</f>
        <v>3979.8</v>
      </c>
      <c r="H34" s="580">
        <f>VLOOKUP(C34,'[1]FA Continuity 2006'!$B$10:$M$45,5,$C$16:$C$48)</f>
        <v>0</v>
      </c>
      <c r="I34" s="27">
        <f t="shared" si="0"/>
        <v>281457.44</v>
      </c>
      <c r="J34" s="4"/>
      <c r="K34" s="580">
        <f>VLOOKUP(C34,'[1]FA Continuity 2006'!$B$10:$M$45,8,$C$16:$C$48)</f>
        <v>206399.86</v>
      </c>
      <c r="L34" s="580">
        <f>VLOOKUP(C34,'[1]FA Continuity 2006'!$B$10:$M$45,9,$C$16:$C$48)</f>
        <v>22231.09</v>
      </c>
      <c r="M34" s="580">
        <f>VLOOKUP(C34,'[1]FA Continuity 2006'!$B$10:$M$45,10,$C$16:$C$48)</f>
        <v>0</v>
      </c>
      <c r="N34" s="27">
        <f t="shared" si="1"/>
        <v>228630.94999999998</v>
      </c>
      <c r="O34" s="28">
        <f t="shared" si="2"/>
        <v>52826.49000000002</v>
      </c>
    </row>
    <row r="35" spans="2:15" x14ac:dyDescent="0.2">
      <c r="B35" s="7">
        <v>12</v>
      </c>
      <c r="C35" s="7">
        <v>1925</v>
      </c>
      <c r="D35" s="2" t="s">
        <v>563</v>
      </c>
      <c r="E35" s="582">
        <f>VLOOKUP(C35,'App.2-B1_Depr Rates'!$C$16:$E$51,3,$C$16:$C$51)</f>
        <v>0.2</v>
      </c>
      <c r="F35" s="580">
        <f>VLOOKUP(C35,'[1]FA Continuity 2006'!$B$10:$M$45,3,$C$16:$C$48)</f>
        <v>57699.83</v>
      </c>
      <c r="G35" s="580">
        <f>VLOOKUP(C35,'[1]FA Continuity 2006'!$B$10:$M$45,4,$C$16:$C$48)</f>
        <v>0</v>
      </c>
      <c r="H35" s="580">
        <f>VLOOKUP(C35,'[1]FA Continuity 2006'!$B$10:$M$45,5,$C$16:$C$48)</f>
        <v>0</v>
      </c>
      <c r="I35" s="27">
        <f t="shared" si="0"/>
        <v>57699.83</v>
      </c>
      <c r="J35" s="4"/>
      <c r="K35" s="580">
        <f>VLOOKUP(C35,'[1]FA Continuity 2006'!$B$10:$M$45,8,$C$16:$C$48)</f>
        <v>37739.449999999997</v>
      </c>
      <c r="L35" s="580">
        <f>VLOOKUP(C35,'[1]FA Continuity 2006'!$B$10:$M$45,9,$C$16:$C$48)</f>
        <v>8644.66</v>
      </c>
      <c r="M35" s="580">
        <f>VLOOKUP(C35,'[1]FA Continuity 2006'!$B$10:$M$45,10,$C$16:$C$48)</f>
        <v>0</v>
      </c>
      <c r="N35" s="27">
        <f t="shared" si="1"/>
        <v>46384.11</v>
      </c>
      <c r="O35" s="28">
        <f t="shared" si="2"/>
        <v>11315.720000000001</v>
      </c>
    </row>
    <row r="36" spans="2:15" x14ac:dyDescent="0.2">
      <c r="B36" s="7">
        <v>10</v>
      </c>
      <c r="C36" s="7">
        <v>1930</v>
      </c>
      <c r="D36" s="2" t="s">
        <v>564</v>
      </c>
      <c r="E36" s="582">
        <f>VLOOKUP(C36,'App.2-B1_Depr Rates'!$C$16:$E$51,3,$C$16:$C$51)</f>
        <v>0.125</v>
      </c>
      <c r="F36" s="580">
        <f>VLOOKUP(C36,'[1]FA Continuity 2006'!$B$10:$M$45,3,$C$16:$C$48)</f>
        <v>1393824.56</v>
      </c>
      <c r="G36" s="580">
        <f>VLOOKUP(C36,'[1]FA Continuity 2006'!$B$10:$M$45,4,$C$16:$C$48)</f>
        <v>16095.68</v>
      </c>
      <c r="H36" s="580">
        <f>VLOOKUP(C36,'[1]FA Continuity 2006'!$B$10:$M$45,5,$C$16:$C$48)</f>
        <v>0</v>
      </c>
      <c r="I36" s="27">
        <f t="shared" si="0"/>
        <v>1409920.24</v>
      </c>
      <c r="J36" s="4"/>
      <c r="K36" s="580">
        <f>VLOOKUP(C36,'[1]FA Continuity 2006'!$B$10:$M$45,8,$C$16:$C$48)</f>
        <v>1259934.1100000001</v>
      </c>
      <c r="L36" s="580">
        <f>VLOOKUP(C36,'[1]FA Continuity 2006'!$B$10:$M$45,9,$C$16:$C$48)</f>
        <v>40042.959999999999</v>
      </c>
      <c r="M36" s="580">
        <f>VLOOKUP(C36,'[1]FA Continuity 2006'!$B$10:$M$45,10,$C$16:$C$48)</f>
        <v>0</v>
      </c>
      <c r="N36" s="27">
        <f t="shared" si="1"/>
        <v>1299977.07</v>
      </c>
      <c r="O36" s="28">
        <f t="shared" si="2"/>
        <v>109943.16999999993</v>
      </c>
    </row>
    <row r="37" spans="2:15" x14ac:dyDescent="0.2">
      <c r="B37" s="7">
        <v>8</v>
      </c>
      <c r="C37" s="7">
        <v>1935</v>
      </c>
      <c r="D37" s="2" t="s">
        <v>565</v>
      </c>
      <c r="E37" s="582"/>
      <c r="F37" s="580">
        <f>VLOOKUP(C37,'[1]FA Continuity 2006'!$B$10:$M$45,3,$C$16:$C$48)</f>
        <v>0</v>
      </c>
      <c r="G37" s="580">
        <f>VLOOKUP(C37,'[1]FA Continuity 2006'!$B$10:$M$45,4,$C$16:$C$48)</f>
        <v>0</v>
      </c>
      <c r="H37" s="580">
        <f>VLOOKUP(C37,'[1]FA Continuity 2006'!$B$10:$M$45,5,$C$16:$C$48)</f>
        <v>0</v>
      </c>
      <c r="I37" s="27">
        <f t="shared" si="0"/>
        <v>0</v>
      </c>
      <c r="J37" s="4"/>
      <c r="K37" s="580">
        <f>VLOOKUP(C37,'[1]FA Continuity 2006'!$B$10:$M$45,8,$C$16:$C$48)</f>
        <v>0</v>
      </c>
      <c r="L37" s="580">
        <f>VLOOKUP(C37,'[1]FA Continuity 2006'!$B$10:$M$45,9,$C$16:$C$48)</f>
        <v>0</v>
      </c>
      <c r="M37" s="580">
        <f>VLOOKUP(C37,'[1]FA Continuity 2006'!$B$10:$M$45,10,$C$16:$C$48)</f>
        <v>0</v>
      </c>
      <c r="N37" s="27">
        <f t="shared" si="1"/>
        <v>0</v>
      </c>
      <c r="O37" s="28">
        <f t="shared" si="2"/>
        <v>0</v>
      </c>
    </row>
    <row r="38" spans="2:15" x14ac:dyDescent="0.2">
      <c r="B38" s="7">
        <v>8</v>
      </c>
      <c r="C38" s="7">
        <v>1940</v>
      </c>
      <c r="D38" s="2" t="s">
        <v>566</v>
      </c>
      <c r="E38" s="582">
        <f>VLOOKUP(C38,'App.2-B1_Depr Rates'!$C$16:$E$51,3,$C$16:$C$51)</f>
        <v>0.1</v>
      </c>
      <c r="F38" s="580">
        <f>VLOOKUP(C38,'[1]FA Continuity 2006'!$B$10:$M$45,3,$C$16:$C$48)</f>
        <v>304043.57</v>
      </c>
      <c r="G38" s="580">
        <f>VLOOKUP(C38,'[1]FA Continuity 2006'!$B$10:$M$45,4,$C$16:$C$48)</f>
        <v>8255.1299999999992</v>
      </c>
      <c r="H38" s="580">
        <f>VLOOKUP(C38,'[1]FA Continuity 2006'!$B$10:$M$45,5,$C$16:$C$48)</f>
        <v>0</v>
      </c>
      <c r="I38" s="27">
        <f t="shared" si="0"/>
        <v>312298.7</v>
      </c>
      <c r="J38" s="4"/>
      <c r="K38" s="580">
        <f>VLOOKUP(C38,'[1]FA Continuity 2006'!$B$10:$M$45,8,$C$16:$C$48)</f>
        <v>252992.34</v>
      </c>
      <c r="L38" s="580">
        <f>VLOOKUP(C38,'[1]FA Continuity 2006'!$B$10:$M$45,9,$C$16:$C$48)</f>
        <v>6417.55</v>
      </c>
      <c r="M38" s="580">
        <f>VLOOKUP(C38,'[1]FA Continuity 2006'!$B$10:$M$45,10,$C$16:$C$48)</f>
        <v>0</v>
      </c>
      <c r="N38" s="27">
        <f t="shared" si="1"/>
        <v>259409.88999999998</v>
      </c>
      <c r="O38" s="28">
        <f t="shared" si="2"/>
        <v>52888.810000000027</v>
      </c>
    </row>
    <row r="39" spans="2:15" x14ac:dyDescent="0.2">
      <c r="B39" s="7">
        <v>8</v>
      </c>
      <c r="C39" s="7">
        <v>1945</v>
      </c>
      <c r="D39" s="2" t="s">
        <v>567</v>
      </c>
      <c r="E39" s="582"/>
      <c r="F39" s="580">
        <f>VLOOKUP(C39,'[1]FA Continuity 2006'!$B$10:$M$45,3,$C$16:$C$48)</f>
        <v>0</v>
      </c>
      <c r="G39" s="580">
        <f>VLOOKUP(C39,'[1]FA Continuity 2006'!$B$10:$M$45,4,$C$16:$C$48)</f>
        <v>0</v>
      </c>
      <c r="H39" s="580">
        <f>VLOOKUP(C39,'[1]FA Continuity 2006'!$B$10:$M$45,5,$C$16:$C$48)</f>
        <v>0</v>
      </c>
      <c r="I39" s="27">
        <f t="shared" si="0"/>
        <v>0</v>
      </c>
      <c r="J39" s="4"/>
      <c r="K39" s="580">
        <f>VLOOKUP(C39,'[1]FA Continuity 2006'!$B$10:$M$45,8,$C$16:$C$48)</f>
        <v>0</v>
      </c>
      <c r="L39" s="580">
        <f>VLOOKUP(C39,'[1]FA Continuity 2006'!$B$10:$M$45,9,$C$16:$C$48)</f>
        <v>0</v>
      </c>
      <c r="M39" s="580">
        <f>VLOOKUP(C39,'[1]FA Continuity 2006'!$B$10:$M$45,10,$C$16:$C$48)</f>
        <v>0</v>
      </c>
      <c r="N39" s="27">
        <f t="shared" si="1"/>
        <v>0</v>
      </c>
      <c r="O39" s="28">
        <f t="shared" si="2"/>
        <v>0</v>
      </c>
    </row>
    <row r="40" spans="2:15" x14ac:dyDescent="0.2">
      <c r="B40" s="7">
        <v>8</v>
      </c>
      <c r="C40" s="7">
        <v>1950</v>
      </c>
      <c r="D40" s="2" t="s">
        <v>473</v>
      </c>
      <c r="E40" s="582"/>
      <c r="F40" s="580">
        <f>VLOOKUP(C40,'[1]FA Continuity 2006'!$B$10:$M$45,3,$C$16:$C$48)</f>
        <v>0</v>
      </c>
      <c r="G40" s="580">
        <f>VLOOKUP(C40,'[1]FA Continuity 2006'!$B$10:$M$45,4,$C$16:$C$48)</f>
        <v>0</v>
      </c>
      <c r="H40" s="580">
        <f>VLOOKUP(C40,'[1]FA Continuity 2006'!$B$10:$M$45,5,$C$16:$C$48)</f>
        <v>0</v>
      </c>
      <c r="I40" s="27">
        <f t="shared" si="0"/>
        <v>0</v>
      </c>
      <c r="J40" s="4"/>
      <c r="K40" s="580">
        <f>VLOOKUP(C40,'[1]FA Continuity 2006'!$B$10:$M$45,8,$C$16:$C$48)</f>
        <v>0</v>
      </c>
      <c r="L40" s="580">
        <f>VLOOKUP(C40,'[1]FA Continuity 2006'!$B$10:$M$45,9,$C$16:$C$48)</f>
        <v>0</v>
      </c>
      <c r="M40" s="580">
        <f>VLOOKUP(C40,'[1]FA Continuity 2006'!$B$10:$M$45,10,$C$16:$C$48)</f>
        <v>0</v>
      </c>
      <c r="N40" s="27">
        <f t="shared" si="1"/>
        <v>0</v>
      </c>
      <c r="O40" s="28">
        <f t="shared" si="2"/>
        <v>0</v>
      </c>
    </row>
    <row r="41" spans="2:15" x14ac:dyDescent="0.2">
      <c r="B41" s="7">
        <v>8</v>
      </c>
      <c r="C41" s="7">
        <v>1955</v>
      </c>
      <c r="D41" s="2" t="s">
        <v>568</v>
      </c>
      <c r="E41" s="582">
        <f>'App.2-B1_Depr Rates'!E45</f>
        <v>0.1</v>
      </c>
      <c r="F41" s="580">
        <f>VLOOKUP(C41,'[1]FA Continuity 2006'!$B$10:$M$45,3,$C$16:$C$48)</f>
        <v>22009</v>
      </c>
      <c r="G41" s="580">
        <f>VLOOKUP(C41,'[1]FA Continuity 2006'!$B$10:$M$45,4,$C$16:$C$48)</f>
        <v>2595</v>
      </c>
      <c r="H41" s="580">
        <f>VLOOKUP(C41,'[1]FA Continuity 2006'!$B$10:$M$45,5,$C$16:$C$48)</f>
        <v>0</v>
      </c>
      <c r="I41" s="27">
        <f t="shared" si="0"/>
        <v>24604</v>
      </c>
      <c r="J41" s="4"/>
      <c r="K41" s="580">
        <f>VLOOKUP(C41,'[1]FA Continuity 2006'!$B$10:$M$45,8,$C$16:$C$48)</f>
        <v>14410.88</v>
      </c>
      <c r="L41" s="580">
        <f>VLOOKUP(C41,'[1]FA Continuity 2006'!$B$10:$M$45,9,$C$16:$C$48)</f>
        <v>1517.09</v>
      </c>
      <c r="M41" s="580">
        <f>VLOOKUP(C41,'[1]FA Continuity 2006'!$B$10:$M$45,10,$C$16:$C$48)</f>
        <v>0</v>
      </c>
      <c r="N41" s="27">
        <f t="shared" si="1"/>
        <v>15927.97</v>
      </c>
      <c r="O41" s="28">
        <f t="shared" si="2"/>
        <v>8676.0300000000007</v>
      </c>
    </row>
    <row r="42" spans="2:15" x14ac:dyDescent="0.2">
      <c r="B42" s="457">
        <v>8</v>
      </c>
      <c r="C42" s="457">
        <v>1960</v>
      </c>
      <c r="D42" s="456" t="s">
        <v>475</v>
      </c>
      <c r="E42" s="582"/>
      <c r="F42" s="580">
        <f>VLOOKUP(C42,'[1]FA Continuity 2006'!$B$10:$M$45,3,$C$16:$C$48)</f>
        <v>0</v>
      </c>
      <c r="G42" s="580">
        <f>VLOOKUP(C42,'[1]FA Continuity 2006'!$B$10:$M$45,4,$C$16:$C$48)</f>
        <v>0</v>
      </c>
      <c r="H42" s="580">
        <f>VLOOKUP(C42,'[1]FA Continuity 2006'!$B$10:$M$45,5,$C$16:$C$48)</f>
        <v>0</v>
      </c>
      <c r="I42" s="27">
        <f t="shared" si="0"/>
        <v>0</v>
      </c>
      <c r="J42" s="4"/>
      <c r="K42" s="580">
        <f>VLOOKUP(C42,'[1]FA Continuity 2006'!$B$10:$M$45,8,$C$16:$C$48)</f>
        <v>0</v>
      </c>
      <c r="L42" s="580">
        <f>VLOOKUP(C42,'[1]FA Continuity 2006'!$B$10:$M$45,9,$C$16:$C$48)</f>
        <v>0</v>
      </c>
      <c r="M42" s="580">
        <f>VLOOKUP(C42,'[1]FA Continuity 2006'!$B$10:$M$45,10,$C$16:$C$48)</f>
        <v>0</v>
      </c>
      <c r="N42" s="27">
        <f t="shared" si="1"/>
        <v>0</v>
      </c>
      <c r="O42" s="28">
        <f t="shared" si="2"/>
        <v>0</v>
      </c>
    </row>
    <row r="43" spans="2:15" x14ac:dyDescent="0.2">
      <c r="B43" s="7">
        <v>47</v>
      </c>
      <c r="C43" s="7">
        <v>1975</v>
      </c>
      <c r="D43" s="2" t="s">
        <v>569</v>
      </c>
      <c r="E43" s="582"/>
      <c r="F43" s="580">
        <f>VLOOKUP(C43,'[1]FA Continuity 2006'!$B$10:$M$45,3,$C$16:$C$48)</f>
        <v>0</v>
      </c>
      <c r="G43" s="580">
        <f>VLOOKUP(C43,'[1]FA Continuity 2006'!$B$10:$M$45,4,$C$16:$C$48)</f>
        <v>0</v>
      </c>
      <c r="H43" s="580">
        <f>VLOOKUP(C43,'[1]FA Continuity 2006'!$B$10:$M$45,5,$C$16:$C$48)</f>
        <v>0</v>
      </c>
      <c r="I43" s="27">
        <f t="shared" si="0"/>
        <v>0</v>
      </c>
      <c r="J43" s="4"/>
      <c r="K43" s="580">
        <f>VLOOKUP(C43,'[1]FA Continuity 2006'!$B$10:$M$45,8,$C$16:$C$48)</f>
        <v>0</v>
      </c>
      <c r="L43" s="580">
        <f>VLOOKUP(C43,'[1]FA Continuity 2006'!$B$10:$M$45,9,$C$16:$C$48)</f>
        <v>0</v>
      </c>
      <c r="M43" s="580">
        <f>VLOOKUP(C43,'[1]FA Continuity 2006'!$B$10:$M$45,10,$C$16:$C$48)</f>
        <v>0</v>
      </c>
      <c r="N43" s="27">
        <f t="shared" si="1"/>
        <v>0</v>
      </c>
      <c r="O43" s="28">
        <f t="shared" si="2"/>
        <v>0</v>
      </c>
    </row>
    <row r="44" spans="2:15" x14ac:dyDescent="0.2">
      <c r="B44" s="7">
        <v>47</v>
      </c>
      <c r="C44" s="7">
        <v>1980</v>
      </c>
      <c r="D44" s="2" t="s">
        <v>570</v>
      </c>
      <c r="E44" s="582"/>
      <c r="F44" s="580">
        <f>VLOOKUP(C44,'[1]FA Continuity 2006'!$B$10:$M$45,3,$C$16:$C$48)</f>
        <v>0</v>
      </c>
      <c r="G44" s="580">
        <f>VLOOKUP(C44,'[1]FA Continuity 2006'!$B$10:$M$45,4,$C$16:$C$48)</f>
        <v>0</v>
      </c>
      <c r="H44" s="580">
        <f>VLOOKUP(C44,'[1]FA Continuity 2006'!$B$10:$M$45,5,$C$16:$C$48)</f>
        <v>0</v>
      </c>
      <c r="I44" s="27">
        <f t="shared" si="0"/>
        <v>0</v>
      </c>
      <c r="J44" s="4"/>
      <c r="K44" s="580">
        <f>VLOOKUP(C44,'[1]FA Continuity 2006'!$B$10:$M$45,8,$C$16:$C$48)</f>
        <v>0</v>
      </c>
      <c r="L44" s="580">
        <f>VLOOKUP(C44,'[1]FA Continuity 2006'!$B$10:$M$45,9,$C$16:$C$48)</f>
        <v>0</v>
      </c>
      <c r="M44" s="580">
        <f>VLOOKUP(C44,'[1]FA Continuity 2006'!$B$10:$M$45,10,$C$16:$C$48)</f>
        <v>0</v>
      </c>
      <c r="N44" s="27">
        <f t="shared" si="1"/>
        <v>0</v>
      </c>
      <c r="O44" s="28">
        <f t="shared" si="2"/>
        <v>0</v>
      </c>
    </row>
    <row r="45" spans="2:15" x14ac:dyDescent="0.2">
      <c r="B45" s="7">
        <v>47</v>
      </c>
      <c r="C45" s="7">
        <v>1985</v>
      </c>
      <c r="D45" s="2" t="s">
        <v>571</v>
      </c>
      <c r="E45" s="582">
        <f>VLOOKUP(C45,'App.2-B1_Depr Rates'!$C$16:$E$51,3,$C$16:$C$51)</f>
        <v>0.1</v>
      </c>
      <c r="F45" s="580">
        <f>VLOOKUP(C45,'[1]FA Continuity 2006'!$B$10:$M$45,3,$C$16:$C$48)</f>
        <v>0</v>
      </c>
      <c r="G45" s="580">
        <f>VLOOKUP(C45,'[1]FA Continuity 2006'!$B$10:$M$45,4,$C$16:$C$48)</f>
        <v>0</v>
      </c>
      <c r="H45" s="580">
        <f>VLOOKUP(C45,'[1]FA Continuity 2006'!$B$10:$M$45,5,$C$16:$C$48)</f>
        <v>0</v>
      </c>
      <c r="I45" s="27">
        <f t="shared" si="0"/>
        <v>0</v>
      </c>
      <c r="J45" s="4"/>
      <c r="K45" s="580">
        <f>VLOOKUP(C45,'[1]FA Continuity 2006'!$B$10:$M$45,8,$C$16:$C$48)</f>
        <v>0</v>
      </c>
      <c r="L45" s="580">
        <f>VLOOKUP(C45,'[1]FA Continuity 2006'!$B$10:$M$45,9,$C$16:$C$48)</f>
        <v>0</v>
      </c>
      <c r="M45" s="580">
        <f>VLOOKUP(C45,'[1]FA Continuity 2006'!$B$10:$M$45,10,$C$16:$C$48)</f>
        <v>0</v>
      </c>
      <c r="N45" s="27">
        <f t="shared" si="1"/>
        <v>0</v>
      </c>
      <c r="O45" s="28">
        <f t="shared" si="2"/>
        <v>0</v>
      </c>
    </row>
    <row r="46" spans="2:15" x14ac:dyDescent="0.2">
      <c r="B46" s="7">
        <v>47</v>
      </c>
      <c r="C46" s="7">
        <v>1995</v>
      </c>
      <c r="D46" s="2" t="s">
        <v>572</v>
      </c>
      <c r="E46" s="582">
        <f>VLOOKUP(C46,'App.2-B1_Depr Rates'!$C$16:$E$51,3,$C$16:$C$51)</f>
        <v>0.04</v>
      </c>
      <c r="F46" s="580">
        <f>VLOOKUP(C46,'[1]FA Continuity 2006'!$B$10:$M$45,3,$C$16:$C$48)</f>
        <v>-2473860.0699999998</v>
      </c>
      <c r="G46" s="580">
        <f>VLOOKUP(C46,'[1]FA Continuity 2006'!$B$10:$M$45,4,$C$16:$C$48)</f>
        <v>-391998.04</v>
      </c>
      <c r="H46" s="580">
        <f>VLOOKUP(C46,'[1]FA Continuity 2006'!$B$10:$M$45,5,$C$16:$C$48)</f>
        <v>0</v>
      </c>
      <c r="I46" s="27">
        <f t="shared" si="0"/>
        <v>-2865858.11</v>
      </c>
      <c r="J46" s="4"/>
      <c r="K46" s="580">
        <f>VLOOKUP(C46,'[1]FA Continuity 2006'!$B$10:$M$45,8,$C$16:$C$48)</f>
        <v>-249278.53</v>
      </c>
      <c r="L46" s="580">
        <f>VLOOKUP(C46,'[1]FA Continuity 2006'!$B$10:$M$45,9,$C$16:$C$48)</f>
        <v>-108320.15</v>
      </c>
      <c r="M46" s="580">
        <f>VLOOKUP(C46,'[1]FA Continuity 2006'!$B$10:$M$45,10,$C$16:$C$48)</f>
        <v>0</v>
      </c>
      <c r="N46" s="27">
        <f t="shared" si="1"/>
        <v>-357598.68</v>
      </c>
      <c r="O46" s="28">
        <f t="shared" si="2"/>
        <v>-2508259.4299999997</v>
      </c>
    </row>
    <row r="47" spans="2:15" x14ac:dyDescent="0.2">
      <c r="B47" s="7"/>
      <c r="C47" s="7" t="s">
        <v>636</v>
      </c>
      <c r="D47" s="2"/>
      <c r="E47" s="473"/>
      <c r="F47" s="580"/>
      <c r="G47" s="580"/>
      <c r="H47" s="580"/>
      <c r="I47" s="27">
        <f t="shared" si="0"/>
        <v>0</v>
      </c>
      <c r="K47" s="580"/>
      <c r="L47" s="580"/>
      <c r="M47" s="580"/>
      <c r="N47" s="27">
        <f t="shared" si="1"/>
        <v>0</v>
      </c>
      <c r="O47" s="28">
        <f t="shared" si="2"/>
        <v>0</v>
      </c>
    </row>
    <row r="48" spans="2:15" x14ac:dyDescent="0.2">
      <c r="B48" s="7"/>
      <c r="C48" s="7"/>
      <c r="D48" s="2"/>
      <c r="E48" s="473"/>
      <c r="F48" s="580"/>
      <c r="G48" s="580"/>
      <c r="H48" s="580"/>
      <c r="I48" s="2"/>
      <c r="K48" s="580"/>
      <c r="L48" s="580"/>
      <c r="M48" s="580"/>
      <c r="N48" s="2"/>
      <c r="O48" s="28">
        <f t="shared" si="2"/>
        <v>0</v>
      </c>
    </row>
    <row r="49" spans="2:15" x14ac:dyDescent="0.2">
      <c r="B49" s="7"/>
      <c r="C49" s="7"/>
      <c r="D49" s="26" t="s">
        <v>573</v>
      </c>
      <c r="E49" s="26"/>
      <c r="F49" s="32">
        <f>SUM(F16:F47)</f>
        <v>18928303.339999996</v>
      </c>
      <c r="G49" s="32">
        <f>SUM(G16:G47)</f>
        <v>302762.77000000008</v>
      </c>
      <c r="H49" s="32">
        <f>SUM(H16:H47)</f>
        <v>-180</v>
      </c>
      <c r="I49" s="32">
        <f>SUM(I16:I47)</f>
        <v>19230886.109999996</v>
      </c>
      <c r="J49" s="33"/>
      <c r="K49" s="34">
        <f>SUM(K16:K47)</f>
        <v>11037193.850000001</v>
      </c>
      <c r="L49" s="34">
        <f>SUM(L16:L47)</f>
        <v>642658.13000000012</v>
      </c>
      <c r="M49" s="34">
        <f>SUM(M16:M47)</f>
        <v>0</v>
      </c>
      <c r="N49" s="34">
        <f>SUM(N16:N47)</f>
        <v>11679851.98</v>
      </c>
      <c r="O49" s="34">
        <f>SUM(O16:O47)</f>
        <v>7551034.1300000027</v>
      </c>
    </row>
    <row r="51" spans="2:15" x14ac:dyDescent="0.2">
      <c r="E51" s="3"/>
      <c r="K51" s="5" t="s">
        <v>575</v>
      </c>
      <c r="L51" s="5"/>
    </row>
    <row r="52" spans="2:15" x14ac:dyDescent="0.2">
      <c r="B52" s="7">
        <v>10</v>
      </c>
      <c r="C52" s="7">
        <v>1935</v>
      </c>
      <c r="D52" s="2" t="s">
        <v>574</v>
      </c>
      <c r="E52" s="3"/>
      <c r="F52" s="581"/>
      <c r="K52" s="5" t="s">
        <v>574</v>
      </c>
      <c r="L52" s="5"/>
      <c r="M52" s="164">
        <f>'[1]FA Continuity 2006'!$J$52</f>
        <v>40042.959999999999</v>
      </c>
    </row>
    <row r="53" spans="2:15" x14ac:dyDescent="0.2">
      <c r="B53" s="7">
        <v>10</v>
      </c>
      <c r="C53" s="7">
        <v>1955</v>
      </c>
      <c r="D53" s="2" t="s">
        <v>749</v>
      </c>
      <c r="K53" s="5" t="s">
        <v>749</v>
      </c>
      <c r="L53" s="5"/>
      <c r="M53" s="165">
        <f>'[1]FA Continuity 2006'!$J$53</f>
        <v>7934.64</v>
      </c>
    </row>
    <row r="54" spans="2:15" x14ac:dyDescent="0.2">
      <c r="K54" s="6" t="s">
        <v>576</v>
      </c>
      <c r="M54" s="29">
        <f>L49-M52-M53</f>
        <v>594680.53000000014</v>
      </c>
    </row>
    <row r="56" spans="2:15" ht="14.25" x14ac:dyDescent="0.2">
      <c r="B56" s="661" t="s">
        <v>176</v>
      </c>
      <c r="C56" s="662"/>
      <c r="D56" s="662"/>
      <c r="E56" s="662"/>
      <c r="F56" s="662"/>
    </row>
    <row r="58" spans="2:15" x14ac:dyDescent="0.2">
      <c r="B58" s="412" t="s">
        <v>639</v>
      </c>
    </row>
    <row r="60" spans="2:15" x14ac:dyDescent="0.2">
      <c r="B60" s="1">
        <v>1</v>
      </c>
      <c r="C60" s="660" t="s">
        <v>434</v>
      </c>
      <c r="D60" s="660"/>
      <c r="E60" s="660"/>
      <c r="F60" s="660"/>
      <c r="G60" s="660"/>
      <c r="H60" s="660"/>
      <c r="I60" s="660"/>
      <c r="J60" s="660"/>
      <c r="K60" s="660"/>
      <c r="L60" s="660"/>
      <c r="M60" s="660"/>
      <c r="N60" s="660"/>
      <c r="O60" s="660"/>
    </row>
    <row r="61" spans="2:15" x14ac:dyDescent="0.2">
      <c r="C61" s="660"/>
      <c r="D61" s="660"/>
      <c r="E61" s="660"/>
      <c r="F61" s="660"/>
      <c r="G61" s="660"/>
      <c r="H61" s="660"/>
      <c r="I61" s="660"/>
      <c r="J61" s="660"/>
      <c r="K61" s="660"/>
      <c r="L61" s="660"/>
      <c r="M61" s="660"/>
      <c r="N61" s="660"/>
      <c r="O61" s="660"/>
    </row>
    <row r="63" spans="2:15" ht="12.75" customHeight="1" x14ac:dyDescent="0.2"/>
    <row r="64" spans="2:15" x14ac:dyDescent="0.2">
      <c r="B64" s="1">
        <v>2</v>
      </c>
      <c r="C64" s="667" t="s">
        <v>99</v>
      </c>
      <c r="D64" s="667"/>
      <c r="E64" s="667"/>
      <c r="F64" s="667"/>
      <c r="G64" s="667"/>
      <c r="H64" s="667"/>
      <c r="I64" s="667"/>
      <c r="J64" s="667"/>
      <c r="K64" s="667"/>
      <c r="L64" s="667"/>
      <c r="M64" s="667"/>
      <c r="N64" s="667"/>
      <c r="O64" s="667"/>
    </row>
    <row r="65" spans="2:15" x14ac:dyDescent="0.2">
      <c r="C65" s="667"/>
      <c r="D65" s="667"/>
      <c r="E65" s="667"/>
      <c r="F65" s="667"/>
      <c r="G65" s="667"/>
      <c r="H65" s="667"/>
      <c r="I65" s="667"/>
      <c r="J65" s="667"/>
      <c r="K65" s="667"/>
      <c r="L65" s="667"/>
      <c r="M65" s="667"/>
      <c r="N65" s="667"/>
      <c r="O65" s="667"/>
    </row>
    <row r="67" spans="2:15" x14ac:dyDescent="0.2">
      <c r="B67" s="1">
        <v>3</v>
      </c>
      <c r="C67" s="657" t="s">
        <v>435</v>
      </c>
      <c r="D67" s="657"/>
      <c r="E67" s="657"/>
      <c r="F67" s="657"/>
      <c r="G67" s="657"/>
      <c r="H67" s="657"/>
      <c r="I67" s="657"/>
      <c r="J67" s="657"/>
      <c r="K67" s="657"/>
      <c r="L67" s="657"/>
      <c r="M67" s="657"/>
      <c r="N67" s="657"/>
      <c r="O67" s="657"/>
    </row>
  </sheetData>
  <mergeCells count="8">
    <mergeCell ref="C60:O61"/>
    <mergeCell ref="C67:O67"/>
    <mergeCell ref="F9:I9"/>
    <mergeCell ref="F10:J10"/>
    <mergeCell ref="B56:F56"/>
    <mergeCell ref="G12:H12"/>
    <mergeCell ref="F14:I14"/>
    <mergeCell ref="C64:O65"/>
  </mergeCells>
  <phoneticPr fontId="3" type="noConversion"/>
  <dataValidations disablePrompts="1"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O67"/>
  <sheetViews>
    <sheetView showGridLines="0" topLeftCell="B27" zoomScaleNormal="100" workbookViewId="0">
      <selection activeCell="E21" sqref="E21"/>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2007</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Rates'!$C$16:$E$51,3,$C$16:$C$51)</f>
        <v>0</v>
      </c>
      <c r="F16" s="580">
        <f>VLOOKUP(C16,'[1]FA Continuity 2007'!$B$10:$M$45,3,$C$16:$C$48)</f>
        <v>2112</v>
      </c>
      <c r="G16" s="580">
        <f>VLOOKUP(C16,'[1]FA Continuity 2007'!$B$10:$M$45,4,$C$16:$C$48)</f>
        <v>0</v>
      </c>
      <c r="H16" s="580">
        <f>-VLOOKUP(C16,'[1]FA Continuity 2007'!$B$10:$M$45,5,$C$16:$C$48)</f>
        <v>0</v>
      </c>
      <c r="I16" s="27">
        <f>F16+G16+H16</f>
        <v>2112</v>
      </c>
      <c r="J16" s="4"/>
      <c r="K16" s="580">
        <f>VLOOKUP(C16,'[1]FA Continuity 2007'!$B$10:$M$45,8,$C$16:$C$48)</f>
        <v>0</v>
      </c>
      <c r="L16" s="580">
        <f>VLOOKUP(C16,'[1]FA Continuity 2007'!$B$10:$M$45,9,$C$16:$C$48)</f>
        <v>0</v>
      </c>
      <c r="M16" s="580">
        <f>-VLOOKUP(C16,'[1]FA Continuity 2007'!$B$10:$M$45,10,$C$16:$C$48)</f>
        <v>0</v>
      </c>
      <c r="N16" s="27">
        <f>K16+L16+M16</f>
        <v>0</v>
      </c>
      <c r="O16" s="28">
        <f>I16-N16</f>
        <v>2112</v>
      </c>
    </row>
    <row r="17" spans="2:15" x14ac:dyDescent="0.2">
      <c r="B17" s="7">
        <v>47</v>
      </c>
      <c r="C17" s="7">
        <v>1808</v>
      </c>
      <c r="D17" s="2" t="s">
        <v>537</v>
      </c>
      <c r="E17" s="582"/>
      <c r="F17" s="580">
        <f>VLOOKUP(C17,'[1]FA Continuity 2007'!$B$10:$M$45,3,$C$16:$C$48)</f>
        <v>0</v>
      </c>
      <c r="G17" s="580">
        <f>VLOOKUP(C17,'[1]FA Continuity 2007'!$B$10:$M$45,4,$C$16:$C$48)</f>
        <v>0</v>
      </c>
      <c r="H17" s="580">
        <f>-VLOOKUP(C17,'[1]FA Continuity 2007'!$B$10:$M$45,5,$C$16:$C$48)</f>
        <v>0</v>
      </c>
      <c r="I17" s="27">
        <f t="shared" ref="I17:I47" si="0">F17+G17+H17</f>
        <v>0</v>
      </c>
      <c r="J17" s="4"/>
      <c r="K17" s="580">
        <f>VLOOKUP(C17,'[1]FA Continuity 2007'!$B$10:$M$45,8,$C$16:$C$48)</f>
        <v>0</v>
      </c>
      <c r="L17" s="580">
        <f>VLOOKUP(C17,'[1]FA Continuity 2007'!$B$10:$M$45,9,$C$16:$C$48)</f>
        <v>0</v>
      </c>
      <c r="M17" s="580">
        <f>-VLOOKUP(C17,'[1]FA Continuity 2007'!$B$10:$M$45,10,$C$16:$C$48)</f>
        <v>0</v>
      </c>
      <c r="N17" s="27">
        <f t="shared" ref="N17:N47" si="1">K17+L17+M17</f>
        <v>0</v>
      </c>
      <c r="O17" s="28">
        <f t="shared" ref="O17:O48" si="2">I17-N17</f>
        <v>0</v>
      </c>
    </row>
    <row r="18" spans="2:15" x14ac:dyDescent="0.2">
      <c r="B18" s="7">
        <v>13</v>
      </c>
      <c r="C18" s="7">
        <v>1810</v>
      </c>
      <c r="D18" s="2" t="s">
        <v>579</v>
      </c>
      <c r="E18" s="582"/>
      <c r="F18" s="580">
        <f>VLOOKUP(C18,'[1]FA Continuity 2007'!$B$10:$M$45,3,$C$16:$C$48)</f>
        <v>0</v>
      </c>
      <c r="G18" s="580">
        <f>VLOOKUP(C18,'[1]FA Continuity 2007'!$B$10:$M$45,4,$C$16:$C$48)</f>
        <v>0</v>
      </c>
      <c r="H18" s="580">
        <f>-VLOOKUP(C18,'[1]FA Continuity 2007'!$B$10:$M$45,5,$C$16:$C$48)</f>
        <v>0</v>
      </c>
      <c r="I18" s="27">
        <f t="shared" si="0"/>
        <v>0</v>
      </c>
      <c r="J18" s="4"/>
      <c r="K18" s="580">
        <f>VLOOKUP(C18,'[1]FA Continuity 2007'!$B$10:$M$45,8,$C$16:$C$48)</f>
        <v>0</v>
      </c>
      <c r="L18" s="580">
        <f>VLOOKUP(C18,'[1]FA Continuity 2007'!$B$10:$M$45,9,$C$16:$C$48)</f>
        <v>0</v>
      </c>
      <c r="M18" s="580">
        <f>-VLOOKUP(C18,'[1]FA Continuity 2007'!$B$10:$M$45,10,$C$16:$C$48)</f>
        <v>0</v>
      </c>
      <c r="N18" s="27">
        <f t="shared" si="1"/>
        <v>0</v>
      </c>
      <c r="O18" s="28">
        <f t="shared" si="2"/>
        <v>0</v>
      </c>
    </row>
    <row r="19" spans="2:15" x14ac:dyDescent="0.2">
      <c r="B19" s="7">
        <v>47</v>
      </c>
      <c r="C19" s="7">
        <v>1815</v>
      </c>
      <c r="D19" s="2" t="s">
        <v>538</v>
      </c>
      <c r="E19" s="582"/>
      <c r="F19" s="580">
        <f>VLOOKUP(C19,'[1]FA Continuity 2007'!$B$10:$M$45,3,$C$16:$C$48)</f>
        <v>0</v>
      </c>
      <c r="G19" s="580">
        <f>VLOOKUP(C19,'[1]FA Continuity 2007'!$B$10:$M$45,4,$C$16:$C$48)</f>
        <v>0</v>
      </c>
      <c r="H19" s="580">
        <f>-VLOOKUP(C19,'[1]FA Continuity 2007'!$B$10:$M$45,5,$C$16:$C$48)</f>
        <v>0</v>
      </c>
      <c r="I19" s="27">
        <f t="shared" si="0"/>
        <v>0</v>
      </c>
      <c r="J19" s="4"/>
      <c r="K19" s="580">
        <f>VLOOKUP(C19,'[1]FA Continuity 2007'!$B$10:$M$45,8,$C$16:$C$48)</f>
        <v>0</v>
      </c>
      <c r="L19" s="580">
        <f>VLOOKUP(C19,'[1]FA Continuity 2007'!$B$10:$M$45,9,$C$16:$C$48)</f>
        <v>0</v>
      </c>
      <c r="M19" s="580">
        <f>-VLOOKUP(C19,'[1]FA Continuity 2007'!$B$10:$M$45,10,$C$16:$C$48)</f>
        <v>0</v>
      </c>
      <c r="N19" s="27">
        <f t="shared" si="1"/>
        <v>0</v>
      </c>
      <c r="O19" s="28">
        <f t="shared" si="2"/>
        <v>0</v>
      </c>
    </row>
    <row r="20" spans="2:15" x14ac:dyDescent="0.2">
      <c r="B20" s="7">
        <v>47</v>
      </c>
      <c r="C20" s="7">
        <v>1820</v>
      </c>
      <c r="D20" s="456" t="s">
        <v>462</v>
      </c>
      <c r="E20" s="582">
        <f>VLOOKUP(C20,'App.2-B1_Depr Rates'!$C$16:$E$51,3,$C$16:$C$51)</f>
        <v>0.04</v>
      </c>
      <c r="F20" s="580">
        <f>VLOOKUP(C20,'[1]FA Continuity 2007'!$B$10:$M$45,3,$C$16:$C$48)</f>
        <v>142098.48000000001</v>
      </c>
      <c r="G20" s="580">
        <f>VLOOKUP(C20,'[1]FA Continuity 2007'!$B$10:$M$45,4,$C$16:$C$48)</f>
        <v>0</v>
      </c>
      <c r="H20" s="580">
        <f>-VLOOKUP(C20,'[1]FA Continuity 2007'!$B$10:$M$45,5,$C$16:$C$48)</f>
        <v>0</v>
      </c>
      <c r="I20" s="27">
        <f t="shared" si="0"/>
        <v>142098.48000000001</v>
      </c>
      <c r="J20" s="4"/>
      <c r="K20" s="580">
        <f>VLOOKUP(C20,'[1]FA Continuity 2007'!$B$10:$M$45,8,$C$16:$C$48)</f>
        <v>142160.45000000001</v>
      </c>
      <c r="L20" s="580">
        <f>VLOOKUP(C20,'[1]FA Continuity 2007'!$B$10:$M$45,9,$C$16:$C$48)</f>
        <v>61.97</v>
      </c>
      <c r="M20" s="580">
        <f>-VLOOKUP(C20,'[1]FA Continuity 2007'!$B$10:$M$45,10,$C$16:$C$48)</f>
        <v>0</v>
      </c>
      <c r="N20" s="27">
        <f t="shared" si="1"/>
        <v>142222.42000000001</v>
      </c>
      <c r="O20" s="28">
        <f t="shared" si="2"/>
        <v>-123.94000000000233</v>
      </c>
    </row>
    <row r="21" spans="2:15" x14ac:dyDescent="0.2">
      <c r="B21" s="7">
        <v>47</v>
      </c>
      <c r="C21" s="7">
        <v>1825</v>
      </c>
      <c r="D21" s="2" t="s">
        <v>539</v>
      </c>
      <c r="E21" s="582"/>
      <c r="F21" s="580">
        <f>VLOOKUP(C21,'[1]FA Continuity 2007'!$B$10:$M$45,3,$C$16:$C$48)</f>
        <v>0</v>
      </c>
      <c r="G21" s="580">
        <f>VLOOKUP(C21,'[1]FA Continuity 2007'!$B$10:$M$45,4,$C$16:$C$48)</f>
        <v>0</v>
      </c>
      <c r="H21" s="580">
        <f>-VLOOKUP(C21,'[1]FA Continuity 2007'!$B$10:$M$45,5,$C$16:$C$48)</f>
        <v>0</v>
      </c>
      <c r="I21" s="27">
        <f t="shared" si="0"/>
        <v>0</v>
      </c>
      <c r="J21" s="4"/>
      <c r="K21" s="580">
        <f>VLOOKUP(C21,'[1]FA Continuity 2007'!$B$10:$M$45,8,$C$16:$C$48)</f>
        <v>0</v>
      </c>
      <c r="L21" s="580">
        <f>VLOOKUP(C21,'[1]FA Continuity 2007'!$B$10:$M$45,9,$C$16:$C$48)</f>
        <v>0</v>
      </c>
      <c r="M21" s="580">
        <f>-VLOOKUP(C21,'[1]FA Continuity 2007'!$B$10:$M$45,10,$C$16:$C$48)</f>
        <v>0</v>
      </c>
      <c r="N21" s="27">
        <f t="shared" si="1"/>
        <v>0</v>
      </c>
      <c r="O21" s="28">
        <f t="shared" si="2"/>
        <v>0</v>
      </c>
    </row>
    <row r="22" spans="2:15" x14ac:dyDescent="0.2">
      <c r="B22" s="7">
        <v>47</v>
      </c>
      <c r="C22" s="7">
        <v>1830</v>
      </c>
      <c r="D22" s="2" t="s">
        <v>540</v>
      </c>
      <c r="E22" s="582">
        <f>VLOOKUP(C22,'App.2-B1_Depr Rates'!$C$16:$E$51,3,$C$16:$C$51)</f>
        <v>0.04</v>
      </c>
      <c r="F22" s="580">
        <f>VLOOKUP(C22,'[1]FA Continuity 2007'!$B$10:$M$45,3,$C$16:$C$48)</f>
        <v>472155.43</v>
      </c>
      <c r="G22" s="580">
        <f>VLOOKUP(C22,'[1]FA Continuity 2007'!$B$10:$M$45,4,$C$16:$C$48)</f>
        <v>97064.23</v>
      </c>
      <c r="H22" s="580">
        <f>-VLOOKUP(C22,'[1]FA Continuity 2007'!$B$10:$M$45,5,$C$16:$C$48)</f>
        <v>0</v>
      </c>
      <c r="I22" s="27">
        <f t="shared" si="0"/>
        <v>569219.66</v>
      </c>
      <c r="J22" s="4"/>
      <c r="K22" s="580">
        <f>VLOOKUP(C22,'[1]FA Continuity 2007'!$B$10:$M$45,8,$C$16:$C$48)</f>
        <v>58012.2</v>
      </c>
      <c r="L22" s="580">
        <f>VLOOKUP(C22,'[1]FA Continuity 2007'!$B$10:$M$45,9,$C$16:$C$48)</f>
        <v>20827.48</v>
      </c>
      <c r="M22" s="580">
        <f>-VLOOKUP(C22,'[1]FA Continuity 2007'!$B$10:$M$45,10,$C$16:$C$48)</f>
        <v>0</v>
      </c>
      <c r="N22" s="27">
        <f t="shared" si="1"/>
        <v>78839.679999999993</v>
      </c>
      <c r="O22" s="28">
        <f t="shared" si="2"/>
        <v>490379.98000000004</v>
      </c>
    </row>
    <row r="23" spans="2:15" x14ac:dyDescent="0.2">
      <c r="B23" s="7">
        <v>47</v>
      </c>
      <c r="C23" s="7">
        <v>1835</v>
      </c>
      <c r="D23" s="2" t="s">
        <v>463</v>
      </c>
      <c r="E23" s="582">
        <f>VLOOKUP(C23,'App.2-B1_Depr Rates'!$C$16:$E$51,3,$C$16:$C$51)</f>
        <v>0.04</v>
      </c>
      <c r="F23" s="580">
        <f>VLOOKUP(C23,'[1]FA Continuity 2007'!$B$10:$M$45,3,$C$16:$C$48)</f>
        <v>5511218.8500000006</v>
      </c>
      <c r="G23" s="580">
        <f>VLOOKUP(C23,'[1]FA Continuity 2007'!$B$10:$M$45,4,$C$16:$C$48)</f>
        <v>109425.01</v>
      </c>
      <c r="H23" s="580">
        <f>-VLOOKUP(C23,'[1]FA Continuity 2007'!$B$10:$M$45,5,$C$16:$C$48)</f>
        <v>0</v>
      </c>
      <c r="I23" s="27">
        <f t="shared" si="0"/>
        <v>5620643.8600000003</v>
      </c>
      <c r="J23" s="4"/>
      <c r="K23" s="580">
        <f>VLOOKUP(C23,'[1]FA Continuity 2007'!$B$10:$M$45,8,$C$16:$C$48)</f>
        <v>3157822.35</v>
      </c>
      <c r="L23" s="580">
        <f>VLOOKUP(C23,'[1]FA Continuity 2007'!$B$10:$M$45,9,$C$16:$C$48)</f>
        <v>217489.46</v>
      </c>
      <c r="M23" s="580">
        <f>-VLOOKUP(C23,'[1]FA Continuity 2007'!$B$10:$M$45,10,$C$16:$C$48)</f>
        <v>0</v>
      </c>
      <c r="N23" s="27">
        <f t="shared" si="1"/>
        <v>3375311.81</v>
      </c>
      <c r="O23" s="28">
        <f t="shared" si="2"/>
        <v>2245332.0500000003</v>
      </c>
    </row>
    <row r="24" spans="2:15" x14ac:dyDescent="0.2">
      <c r="B24" s="7">
        <v>47</v>
      </c>
      <c r="C24" s="7">
        <v>1840</v>
      </c>
      <c r="D24" s="2" t="s">
        <v>464</v>
      </c>
      <c r="E24" s="582">
        <f>VLOOKUP(C24,'App.2-B1_Depr Rates'!$C$16:$E$51,3,$C$16:$C$51)</f>
        <v>0.04</v>
      </c>
      <c r="F24" s="580">
        <f>VLOOKUP(C24,'[1]FA Continuity 2007'!$B$10:$M$45,3,$C$16:$C$48)</f>
        <v>619996.82999999996</v>
      </c>
      <c r="G24" s="580">
        <f>VLOOKUP(C24,'[1]FA Continuity 2007'!$B$10:$M$45,4,$C$16:$C$48)</f>
        <v>76103.87</v>
      </c>
      <c r="H24" s="580">
        <f>-VLOOKUP(C24,'[1]FA Continuity 2007'!$B$10:$M$45,5,$C$16:$C$48)</f>
        <v>0</v>
      </c>
      <c r="I24" s="27">
        <f t="shared" si="0"/>
        <v>696100.7</v>
      </c>
      <c r="J24" s="4"/>
      <c r="K24" s="580">
        <f>VLOOKUP(C24,'[1]FA Continuity 2007'!$B$10:$M$45,8,$C$16:$C$48)</f>
        <v>53522.55</v>
      </c>
      <c r="L24" s="580">
        <f>VLOOKUP(C24,'[1]FA Continuity 2007'!$B$10:$M$45,9,$C$16:$C$48)</f>
        <v>26321.95</v>
      </c>
      <c r="M24" s="580">
        <f>-VLOOKUP(C24,'[1]FA Continuity 2007'!$B$10:$M$45,10,$C$16:$C$48)</f>
        <v>0</v>
      </c>
      <c r="N24" s="27">
        <f t="shared" si="1"/>
        <v>79844.5</v>
      </c>
      <c r="O24" s="28">
        <f t="shared" si="2"/>
        <v>616256.19999999995</v>
      </c>
    </row>
    <row r="25" spans="2:15" x14ac:dyDescent="0.2">
      <c r="B25" s="7">
        <v>47</v>
      </c>
      <c r="C25" s="7">
        <v>1845</v>
      </c>
      <c r="D25" s="2" t="s">
        <v>465</v>
      </c>
      <c r="E25" s="582">
        <f>VLOOKUP(C25,'App.2-B1_Depr Rates'!$C$16:$E$51,3,$C$16:$C$51)</f>
        <v>0.04</v>
      </c>
      <c r="F25" s="580">
        <f>VLOOKUP(C25,'[1]FA Continuity 2007'!$B$10:$M$45,3,$C$16:$C$48)</f>
        <v>6364381.6299999999</v>
      </c>
      <c r="G25" s="580">
        <f>VLOOKUP(C25,'[1]FA Continuity 2007'!$B$10:$M$45,4,$C$16:$C$48)</f>
        <v>228186.7</v>
      </c>
      <c r="H25" s="580">
        <f>-VLOOKUP(C25,'[1]FA Continuity 2007'!$B$10:$M$45,5,$C$16:$C$48)</f>
        <v>0</v>
      </c>
      <c r="I25" s="27">
        <f t="shared" si="0"/>
        <v>6592568.3300000001</v>
      </c>
      <c r="J25" s="4"/>
      <c r="K25" s="580">
        <f>VLOOKUP(C25,'[1]FA Continuity 2007'!$B$10:$M$45,8,$C$16:$C$48)</f>
        <v>3261472.37</v>
      </c>
      <c r="L25" s="580">
        <f>VLOOKUP(C25,'[1]FA Continuity 2007'!$B$10:$M$45,9,$C$16:$C$48)</f>
        <v>241943.79</v>
      </c>
      <c r="M25" s="580">
        <f>-VLOOKUP(C25,'[1]FA Continuity 2007'!$B$10:$M$45,10,$C$16:$C$48)</f>
        <v>0</v>
      </c>
      <c r="N25" s="27">
        <f t="shared" si="1"/>
        <v>3503416.16</v>
      </c>
      <c r="O25" s="28">
        <f t="shared" si="2"/>
        <v>3089152.17</v>
      </c>
    </row>
    <row r="26" spans="2:15" x14ac:dyDescent="0.2">
      <c r="B26" s="7">
        <v>47</v>
      </c>
      <c r="C26" s="7">
        <v>1850</v>
      </c>
      <c r="D26" s="2" t="s">
        <v>541</v>
      </c>
      <c r="E26" s="582">
        <f>VLOOKUP(C26,'App.2-B1_Depr Rates'!$C$16:$E$51,3,$C$16:$C$51)</f>
        <v>0.04</v>
      </c>
      <c r="F26" s="580">
        <f>VLOOKUP(C26,'[1]FA Continuity 2007'!$B$10:$M$45,3,$C$16:$C$48)</f>
        <v>4467778.58</v>
      </c>
      <c r="G26" s="580">
        <f>VLOOKUP(C26,'[1]FA Continuity 2007'!$B$10:$M$45,4,$C$16:$C$48)</f>
        <v>487210.68</v>
      </c>
      <c r="H26" s="580">
        <f>-VLOOKUP(C26,'[1]FA Continuity 2007'!$B$10:$M$45,5,$C$16:$C$48)</f>
        <v>0</v>
      </c>
      <c r="I26" s="27">
        <f t="shared" si="0"/>
        <v>4954989.26</v>
      </c>
      <c r="J26" s="4"/>
      <c r="K26" s="580">
        <f>VLOOKUP(C26,'[1]FA Continuity 2007'!$B$10:$M$45,8,$C$16:$C$48)</f>
        <v>2440049.61</v>
      </c>
      <c r="L26" s="580">
        <f>VLOOKUP(C26,'[1]FA Continuity 2007'!$B$10:$M$45,9,$C$16:$C$48)</f>
        <v>159713.51999999999</v>
      </c>
      <c r="M26" s="580">
        <f>-VLOOKUP(C26,'[1]FA Continuity 2007'!$B$10:$M$45,10,$C$16:$C$48)</f>
        <v>0</v>
      </c>
      <c r="N26" s="27">
        <f t="shared" si="1"/>
        <v>2599763.13</v>
      </c>
      <c r="O26" s="28">
        <f t="shared" si="2"/>
        <v>2355226.13</v>
      </c>
    </row>
    <row r="27" spans="2:15" x14ac:dyDescent="0.2">
      <c r="B27" s="7">
        <v>47</v>
      </c>
      <c r="C27" s="7">
        <v>1855</v>
      </c>
      <c r="D27" s="2" t="s">
        <v>466</v>
      </c>
      <c r="E27" s="582">
        <f>VLOOKUP(C27,'App.2-B1_Depr Rates'!$C$16:$E$51,3,$C$16:$C$51)</f>
        <v>0.04</v>
      </c>
      <c r="F27" s="580">
        <f>VLOOKUP(C27,'[1]FA Continuity 2007'!$B$10:$M$45,3,$C$16:$C$48)</f>
        <v>323828.78999999998</v>
      </c>
      <c r="G27" s="580">
        <f>VLOOKUP(C27,'[1]FA Continuity 2007'!$B$10:$M$45,4,$C$16:$C$48)</f>
        <v>88112.5</v>
      </c>
      <c r="H27" s="580">
        <f>-VLOOKUP(C27,'[1]FA Continuity 2007'!$B$10:$M$45,5,$C$16:$C$48)</f>
        <v>0</v>
      </c>
      <c r="I27" s="27">
        <f t="shared" si="0"/>
        <v>411941.29</v>
      </c>
      <c r="J27" s="4"/>
      <c r="K27" s="580">
        <f>VLOOKUP(C27,'[1]FA Continuity 2007'!$B$10:$M$45,8,$C$16:$C$48)</f>
        <v>32762.21</v>
      </c>
      <c r="L27" s="580">
        <f>VLOOKUP(C27,'[1]FA Continuity 2007'!$B$10:$M$45,9,$C$16:$C$48)</f>
        <v>14715.4</v>
      </c>
      <c r="M27" s="580">
        <f>-VLOOKUP(C27,'[1]FA Continuity 2007'!$B$10:$M$45,10,$C$16:$C$48)</f>
        <v>0</v>
      </c>
      <c r="N27" s="27">
        <f t="shared" si="1"/>
        <v>47477.61</v>
      </c>
      <c r="O27" s="28">
        <f t="shared" si="2"/>
        <v>364463.68</v>
      </c>
    </row>
    <row r="28" spans="2:15" x14ac:dyDescent="0.2">
      <c r="B28" s="7">
        <v>47</v>
      </c>
      <c r="C28" s="7">
        <v>1860</v>
      </c>
      <c r="D28" s="2" t="s">
        <v>542</v>
      </c>
      <c r="E28" s="582">
        <f>'App.2-B1_Depr Rates'!E28</f>
        <v>0.04</v>
      </c>
      <c r="F28" s="580">
        <f>VLOOKUP(C28,'[1]FA Continuity 2007'!$B$10:$M$45,3,$C$16:$C$48)</f>
        <v>931883.5</v>
      </c>
      <c r="G28" s="580">
        <f>VLOOKUP(C28,'[1]FA Continuity 2007'!$B$10:$M$45,4,$C$16:$C$48)</f>
        <v>276450.34999999998</v>
      </c>
      <c r="H28" s="580">
        <f>-VLOOKUP(C28,'[1]FA Continuity 2007'!$B$10:$M$45,5,$C$16:$C$48)</f>
        <v>0</v>
      </c>
      <c r="I28" s="27">
        <f t="shared" si="0"/>
        <v>1208333.8500000001</v>
      </c>
      <c r="J28" s="4"/>
      <c r="K28" s="580">
        <f>VLOOKUP(C28,'[1]FA Continuity 2007'!$B$10:$M$45,8,$C$16:$C$48)</f>
        <v>527155.87</v>
      </c>
      <c r="L28" s="580">
        <f>VLOOKUP(C28,'[1]FA Continuity 2007'!$B$10:$M$45,9,$C$16:$C$48)</f>
        <v>33994.1</v>
      </c>
      <c r="M28" s="580">
        <f>-VLOOKUP(C28,'[1]FA Continuity 2007'!$B$10:$M$45,10,$C$16:$C$48)</f>
        <v>0</v>
      </c>
      <c r="N28" s="27">
        <f t="shared" si="1"/>
        <v>561149.97</v>
      </c>
      <c r="O28" s="28">
        <f t="shared" si="2"/>
        <v>647183.88000000012</v>
      </c>
    </row>
    <row r="29" spans="2:15" x14ac:dyDescent="0.2">
      <c r="B29" s="7" t="s">
        <v>535</v>
      </c>
      <c r="C29" s="7">
        <v>1905</v>
      </c>
      <c r="D29" s="2" t="s">
        <v>536</v>
      </c>
      <c r="E29" s="582">
        <f>VLOOKUP(C29,'App.2-B1_Depr Rates'!$C$16:$E$51,3,$C$16:$C$51)</f>
        <v>0</v>
      </c>
      <c r="F29" s="580">
        <f>VLOOKUP(C29,'[1]FA Continuity 2007'!$B$10:$M$45,3,$C$16:$C$48)</f>
        <v>171765.02</v>
      </c>
      <c r="G29" s="580">
        <f>VLOOKUP(C29,'[1]FA Continuity 2007'!$B$10:$M$45,4,$C$16:$C$48)</f>
        <v>0</v>
      </c>
      <c r="H29" s="580">
        <f>-VLOOKUP(C29,'[1]FA Continuity 2007'!$B$10:$M$45,5,$C$16:$C$48)</f>
        <v>0</v>
      </c>
      <c r="I29" s="27">
        <f t="shared" si="0"/>
        <v>171765.02</v>
      </c>
      <c r="J29" s="4"/>
      <c r="K29" s="580">
        <f>VLOOKUP(C29,'[1]FA Continuity 2007'!$B$10:$M$45,8,$C$16:$C$48)</f>
        <v>0</v>
      </c>
      <c r="L29" s="580">
        <f>VLOOKUP(C29,'[1]FA Continuity 2007'!$B$10:$M$45,9,$C$16:$C$48)</f>
        <v>0</v>
      </c>
      <c r="M29" s="580">
        <f>-VLOOKUP(C29,'[1]FA Continuity 2007'!$B$10:$M$45,10,$C$16:$C$48)</f>
        <v>0</v>
      </c>
      <c r="N29" s="27">
        <f t="shared" si="1"/>
        <v>0</v>
      </c>
      <c r="O29" s="28">
        <f t="shared" si="2"/>
        <v>171765.02</v>
      </c>
    </row>
    <row r="30" spans="2:15" x14ac:dyDescent="0.2">
      <c r="B30" s="7" t="s">
        <v>544</v>
      </c>
      <c r="C30" s="7">
        <v>1906</v>
      </c>
      <c r="D30" s="2" t="s">
        <v>545</v>
      </c>
      <c r="E30" s="582">
        <f>VLOOKUP(C30,'App.2-B1_Depr Rates'!$C$16:$E$51,3,$C$16:$C$51)</f>
        <v>0.02</v>
      </c>
      <c r="F30" s="580">
        <f>VLOOKUP(C30,'[1]FA Continuity 2007'!$B$10:$M$45,3,$C$16:$C$48)</f>
        <v>2544.73</v>
      </c>
      <c r="G30" s="580">
        <f>VLOOKUP(C30,'[1]FA Continuity 2007'!$B$10:$M$45,4,$C$16:$C$48)</f>
        <v>0</v>
      </c>
      <c r="H30" s="580">
        <f>-VLOOKUP(C30,'[1]FA Continuity 2007'!$B$10:$M$45,5,$C$16:$C$48)</f>
        <v>0</v>
      </c>
      <c r="I30" s="27">
        <f t="shared" si="0"/>
        <v>2544.73</v>
      </c>
      <c r="J30" s="4"/>
      <c r="K30" s="580">
        <f>VLOOKUP(C30,'[1]FA Continuity 2007'!$B$10:$M$45,8,$C$16:$C$48)</f>
        <v>2724.73</v>
      </c>
      <c r="L30" s="580">
        <f>VLOOKUP(C30,'[1]FA Continuity 2007'!$B$10:$M$45,9,$C$16:$C$48)</f>
        <v>0</v>
      </c>
      <c r="M30" s="580">
        <f>-VLOOKUP(C30,'[1]FA Continuity 2007'!$B$10:$M$45,10,$C$16:$C$48)</f>
        <v>0</v>
      </c>
      <c r="N30" s="27">
        <f t="shared" si="1"/>
        <v>2724.73</v>
      </c>
      <c r="O30" s="28">
        <f t="shared" si="2"/>
        <v>-180</v>
      </c>
    </row>
    <row r="31" spans="2:15" x14ac:dyDescent="0.2">
      <c r="B31" s="7">
        <v>47</v>
      </c>
      <c r="C31" s="7">
        <v>1908</v>
      </c>
      <c r="D31" s="2" t="s">
        <v>546</v>
      </c>
      <c r="E31" s="582">
        <f>VLOOKUP(C31,'App.2-B1_Depr Rates'!$C$16:$E$51,3,$C$16:$C$51)</f>
        <v>0.1</v>
      </c>
      <c r="F31" s="580">
        <f>VLOOKUP(C31,'[1]FA Continuity 2007'!$B$10:$M$45,3,$C$16:$C$48)</f>
        <v>791546.86</v>
      </c>
      <c r="G31" s="580">
        <f>VLOOKUP(C31,'[1]FA Continuity 2007'!$B$10:$M$45,4,$C$16:$C$48)</f>
        <v>57481.25</v>
      </c>
      <c r="H31" s="580">
        <f>-VLOOKUP(C31,'[1]FA Continuity 2007'!$B$10:$M$45,5,$C$16:$C$48)</f>
        <v>0</v>
      </c>
      <c r="I31" s="27">
        <f t="shared" si="0"/>
        <v>849028.11</v>
      </c>
      <c r="J31" s="4"/>
      <c r="K31" s="580">
        <f>VLOOKUP(C31,'[1]FA Continuity 2007'!$B$10:$M$45,8,$C$16:$C$48)</f>
        <v>346895.2</v>
      </c>
      <c r="L31" s="580">
        <f>VLOOKUP(C31,'[1]FA Continuity 2007'!$B$10:$M$45,9,$C$16:$C$48)</f>
        <v>17597.86</v>
      </c>
      <c r="M31" s="580">
        <f>-VLOOKUP(C31,'[1]FA Continuity 2007'!$B$10:$M$45,10,$C$16:$C$48)</f>
        <v>0</v>
      </c>
      <c r="N31" s="27">
        <f t="shared" si="1"/>
        <v>364493.06</v>
      </c>
      <c r="O31" s="28">
        <f t="shared" si="2"/>
        <v>484535.05</v>
      </c>
    </row>
    <row r="32" spans="2:15" x14ac:dyDescent="0.2">
      <c r="B32" s="7">
        <v>13</v>
      </c>
      <c r="C32" s="7">
        <v>1910</v>
      </c>
      <c r="D32" s="2" t="s">
        <v>579</v>
      </c>
      <c r="E32" s="582"/>
      <c r="F32" s="580">
        <f>VLOOKUP(C32,'[1]FA Continuity 2007'!$B$10:$M$45,3,$C$16:$C$48)</f>
        <v>0</v>
      </c>
      <c r="G32" s="580">
        <f>VLOOKUP(C32,'[1]FA Continuity 2007'!$B$10:$M$45,4,$C$16:$C$48)</f>
        <v>0</v>
      </c>
      <c r="H32" s="580">
        <f>-VLOOKUP(C32,'[1]FA Continuity 2007'!$B$10:$M$45,5,$C$16:$C$48)</f>
        <v>0</v>
      </c>
      <c r="I32" s="27">
        <f t="shared" si="0"/>
        <v>0</v>
      </c>
      <c r="J32" s="4"/>
      <c r="K32" s="580">
        <f>VLOOKUP(C32,'[1]FA Continuity 2007'!$B$10:$M$45,8,$C$16:$C$48)</f>
        <v>0</v>
      </c>
      <c r="L32" s="580">
        <f>VLOOKUP(C32,'[1]FA Continuity 2007'!$B$10:$M$45,9,$C$16:$C$48)</f>
        <v>0</v>
      </c>
      <c r="M32" s="580">
        <f>-VLOOKUP(C32,'[1]FA Continuity 2007'!$B$10:$M$45,10,$C$16:$C$48)</f>
        <v>0</v>
      </c>
      <c r="N32" s="27">
        <f t="shared" si="1"/>
        <v>0</v>
      </c>
      <c r="O32" s="28">
        <f t="shared" si="2"/>
        <v>0</v>
      </c>
    </row>
    <row r="33" spans="2:15" x14ac:dyDescent="0.2">
      <c r="B33" s="7">
        <v>8</v>
      </c>
      <c r="C33" s="7">
        <v>1915</v>
      </c>
      <c r="D33" s="2" t="s">
        <v>750</v>
      </c>
      <c r="E33" s="582">
        <f>E31</f>
        <v>0.1</v>
      </c>
      <c r="F33" s="580">
        <f>VLOOKUP(C33,'[1]FA Continuity 2007'!$B$10:$M$45,3,$C$16:$C$48)</f>
        <v>209453.31</v>
      </c>
      <c r="G33" s="580">
        <f>VLOOKUP(C33,'[1]FA Continuity 2007'!$B$10:$M$45,4,$C$16:$C$48)</f>
        <v>5514.03</v>
      </c>
      <c r="H33" s="580">
        <f>-VLOOKUP(C33,'[1]FA Continuity 2007'!$B$10:$M$45,5,$C$16:$C$48)</f>
        <v>0</v>
      </c>
      <c r="I33" s="27">
        <f t="shared" si="0"/>
        <v>214967.34</v>
      </c>
      <c r="J33" s="4"/>
      <c r="K33" s="580">
        <f>VLOOKUP(C33,'[1]FA Continuity 2007'!$B$10:$M$45,8,$C$16:$C$48)</f>
        <v>164543.13</v>
      </c>
      <c r="L33" s="580">
        <f>VLOOKUP(C33,'[1]FA Continuity 2007'!$B$10:$M$45,9,$C$16:$C$48)</f>
        <v>7168.93</v>
      </c>
      <c r="M33" s="580">
        <f>-VLOOKUP(C33,'[1]FA Continuity 2007'!$B$10:$M$45,10,$C$16:$C$48)</f>
        <v>0</v>
      </c>
      <c r="N33" s="27">
        <f t="shared" si="1"/>
        <v>171712.06</v>
      </c>
      <c r="O33" s="28">
        <f t="shared" si="2"/>
        <v>43255.28</v>
      </c>
    </row>
    <row r="34" spans="2:15" x14ac:dyDescent="0.2">
      <c r="B34" s="7">
        <v>45</v>
      </c>
      <c r="C34" s="457">
        <v>1920</v>
      </c>
      <c r="D34" s="583" t="s">
        <v>756</v>
      </c>
      <c r="E34" s="582">
        <f>VLOOKUP(C34,'App.2-B1_Depr Rates'!$C$16:$E$51,3,$C$16:$C$51)</f>
        <v>0.2</v>
      </c>
      <c r="F34" s="580">
        <f>VLOOKUP(C34,'[1]FA Continuity 2007'!$B$10:$M$45,3,$C$16:$C$48)</f>
        <v>281457.44</v>
      </c>
      <c r="G34" s="580">
        <f>VLOOKUP(C34,'[1]FA Continuity 2007'!$B$10:$M$45,4,$C$16:$C$48)</f>
        <v>47140.9</v>
      </c>
      <c r="H34" s="580">
        <f>-VLOOKUP(C34,'[1]FA Continuity 2007'!$B$10:$M$45,5,$C$16:$C$48)</f>
        <v>0</v>
      </c>
      <c r="I34" s="27">
        <f t="shared" si="0"/>
        <v>328598.34000000003</v>
      </c>
      <c r="J34" s="4"/>
      <c r="K34" s="580">
        <f>VLOOKUP(C34,'[1]FA Continuity 2007'!$B$10:$M$45,8,$C$16:$C$48)</f>
        <v>228630.94999999998</v>
      </c>
      <c r="L34" s="580">
        <f>VLOOKUP(C34,'[1]FA Continuity 2007'!$B$10:$M$45,9,$C$16:$C$48)</f>
        <v>25801.98</v>
      </c>
      <c r="M34" s="580">
        <f>-VLOOKUP(C34,'[1]FA Continuity 2007'!$B$10:$M$45,10,$C$16:$C$48)</f>
        <v>0</v>
      </c>
      <c r="N34" s="27">
        <f t="shared" si="1"/>
        <v>254432.93</v>
      </c>
      <c r="O34" s="28">
        <f t="shared" si="2"/>
        <v>74165.410000000033</v>
      </c>
    </row>
    <row r="35" spans="2:15" x14ac:dyDescent="0.2">
      <c r="B35" s="7">
        <v>12</v>
      </c>
      <c r="C35" s="7">
        <v>1925</v>
      </c>
      <c r="D35" s="2" t="s">
        <v>563</v>
      </c>
      <c r="E35" s="582">
        <f>VLOOKUP(C35,'App.2-B1_Depr Rates'!$C$16:$E$51,3,$C$16:$C$51)</f>
        <v>0.2</v>
      </c>
      <c r="F35" s="580">
        <f>VLOOKUP(C35,'[1]FA Continuity 2007'!$B$10:$M$45,3,$C$16:$C$48)</f>
        <v>57699.83</v>
      </c>
      <c r="G35" s="580">
        <f>VLOOKUP(C35,'[1]FA Continuity 2007'!$B$10:$M$45,4,$C$16:$C$48)</f>
        <v>85691.29</v>
      </c>
      <c r="H35" s="580">
        <f>-VLOOKUP(C35,'[1]FA Continuity 2007'!$B$10:$M$45,5,$C$16:$C$48)</f>
        <v>0</v>
      </c>
      <c r="I35" s="27">
        <f t="shared" si="0"/>
        <v>143391.12</v>
      </c>
      <c r="J35" s="4"/>
      <c r="K35" s="580">
        <f>VLOOKUP(C35,'[1]FA Continuity 2007'!$B$10:$M$45,8,$C$16:$C$48)</f>
        <v>46384.11</v>
      </c>
      <c r="L35" s="580">
        <f>VLOOKUP(C35,'[1]FA Continuity 2007'!$B$10:$M$45,9,$C$16:$C$48)</f>
        <v>7481.38</v>
      </c>
      <c r="M35" s="580">
        <f>-VLOOKUP(C35,'[1]FA Continuity 2007'!$B$10:$M$45,10,$C$16:$C$48)</f>
        <v>0</v>
      </c>
      <c r="N35" s="27">
        <f t="shared" si="1"/>
        <v>53865.49</v>
      </c>
      <c r="O35" s="28">
        <f t="shared" si="2"/>
        <v>89525.63</v>
      </c>
    </row>
    <row r="36" spans="2:15" x14ac:dyDescent="0.2">
      <c r="B36" s="7">
        <v>10</v>
      </c>
      <c r="C36" s="7">
        <v>1930</v>
      </c>
      <c r="D36" s="2" t="s">
        <v>564</v>
      </c>
      <c r="E36" s="582">
        <f>VLOOKUP(C36,'App.2-B1_Depr Rates'!$C$16:$E$51,3,$C$16:$C$51)</f>
        <v>0.125</v>
      </c>
      <c r="F36" s="580">
        <f>VLOOKUP(C36,'[1]FA Continuity 2007'!$B$10:$M$45,3,$C$16:$C$48)</f>
        <v>1409920.24</v>
      </c>
      <c r="G36" s="580">
        <f>VLOOKUP(C36,'[1]FA Continuity 2007'!$B$10:$M$45,4,$C$16:$C$48)</f>
        <v>483870.18</v>
      </c>
      <c r="H36" s="580">
        <f>-VLOOKUP(C36,'[1]FA Continuity 2007'!$B$10:$M$45,5,$C$16:$C$48)</f>
        <v>-158171.20000000001</v>
      </c>
      <c r="I36" s="27">
        <f t="shared" si="0"/>
        <v>1735619.22</v>
      </c>
      <c r="J36" s="4"/>
      <c r="K36" s="580">
        <f>VLOOKUP(C36,'[1]FA Continuity 2007'!$B$10:$M$45,8,$C$16:$C$48)</f>
        <v>1299977.07</v>
      </c>
      <c r="L36" s="580">
        <f>VLOOKUP(C36,'[1]FA Continuity 2007'!$B$10:$M$45,9,$C$16:$C$48)</f>
        <v>71290.820000000007</v>
      </c>
      <c r="M36" s="580">
        <f>-VLOOKUP(C36,'[1]FA Continuity 2007'!$B$10:$M$45,10,$C$16:$C$48)</f>
        <v>-158171.20000000001</v>
      </c>
      <c r="N36" s="27">
        <f t="shared" si="1"/>
        <v>1213096.6900000002</v>
      </c>
      <c r="O36" s="28">
        <f t="shared" si="2"/>
        <v>522522.5299999998</v>
      </c>
    </row>
    <row r="37" spans="2:15" x14ac:dyDescent="0.2">
      <c r="B37" s="7">
        <v>8</v>
      </c>
      <c r="C37" s="7">
        <v>1935</v>
      </c>
      <c r="D37" s="2" t="s">
        <v>565</v>
      </c>
      <c r="E37" s="582"/>
      <c r="F37" s="580">
        <f>VLOOKUP(C37,'[1]FA Continuity 2007'!$B$10:$M$45,3,$C$16:$C$48)</f>
        <v>0</v>
      </c>
      <c r="G37" s="580">
        <f>VLOOKUP(C37,'[1]FA Continuity 2007'!$B$10:$M$45,4,$C$16:$C$48)</f>
        <v>0</v>
      </c>
      <c r="H37" s="580">
        <f>-VLOOKUP(C37,'[1]FA Continuity 2007'!$B$10:$M$45,5,$C$16:$C$48)</f>
        <v>0</v>
      </c>
      <c r="I37" s="27">
        <f t="shared" si="0"/>
        <v>0</v>
      </c>
      <c r="J37" s="4"/>
      <c r="K37" s="580">
        <f>VLOOKUP(C37,'[1]FA Continuity 2007'!$B$10:$M$45,8,$C$16:$C$48)</f>
        <v>0</v>
      </c>
      <c r="L37" s="580">
        <f>VLOOKUP(C37,'[1]FA Continuity 2007'!$B$10:$M$45,9,$C$16:$C$48)</f>
        <v>0</v>
      </c>
      <c r="M37" s="580">
        <f>-VLOOKUP(C37,'[1]FA Continuity 2007'!$B$10:$M$45,10,$C$16:$C$48)</f>
        <v>0</v>
      </c>
      <c r="N37" s="27">
        <f t="shared" si="1"/>
        <v>0</v>
      </c>
      <c r="O37" s="28">
        <f t="shared" si="2"/>
        <v>0</v>
      </c>
    </row>
    <row r="38" spans="2:15" x14ac:dyDescent="0.2">
      <c r="B38" s="7">
        <v>8</v>
      </c>
      <c r="C38" s="7">
        <v>1940</v>
      </c>
      <c r="D38" s="2" t="s">
        <v>566</v>
      </c>
      <c r="E38" s="582">
        <f>VLOOKUP(C38,'App.2-B1_Depr Rates'!$C$16:$E$51,3,$C$16:$C$51)</f>
        <v>0.1</v>
      </c>
      <c r="F38" s="580">
        <f>VLOOKUP(C38,'[1]FA Continuity 2007'!$B$10:$M$45,3,$C$16:$C$48)</f>
        <v>312298.7</v>
      </c>
      <c r="G38" s="580">
        <f>VLOOKUP(C38,'[1]FA Continuity 2007'!$B$10:$M$45,4,$C$16:$C$48)</f>
        <v>12034.62</v>
      </c>
      <c r="H38" s="580">
        <f>-VLOOKUP(C38,'[1]FA Continuity 2007'!$B$10:$M$45,5,$C$16:$C$48)</f>
        <v>-8000</v>
      </c>
      <c r="I38" s="27">
        <f t="shared" si="0"/>
        <v>316333.32</v>
      </c>
      <c r="J38" s="4"/>
      <c r="K38" s="580">
        <f>VLOOKUP(C38,'[1]FA Continuity 2007'!$B$10:$M$45,8,$C$16:$C$48)</f>
        <v>259409.88999999998</v>
      </c>
      <c r="L38" s="580">
        <f>VLOOKUP(C38,'[1]FA Continuity 2007'!$B$10:$M$45,9,$C$16:$C$48)</f>
        <v>7432.04</v>
      </c>
      <c r="M38" s="580">
        <f>-VLOOKUP(C38,'[1]FA Continuity 2007'!$B$10:$M$45,10,$C$16:$C$48)</f>
        <v>-8000</v>
      </c>
      <c r="N38" s="27">
        <f t="shared" si="1"/>
        <v>258841.93</v>
      </c>
      <c r="O38" s="28">
        <f t="shared" si="2"/>
        <v>57491.390000000014</v>
      </c>
    </row>
    <row r="39" spans="2:15" x14ac:dyDescent="0.2">
      <c r="B39" s="7">
        <v>8</v>
      </c>
      <c r="C39" s="7">
        <v>1945</v>
      </c>
      <c r="D39" s="2" t="s">
        <v>567</v>
      </c>
      <c r="E39" s="582"/>
      <c r="F39" s="580">
        <f>VLOOKUP(C39,'[1]FA Continuity 2007'!$B$10:$M$45,3,$C$16:$C$48)</f>
        <v>0</v>
      </c>
      <c r="G39" s="580">
        <f>VLOOKUP(C39,'[1]FA Continuity 2007'!$B$10:$M$45,4,$C$16:$C$48)</f>
        <v>0</v>
      </c>
      <c r="H39" s="580">
        <f>-VLOOKUP(C39,'[1]FA Continuity 2007'!$B$10:$M$45,5,$C$16:$C$48)</f>
        <v>0</v>
      </c>
      <c r="I39" s="27">
        <f t="shared" si="0"/>
        <v>0</v>
      </c>
      <c r="J39" s="4"/>
      <c r="K39" s="580">
        <f>VLOOKUP(C39,'[1]FA Continuity 2007'!$B$10:$M$45,8,$C$16:$C$48)</f>
        <v>0</v>
      </c>
      <c r="L39" s="580">
        <f>VLOOKUP(C39,'[1]FA Continuity 2007'!$B$10:$M$45,9,$C$16:$C$48)</f>
        <v>0</v>
      </c>
      <c r="M39" s="580">
        <f>-VLOOKUP(C39,'[1]FA Continuity 2007'!$B$10:$M$45,10,$C$16:$C$48)</f>
        <v>0</v>
      </c>
      <c r="N39" s="27">
        <f t="shared" si="1"/>
        <v>0</v>
      </c>
      <c r="O39" s="28">
        <f t="shared" si="2"/>
        <v>0</v>
      </c>
    </row>
    <row r="40" spans="2:15" x14ac:dyDescent="0.2">
      <c r="B40" s="7">
        <v>8</v>
      </c>
      <c r="C40" s="7">
        <v>1950</v>
      </c>
      <c r="D40" s="2" t="s">
        <v>473</v>
      </c>
      <c r="E40" s="582"/>
      <c r="F40" s="580">
        <f>VLOOKUP(C40,'[1]FA Continuity 2007'!$B$10:$M$45,3,$C$16:$C$48)</f>
        <v>0</v>
      </c>
      <c r="G40" s="580">
        <f>VLOOKUP(C40,'[1]FA Continuity 2007'!$B$10:$M$45,4,$C$16:$C$48)</f>
        <v>0</v>
      </c>
      <c r="H40" s="580">
        <f>-VLOOKUP(C40,'[1]FA Continuity 2007'!$B$10:$M$45,5,$C$16:$C$48)</f>
        <v>0</v>
      </c>
      <c r="I40" s="27">
        <f t="shared" si="0"/>
        <v>0</v>
      </c>
      <c r="J40" s="4"/>
      <c r="K40" s="580">
        <f>VLOOKUP(C40,'[1]FA Continuity 2007'!$B$10:$M$45,8,$C$16:$C$48)</f>
        <v>0</v>
      </c>
      <c r="L40" s="580">
        <f>VLOOKUP(C40,'[1]FA Continuity 2007'!$B$10:$M$45,9,$C$16:$C$48)</f>
        <v>0</v>
      </c>
      <c r="M40" s="580">
        <f>-VLOOKUP(C40,'[1]FA Continuity 2007'!$B$10:$M$45,10,$C$16:$C$48)</f>
        <v>0</v>
      </c>
      <c r="N40" s="27">
        <f t="shared" si="1"/>
        <v>0</v>
      </c>
      <c r="O40" s="28">
        <f t="shared" si="2"/>
        <v>0</v>
      </c>
    </row>
    <row r="41" spans="2:15" x14ac:dyDescent="0.2">
      <c r="B41" s="7">
        <v>8</v>
      </c>
      <c r="C41" s="7">
        <v>1955</v>
      </c>
      <c r="D41" s="2" t="s">
        <v>568</v>
      </c>
      <c r="E41" s="582">
        <f>'App.2-B1_Depr Rates'!E45</f>
        <v>0.1</v>
      </c>
      <c r="F41" s="580">
        <f>VLOOKUP(C41,'[1]FA Continuity 2007'!$B$10:$M$45,3,$C$16:$C$48)</f>
        <v>24604</v>
      </c>
      <c r="G41" s="580">
        <f>VLOOKUP(C41,'[1]FA Continuity 2007'!$B$10:$M$45,4,$C$16:$C$48)</f>
        <v>0</v>
      </c>
      <c r="H41" s="580">
        <f>-VLOOKUP(C41,'[1]FA Continuity 2007'!$B$10:$M$45,5,$C$16:$C$48)</f>
        <v>0</v>
      </c>
      <c r="I41" s="27">
        <f t="shared" si="0"/>
        <v>24604</v>
      </c>
      <c r="J41" s="4"/>
      <c r="K41" s="580">
        <f>VLOOKUP(C41,'[1]FA Continuity 2007'!$B$10:$M$45,8,$C$16:$C$48)</f>
        <v>15927.97</v>
      </c>
      <c r="L41" s="580">
        <f>VLOOKUP(C41,'[1]FA Continuity 2007'!$B$10:$M$45,9,$C$16:$C$48)</f>
        <v>0</v>
      </c>
      <c r="M41" s="580">
        <f>-VLOOKUP(C41,'[1]FA Continuity 2007'!$B$10:$M$45,10,$C$16:$C$48)</f>
        <v>0</v>
      </c>
      <c r="N41" s="27">
        <f t="shared" si="1"/>
        <v>15927.97</v>
      </c>
      <c r="O41" s="28">
        <f t="shared" si="2"/>
        <v>8676.0300000000007</v>
      </c>
    </row>
    <row r="42" spans="2:15" x14ac:dyDescent="0.2">
      <c r="B42" s="457">
        <v>8</v>
      </c>
      <c r="C42" s="457">
        <v>1960</v>
      </c>
      <c r="D42" s="456" t="s">
        <v>475</v>
      </c>
      <c r="E42" s="582"/>
      <c r="F42" s="580">
        <f>VLOOKUP(C42,'[1]FA Continuity 2007'!$B$10:$M$45,3,$C$16:$C$48)</f>
        <v>0</v>
      </c>
      <c r="G42" s="580">
        <f>VLOOKUP(C42,'[1]FA Continuity 2007'!$B$10:$M$45,4,$C$16:$C$48)</f>
        <v>0</v>
      </c>
      <c r="H42" s="580">
        <f>-VLOOKUP(C42,'[1]FA Continuity 2007'!$B$10:$M$45,5,$C$16:$C$48)</f>
        <v>0</v>
      </c>
      <c r="I42" s="27">
        <f t="shared" si="0"/>
        <v>0</v>
      </c>
      <c r="J42" s="4"/>
      <c r="K42" s="580">
        <f>VLOOKUP(C42,'[1]FA Continuity 2007'!$B$10:$M$45,8,$C$16:$C$48)</f>
        <v>0</v>
      </c>
      <c r="L42" s="580">
        <f>VLOOKUP(C42,'[1]FA Continuity 2007'!$B$10:$M$45,9,$C$16:$C$48)</f>
        <v>0</v>
      </c>
      <c r="M42" s="580">
        <f>-VLOOKUP(C42,'[1]FA Continuity 2007'!$B$10:$M$45,10,$C$16:$C$48)</f>
        <v>0</v>
      </c>
      <c r="N42" s="27">
        <f t="shared" si="1"/>
        <v>0</v>
      </c>
      <c r="O42" s="28">
        <f t="shared" si="2"/>
        <v>0</v>
      </c>
    </row>
    <row r="43" spans="2:15" x14ac:dyDescent="0.2">
      <c r="B43" s="7">
        <v>47</v>
      </c>
      <c r="C43" s="7">
        <v>1975</v>
      </c>
      <c r="D43" s="2" t="s">
        <v>569</v>
      </c>
      <c r="E43" s="582"/>
      <c r="F43" s="580">
        <f>VLOOKUP(C43,'[1]FA Continuity 2007'!$B$10:$M$45,3,$C$16:$C$48)</f>
        <v>0</v>
      </c>
      <c r="G43" s="580">
        <f>VLOOKUP(C43,'[1]FA Continuity 2007'!$B$10:$M$45,4,$C$16:$C$48)</f>
        <v>0</v>
      </c>
      <c r="H43" s="580">
        <f>-VLOOKUP(C43,'[1]FA Continuity 2007'!$B$10:$M$45,5,$C$16:$C$48)</f>
        <v>0</v>
      </c>
      <c r="I43" s="27">
        <f t="shared" si="0"/>
        <v>0</v>
      </c>
      <c r="J43" s="4"/>
      <c r="K43" s="580">
        <f>VLOOKUP(C43,'[1]FA Continuity 2007'!$B$10:$M$45,8,$C$16:$C$48)</f>
        <v>0</v>
      </c>
      <c r="L43" s="580">
        <f>VLOOKUP(C43,'[1]FA Continuity 2007'!$B$10:$M$45,9,$C$16:$C$48)</f>
        <v>0</v>
      </c>
      <c r="M43" s="580">
        <f>-VLOOKUP(C43,'[1]FA Continuity 2007'!$B$10:$M$45,10,$C$16:$C$48)</f>
        <v>0</v>
      </c>
      <c r="N43" s="27">
        <f t="shared" si="1"/>
        <v>0</v>
      </c>
      <c r="O43" s="28">
        <f t="shared" si="2"/>
        <v>0</v>
      </c>
    </row>
    <row r="44" spans="2:15" x14ac:dyDescent="0.2">
      <c r="B44" s="7">
        <v>47</v>
      </c>
      <c r="C44" s="7">
        <v>1980</v>
      </c>
      <c r="D44" s="2" t="s">
        <v>570</v>
      </c>
      <c r="E44" s="582"/>
      <c r="F44" s="580">
        <f>VLOOKUP(C44,'[1]FA Continuity 2007'!$B$10:$M$45,3,$C$16:$C$48)</f>
        <v>0</v>
      </c>
      <c r="G44" s="580">
        <f>VLOOKUP(C44,'[1]FA Continuity 2007'!$B$10:$M$45,4,$C$16:$C$48)</f>
        <v>0</v>
      </c>
      <c r="H44" s="580">
        <f>-VLOOKUP(C44,'[1]FA Continuity 2007'!$B$10:$M$45,5,$C$16:$C$48)</f>
        <v>0</v>
      </c>
      <c r="I44" s="27">
        <f t="shared" si="0"/>
        <v>0</v>
      </c>
      <c r="J44" s="4"/>
      <c r="K44" s="580">
        <f>VLOOKUP(C44,'[1]FA Continuity 2007'!$B$10:$M$45,8,$C$16:$C$48)</f>
        <v>0</v>
      </c>
      <c r="L44" s="580">
        <f>VLOOKUP(C44,'[1]FA Continuity 2007'!$B$10:$M$45,9,$C$16:$C$48)</f>
        <v>0</v>
      </c>
      <c r="M44" s="580">
        <f>-VLOOKUP(C44,'[1]FA Continuity 2007'!$B$10:$M$45,10,$C$16:$C$48)</f>
        <v>0</v>
      </c>
      <c r="N44" s="27">
        <f t="shared" si="1"/>
        <v>0</v>
      </c>
      <c r="O44" s="28">
        <f t="shared" si="2"/>
        <v>0</v>
      </c>
    </row>
    <row r="45" spans="2:15" x14ac:dyDescent="0.2">
      <c r="B45" s="7">
        <v>47</v>
      </c>
      <c r="C45" s="7">
        <v>1985</v>
      </c>
      <c r="D45" s="2" t="s">
        <v>571</v>
      </c>
      <c r="E45" s="582">
        <f>VLOOKUP(C45,'App.2-B1_Depr Rates'!$C$16:$E$51,3,$C$16:$C$51)</f>
        <v>0.1</v>
      </c>
      <c r="F45" s="580">
        <f>VLOOKUP(C45,'[1]FA Continuity 2007'!$B$10:$M$45,3,$C$16:$C$48)</f>
        <v>0</v>
      </c>
      <c r="G45" s="580">
        <f>VLOOKUP(C45,'[1]FA Continuity 2007'!$B$10:$M$45,4,$C$16:$C$48)</f>
        <v>0</v>
      </c>
      <c r="H45" s="580">
        <f>-VLOOKUP(C45,'[1]FA Continuity 2007'!$B$10:$M$45,5,$C$16:$C$48)</f>
        <v>0</v>
      </c>
      <c r="I45" s="27">
        <f t="shared" si="0"/>
        <v>0</v>
      </c>
      <c r="J45" s="4"/>
      <c r="K45" s="580">
        <f>VLOOKUP(C45,'[1]FA Continuity 2007'!$B$10:$M$45,8,$C$16:$C$48)</f>
        <v>0</v>
      </c>
      <c r="L45" s="580">
        <f>VLOOKUP(C45,'[1]FA Continuity 2007'!$B$10:$M$45,9,$C$16:$C$48)</f>
        <v>0</v>
      </c>
      <c r="M45" s="580">
        <f>-VLOOKUP(C45,'[1]FA Continuity 2007'!$B$10:$M$45,10,$C$16:$C$48)</f>
        <v>0</v>
      </c>
      <c r="N45" s="27">
        <f t="shared" si="1"/>
        <v>0</v>
      </c>
      <c r="O45" s="28">
        <f t="shared" si="2"/>
        <v>0</v>
      </c>
    </row>
    <row r="46" spans="2:15" x14ac:dyDescent="0.2">
      <c r="B46" s="7">
        <v>47</v>
      </c>
      <c r="C46" s="7">
        <v>1995</v>
      </c>
      <c r="D46" s="2" t="s">
        <v>572</v>
      </c>
      <c r="E46" s="582">
        <f>VLOOKUP(C46,'App.2-B1_Depr Rates'!$C$16:$E$51,3,$C$16:$C$51)</f>
        <v>0.04</v>
      </c>
      <c r="F46" s="580">
        <f>VLOOKUP(C46,'[1]FA Continuity 2007'!$B$10:$M$45,3,$C$16:$C$48)</f>
        <v>-2865858.11</v>
      </c>
      <c r="G46" s="580">
        <f>VLOOKUP(C46,'[1]FA Continuity 2007'!$B$10:$M$45,4,$C$16:$C$48)</f>
        <v>-454086.2</v>
      </c>
      <c r="H46" s="580">
        <f>-VLOOKUP(C46,'[1]FA Continuity 2007'!$B$10:$M$45,5,$C$16:$C$48)</f>
        <v>0</v>
      </c>
      <c r="I46" s="27">
        <f t="shared" si="0"/>
        <v>-3319944.31</v>
      </c>
      <c r="J46" s="4"/>
      <c r="K46" s="580">
        <f>VLOOKUP(C46,'[1]FA Continuity 2007'!$B$10:$M$45,8,$C$16:$C$48)</f>
        <v>-357598.68</v>
      </c>
      <c r="L46" s="580">
        <f>VLOOKUP(C46,'[1]FA Continuity 2007'!$B$10:$M$45,9,$C$16:$C$48)</f>
        <v>-125255.02</v>
      </c>
      <c r="M46" s="580">
        <f>-VLOOKUP(C46,'[1]FA Continuity 2007'!$B$10:$M$45,10,$C$16:$C$48)</f>
        <v>0</v>
      </c>
      <c r="N46" s="27">
        <f t="shared" si="1"/>
        <v>-482853.7</v>
      </c>
      <c r="O46" s="28">
        <f t="shared" si="2"/>
        <v>-2837090.61</v>
      </c>
    </row>
    <row r="47" spans="2:15" x14ac:dyDescent="0.2">
      <c r="B47" s="7"/>
      <c r="C47" s="7" t="s">
        <v>636</v>
      </c>
      <c r="D47" s="2"/>
      <c r="E47" s="473"/>
      <c r="F47" s="580"/>
      <c r="G47" s="580"/>
      <c r="H47" s="580"/>
      <c r="I47" s="27">
        <f t="shared" si="0"/>
        <v>0</v>
      </c>
      <c r="K47" s="580"/>
      <c r="L47" s="580"/>
      <c r="M47" s="580"/>
      <c r="N47" s="27">
        <f t="shared" si="1"/>
        <v>0</v>
      </c>
      <c r="O47" s="28">
        <f t="shared" si="2"/>
        <v>0</v>
      </c>
    </row>
    <row r="48" spans="2:15" x14ac:dyDescent="0.2">
      <c r="B48" s="7"/>
      <c r="C48" s="7"/>
      <c r="D48" s="2"/>
      <c r="E48" s="473"/>
      <c r="F48" s="580"/>
      <c r="G48" s="580"/>
      <c r="H48" s="580"/>
      <c r="I48" s="2"/>
      <c r="K48" s="580"/>
      <c r="L48" s="580"/>
      <c r="M48" s="580"/>
      <c r="N48" s="2"/>
      <c r="O48" s="28">
        <f t="shared" si="2"/>
        <v>0</v>
      </c>
    </row>
    <row r="49" spans="2:15" x14ac:dyDescent="0.2">
      <c r="B49" s="7"/>
      <c r="C49" s="7"/>
      <c r="D49" s="26" t="s">
        <v>573</v>
      </c>
      <c r="E49" s="26"/>
      <c r="F49" s="32">
        <f>SUM(F16:F47)</f>
        <v>19230886.109999996</v>
      </c>
      <c r="G49" s="32">
        <f>SUM(G16:G47)</f>
        <v>1600199.41</v>
      </c>
      <c r="H49" s="32">
        <f>SUM(H16:H47)</f>
        <v>-166171.20000000001</v>
      </c>
      <c r="I49" s="32">
        <f>SUM(I16:I47)</f>
        <v>20664914.32</v>
      </c>
      <c r="J49" s="33"/>
      <c r="K49" s="34">
        <f>SUM(K16:K47)</f>
        <v>11679851.98</v>
      </c>
      <c r="L49" s="34">
        <f>SUM(L16:L47)</f>
        <v>726585.66000000015</v>
      </c>
      <c r="M49" s="34">
        <f>SUM(M16:M47)</f>
        <v>-166171.20000000001</v>
      </c>
      <c r="N49" s="34">
        <f>SUM(N16:N47)</f>
        <v>12240266.440000001</v>
      </c>
      <c r="O49" s="34">
        <f>SUM(O16:O47)</f>
        <v>8424647.8800000008</v>
      </c>
    </row>
    <row r="51" spans="2:15" x14ac:dyDescent="0.2">
      <c r="E51" s="3"/>
      <c r="K51" s="5" t="s">
        <v>575</v>
      </c>
      <c r="L51" s="5"/>
    </row>
    <row r="52" spans="2:15" x14ac:dyDescent="0.2">
      <c r="B52" s="7">
        <v>10</v>
      </c>
      <c r="C52" s="7">
        <v>1935</v>
      </c>
      <c r="D52" s="2" t="s">
        <v>574</v>
      </c>
      <c r="E52" s="3"/>
      <c r="F52" s="581"/>
      <c r="K52" s="5" t="s">
        <v>574</v>
      </c>
      <c r="L52" s="5"/>
      <c r="M52" s="164">
        <f>'[1]FA Continuity 2007'!$J$52</f>
        <v>71290.820000000007</v>
      </c>
    </row>
    <row r="53" spans="2:15" x14ac:dyDescent="0.2">
      <c r="B53" s="7">
        <v>10</v>
      </c>
      <c r="C53" s="7">
        <v>1955</v>
      </c>
      <c r="D53" s="2" t="s">
        <v>749</v>
      </c>
      <c r="K53" s="5" t="s">
        <v>749</v>
      </c>
      <c r="L53" s="5"/>
      <c r="M53" s="165">
        <f>'[1]FA Continuity 2007'!$J$53</f>
        <v>7432.04</v>
      </c>
    </row>
    <row r="54" spans="2:15" x14ac:dyDescent="0.2">
      <c r="K54" s="6" t="s">
        <v>576</v>
      </c>
      <c r="M54" s="29">
        <f>L49-M52-M53</f>
        <v>647862.80000000005</v>
      </c>
    </row>
    <row r="56" spans="2:15" ht="14.25" x14ac:dyDescent="0.2">
      <c r="B56" s="661" t="s">
        <v>176</v>
      </c>
      <c r="C56" s="662"/>
      <c r="D56" s="662"/>
      <c r="E56" s="662"/>
      <c r="F56" s="662"/>
    </row>
    <row r="58" spans="2:15" x14ac:dyDescent="0.2">
      <c r="B58" s="412" t="s">
        <v>639</v>
      </c>
    </row>
    <row r="60" spans="2:15" x14ac:dyDescent="0.2">
      <c r="B60" s="1">
        <v>1</v>
      </c>
      <c r="C60" s="660" t="s">
        <v>434</v>
      </c>
      <c r="D60" s="660"/>
      <c r="E60" s="660"/>
      <c r="F60" s="660"/>
      <c r="G60" s="660"/>
      <c r="H60" s="660"/>
      <c r="I60" s="660"/>
      <c r="J60" s="660"/>
      <c r="K60" s="660"/>
      <c r="L60" s="660"/>
      <c r="M60" s="660"/>
      <c r="N60" s="660"/>
      <c r="O60" s="660"/>
    </row>
    <row r="61" spans="2:15" x14ac:dyDescent="0.2">
      <c r="C61" s="660"/>
      <c r="D61" s="660"/>
      <c r="E61" s="660"/>
      <c r="F61" s="660"/>
      <c r="G61" s="660"/>
      <c r="H61" s="660"/>
      <c r="I61" s="660"/>
      <c r="J61" s="660"/>
      <c r="K61" s="660"/>
      <c r="L61" s="660"/>
      <c r="M61" s="660"/>
      <c r="N61" s="660"/>
      <c r="O61" s="660"/>
    </row>
    <row r="63" spans="2:15" ht="12.75" customHeight="1" x14ac:dyDescent="0.2"/>
    <row r="64" spans="2:15" x14ac:dyDescent="0.2">
      <c r="B64" s="1">
        <v>2</v>
      </c>
      <c r="C64" s="667" t="s">
        <v>99</v>
      </c>
      <c r="D64" s="667"/>
      <c r="E64" s="667"/>
      <c r="F64" s="667"/>
      <c r="G64" s="667"/>
      <c r="H64" s="667"/>
      <c r="I64" s="667"/>
      <c r="J64" s="667"/>
      <c r="K64" s="667"/>
      <c r="L64" s="667"/>
      <c r="M64" s="667"/>
      <c r="N64" s="667"/>
      <c r="O64" s="667"/>
    </row>
    <row r="65" spans="2:15" x14ac:dyDescent="0.2">
      <c r="C65" s="667"/>
      <c r="D65" s="667"/>
      <c r="E65" s="667"/>
      <c r="F65" s="667"/>
      <c r="G65" s="667"/>
      <c r="H65" s="667"/>
      <c r="I65" s="667"/>
      <c r="J65" s="667"/>
      <c r="K65" s="667"/>
      <c r="L65" s="667"/>
      <c r="M65" s="667"/>
      <c r="N65" s="667"/>
      <c r="O65" s="667"/>
    </row>
    <row r="67" spans="2:15" x14ac:dyDescent="0.2">
      <c r="B67" s="1">
        <v>3</v>
      </c>
      <c r="C67" s="657" t="s">
        <v>435</v>
      </c>
      <c r="D67" s="657"/>
      <c r="E67" s="657"/>
      <c r="F67" s="657"/>
      <c r="G67" s="657"/>
      <c r="H67" s="657"/>
      <c r="I67" s="657"/>
      <c r="J67" s="657"/>
      <c r="K67" s="657"/>
      <c r="L67" s="657"/>
      <c r="M67" s="657"/>
      <c r="N67" s="657"/>
      <c r="O67" s="657"/>
    </row>
  </sheetData>
  <mergeCells count="8">
    <mergeCell ref="C64:O65"/>
    <mergeCell ref="C67:O67"/>
    <mergeCell ref="F9:I9"/>
    <mergeCell ref="F10:J10"/>
    <mergeCell ref="G12:H12"/>
    <mergeCell ref="F14:I14"/>
    <mergeCell ref="B56:F56"/>
    <mergeCell ref="C60:O61"/>
  </mergeCells>
  <dataValidations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O67"/>
  <sheetViews>
    <sheetView showGridLines="0" topLeftCell="B33" zoomScaleNormal="100" workbookViewId="0">
      <selection activeCell="E21" sqref="E21"/>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2008</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Rates'!$C$16:$E$51,3,$C$16:$C$51)</f>
        <v>0</v>
      </c>
      <c r="F16" s="580">
        <f>VLOOKUP(C16,'[1]FA Continuity 2008'!$B$10:$M$45,3,$C$16:$C$48)</f>
        <v>2112</v>
      </c>
      <c r="G16" s="580">
        <f>VLOOKUP(C16,'[1]FA Continuity 2008'!$B$10:$M$45,4,$C$16:$C$48)</f>
        <v>0</v>
      </c>
      <c r="H16" s="580">
        <f>-VLOOKUP(C16,'[1]FA Continuity 2008'!$B$10:$M$45,5,$C$16:$C$48)</f>
        <v>0</v>
      </c>
      <c r="I16" s="27">
        <f>F16+G16+H16</f>
        <v>2112</v>
      </c>
      <c r="J16" s="4"/>
      <c r="K16" s="580">
        <f>VLOOKUP(C16,'[1]FA Continuity 2008'!$B$10:$M$45,8,$C$16:$C$48)</f>
        <v>0</v>
      </c>
      <c r="L16" s="580">
        <f>VLOOKUP(C16,'[1]FA Continuity 2008'!$B$10:$M$45,9,$C$16:$C$48)</f>
        <v>0</v>
      </c>
      <c r="M16" s="580">
        <f>-VLOOKUP(C16,'[1]FA Continuity 2008'!$B$10:$M$45,10,$C$16:$C$48)</f>
        <v>0</v>
      </c>
      <c r="N16" s="27">
        <f>K16+L16+M16</f>
        <v>0</v>
      </c>
      <c r="O16" s="28">
        <f>I16-N16</f>
        <v>2112</v>
      </c>
    </row>
    <row r="17" spans="2:15" x14ac:dyDescent="0.2">
      <c r="B17" s="7">
        <v>47</v>
      </c>
      <c r="C17" s="7">
        <v>1808</v>
      </c>
      <c r="D17" s="2" t="s">
        <v>537</v>
      </c>
      <c r="E17" s="582"/>
      <c r="F17" s="580">
        <f>VLOOKUP(C17,'[1]FA Continuity 2008'!$B$10:$M$45,3,$C$16:$C$48)</f>
        <v>0</v>
      </c>
      <c r="G17" s="580">
        <f>VLOOKUP(C17,'[1]FA Continuity 2008'!$B$10:$M$45,4,$C$16:$C$48)</f>
        <v>0</v>
      </c>
      <c r="H17" s="580">
        <f>-VLOOKUP(C17,'[1]FA Continuity 2008'!$B$10:$M$45,5,$C$16:$C$48)</f>
        <v>0</v>
      </c>
      <c r="I17" s="27">
        <f t="shared" ref="I17:I47" si="0">F17+G17+H17</f>
        <v>0</v>
      </c>
      <c r="J17" s="4"/>
      <c r="K17" s="580">
        <f>VLOOKUP(C17,'[1]FA Continuity 2008'!$B$10:$M$45,8,$C$16:$C$48)</f>
        <v>0</v>
      </c>
      <c r="L17" s="580">
        <f>VLOOKUP(C17,'[1]FA Continuity 2008'!$B$10:$M$45,9,$C$16:$C$48)</f>
        <v>0</v>
      </c>
      <c r="M17" s="580">
        <f>-VLOOKUP(C17,'[1]FA Continuity 2008'!$B$10:$M$45,10,$C$16:$C$48)</f>
        <v>0</v>
      </c>
      <c r="N17" s="27">
        <f t="shared" ref="N17:N47" si="1">K17+L17+M17</f>
        <v>0</v>
      </c>
      <c r="O17" s="28">
        <f t="shared" ref="O17:O48" si="2">I17-N17</f>
        <v>0</v>
      </c>
    </row>
    <row r="18" spans="2:15" x14ac:dyDescent="0.2">
      <c r="B18" s="7">
        <v>13</v>
      </c>
      <c r="C18" s="7">
        <v>1810</v>
      </c>
      <c r="D18" s="2" t="s">
        <v>579</v>
      </c>
      <c r="E18" s="582"/>
      <c r="F18" s="580">
        <f>VLOOKUP(C18,'[1]FA Continuity 2008'!$B$10:$M$45,3,$C$16:$C$48)</f>
        <v>0</v>
      </c>
      <c r="G18" s="580">
        <f>VLOOKUP(C18,'[1]FA Continuity 2008'!$B$10:$M$45,4,$C$16:$C$48)</f>
        <v>0</v>
      </c>
      <c r="H18" s="580">
        <f>-VLOOKUP(C18,'[1]FA Continuity 2008'!$B$10:$M$45,5,$C$16:$C$48)</f>
        <v>0</v>
      </c>
      <c r="I18" s="27">
        <f t="shared" si="0"/>
        <v>0</v>
      </c>
      <c r="J18" s="4"/>
      <c r="K18" s="580">
        <f>VLOOKUP(C18,'[1]FA Continuity 2008'!$B$10:$M$45,8,$C$16:$C$48)</f>
        <v>0</v>
      </c>
      <c r="L18" s="580">
        <f>VLOOKUP(C18,'[1]FA Continuity 2008'!$B$10:$M$45,9,$C$16:$C$48)</f>
        <v>0</v>
      </c>
      <c r="M18" s="580">
        <f>-VLOOKUP(C18,'[1]FA Continuity 2008'!$B$10:$M$45,10,$C$16:$C$48)</f>
        <v>0</v>
      </c>
      <c r="N18" s="27">
        <f t="shared" si="1"/>
        <v>0</v>
      </c>
      <c r="O18" s="28">
        <f t="shared" si="2"/>
        <v>0</v>
      </c>
    </row>
    <row r="19" spans="2:15" x14ac:dyDescent="0.2">
      <c r="B19" s="7">
        <v>47</v>
      </c>
      <c r="C19" s="7">
        <v>1815</v>
      </c>
      <c r="D19" s="2" t="s">
        <v>538</v>
      </c>
      <c r="E19" s="582"/>
      <c r="F19" s="580">
        <f>VLOOKUP(C19,'[1]FA Continuity 2008'!$B$10:$M$45,3,$C$16:$C$48)</f>
        <v>0</v>
      </c>
      <c r="G19" s="580">
        <f>VLOOKUP(C19,'[1]FA Continuity 2008'!$B$10:$M$45,4,$C$16:$C$48)</f>
        <v>0</v>
      </c>
      <c r="H19" s="580">
        <f>-VLOOKUP(C19,'[1]FA Continuity 2008'!$B$10:$M$45,5,$C$16:$C$48)</f>
        <v>0</v>
      </c>
      <c r="I19" s="27">
        <f t="shared" si="0"/>
        <v>0</v>
      </c>
      <c r="J19" s="4"/>
      <c r="K19" s="580">
        <f>VLOOKUP(C19,'[1]FA Continuity 2008'!$B$10:$M$45,8,$C$16:$C$48)</f>
        <v>0</v>
      </c>
      <c r="L19" s="580">
        <f>VLOOKUP(C19,'[1]FA Continuity 2008'!$B$10:$M$45,9,$C$16:$C$48)</f>
        <v>0</v>
      </c>
      <c r="M19" s="580">
        <f>-VLOOKUP(C19,'[1]FA Continuity 2008'!$B$10:$M$45,10,$C$16:$C$48)</f>
        <v>0</v>
      </c>
      <c r="N19" s="27">
        <f t="shared" si="1"/>
        <v>0</v>
      </c>
      <c r="O19" s="28">
        <f t="shared" si="2"/>
        <v>0</v>
      </c>
    </row>
    <row r="20" spans="2:15" x14ac:dyDescent="0.2">
      <c r="B20" s="7">
        <v>47</v>
      </c>
      <c r="C20" s="7">
        <v>1820</v>
      </c>
      <c r="D20" s="456" t="s">
        <v>462</v>
      </c>
      <c r="E20" s="582">
        <f>VLOOKUP(C20,'App.2-B1_Depr Rates'!$C$16:$E$51,3,$C$16:$C$51)</f>
        <v>0.04</v>
      </c>
      <c r="F20" s="580">
        <f>VLOOKUP(C20,'[1]FA Continuity 2008'!$B$10:$M$45,3,$C$16:$C$48)</f>
        <v>142098.48000000001</v>
      </c>
      <c r="G20" s="580">
        <f>VLOOKUP(C20,'[1]FA Continuity 2008'!$B$10:$M$45,4,$C$16:$C$48)</f>
        <v>0</v>
      </c>
      <c r="H20" s="580">
        <f>-VLOOKUP(C20,'[1]FA Continuity 2008'!$B$10:$M$45,5,$C$16:$C$48)</f>
        <v>0</v>
      </c>
      <c r="I20" s="27">
        <f t="shared" si="0"/>
        <v>142098.48000000001</v>
      </c>
      <c r="J20" s="4"/>
      <c r="K20" s="580">
        <f>VLOOKUP(C20,'[1]FA Continuity 2008'!$B$10:$M$45,8,$C$16:$C$48)</f>
        <v>142222.42000000001</v>
      </c>
      <c r="L20" s="580">
        <f>VLOOKUP(C20,'[1]FA Continuity 2008'!$B$10:$M$45,9,$C$16:$C$48)</f>
        <v>-1332</v>
      </c>
      <c r="M20" s="580">
        <f>-VLOOKUP(C20,'[1]FA Continuity 2008'!$B$10:$M$45,10,$C$16:$C$48)</f>
        <v>0</v>
      </c>
      <c r="N20" s="27">
        <f t="shared" si="1"/>
        <v>140890.42000000001</v>
      </c>
      <c r="O20" s="28">
        <f t="shared" si="2"/>
        <v>1208.0599999999977</v>
      </c>
    </row>
    <row r="21" spans="2:15" x14ac:dyDescent="0.2">
      <c r="B21" s="7">
        <v>47</v>
      </c>
      <c r="C21" s="7">
        <v>1825</v>
      </c>
      <c r="D21" s="2" t="s">
        <v>539</v>
      </c>
      <c r="E21" s="582"/>
      <c r="F21" s="580">
        <f>VLOOKUP(C21,'[1]FA Continuity 2008'!$B$10:$M$45,3,$C$16:$C$48)</f>
        <v>0</v>
      </c>
      <c r="G21" s="580">
        <f>VLOOKUP(C21,'[1]FA Continuity 2008'!$B$10:$M$45,4,$C$16:$C$48)</f>
        <v>0</v>
      </c>
      <c r="H21" s="580">
        <f>-VLOOKUP(C21,'[1]FA Continuity 2008'!$B$10:$M$45,5,$C$16:$C$48)</f>
        <v>0</v>
      </c>
      <c r="I21" s="27">
        <f t="shared" si="0"/>
        <v>0</v>
      </c>
      <c r="J21" s="4"/>
      <c r="K21" s="580">
        <f>VLOOKUP(C21,'[1]FA Continuity 2008'!$B$10:$M$45,8,$C$16:$C$48)</f>
        <v>0</v>
      </c>
      <c r="L21" s="580">
        <f>VLOOKUP(C21,'[1]FA Continuity 2008'!$B$10:$M$45,9,$C$16:$C$48)</f>
        <v>0</v>
      </c>
      <c r="M21" s="580">
        <f>-VLOOKUP(C21,'[1]FA Continuity 2008'!$B$10:$M$45,10,$C$16:$C$48)</f>
        <v>0</v>
      </c>
      <c r="N21" s="27">
        <f t="shared" si="1"/>
        <v>0</v>
      </c>
      <c r="O21" s="28">
        <f t="shared" si="2"/>
        <v>0</v>
      </c>
    </row>
    <row r="22" spans="2:15" x14ac:dyDescent="0.2">
      <c r="B22" s="7">
        <v>47</v>
      </c>
      <c r="C22" s="7">
        <v>1830</v>
      </c>
      <c r="D22" s="2" t="s">
        <v>540</v>
      </c>
      <c r="E22" s="582">
        <f>VLOOKUP(C22,'App.2-B1_Depr Rates'!$C$16:$E$51,3,$C$16:$C$51)</f>
        <v>0.04</v>
      </c>
      <c r="F22" s="580">
        <f>VLOOKUP(C22,'[1]FA Continuity 2008'!$B$10:$M$45,3,$C$16:$C$48)</f>
        <v>569219.66</v>
      </c>
      <c r="G22" s="580">
        <f>VLOOKUP(C22,'[1]FA Continuity 2008'!$B$10:$M$45,4,$C$16:$C$48)</f>
        <v>100434.03</v>
      </c>
      <c r="H22" s="580">
        <f>-VLOOKUP(C22,'[1]FA Continuity 2008'!$B$10:$M$45,5,$C$16:$C$48)</f>
        <v>0</v>
      </c>
      <c r="I22" s="27">
        <f t="shared" si="0"/>
        <v>669653.69000000006</v>
      </c>
      <c r="J22" s="4"/>
      <c r="K22" s="580">
        <f>VLOOKUP(C22,'[1]FA Continuity 2008'!$B$10:$M$45,8,$C$16:$C$48)</f>
        <v>78839.679999999993</v>
      </c>
      <c r="L22" s="580">
        <f>VLOOKUP(C22,'[1]FA Continuity 2008'!$B$10:$M$45,9,$C$16:$C$48)</f>
        <v>24782.45</v>
      </c>
      <c r="M22" s="580">
        <f>-VLOOKUP(C22,'[1]FA Continuity 2008'!$B$10:$M$45,10,$C$16:$C$48)</f>
        <v>0</v>
      </c>
      <c r="N22" s="27">
        <f t="shared" si="1"/>
        <v>103622.12999999999</v>
      </c>
      <c r="O22" s="28">
        <f t="shared" si="2"/>
        <v>566031.56000000006</v>
      </c>
    </row>
    <row r="23" spans="2:15" x14ac:dyDescent="0.2">
      <c r="B23" s="7">
        <v>47</v>
      </c>
      <c r="C23" s="7">
        <v>1835</v>
      </c>
      <c r="D23" s="2" t="s">
        <v>463</v>
      </c>
      <c r="E23" s="582">
        <f>VLOOKUP(C23,'App.2-B1_Depr Rates'!$C$16:$E$51,3,$C$16:$C$51)</f>
        <v>0.04</v>
      </c>
      <c r="F23" s="580">
        <f>VLOOKUP(C23,'[1]FA Continuity 2008'!$B$10:$M$45,3,$C$16:$C$48)</f>
        <v>5620643.8600000003</v>
      </c>
      <c r="G23" s="580">
        <f>VLOOKUP(C23,'[1]FA Continuity 2008'!$B$10:$M$45,4,$C$16:$C$48)</f>
        <v>202573.75</v>
      </c>
      <c r="H23" s="580">
        <f>-VLOOKUP(C23,'[1]FA Continuity 2008'!$B$10:$M$45,5,$C$16:$C$48)</f>
        <v>0</v>
      </c>
      <c r="I23" s="27">
        <f t="shared" si="0"/>
        <v>5823217.6100000003</v>
      </c>
      <c r="J23" s="4"/>
      <c r="K23" s="580">
        <f>VLOOKUP(C23,'[1]FA Continuity 2008'!$B$10:$M$45,8,$C$16:$C$48)</f>
        <v>3375311.81</v>
      </c>
      <c r="L23" s="580">
        <f>VLOOKUP(C23,'[1]FA Continuity 2008'!$B$10:$M$45,9,$C$16:$C$48)</f>
        <v>223745.2</v>
      </c>
      <c r="M23" s="580">
        <f>-VLOOKUP(C23,'[1]FA Continuity 2008'!$B$10:$M$45,10,$C$16:$C$48)</f>
        <v>0</v>
      </c>
      <c r="N23" s="27">
        <f t="shared" si="1"/>
        <v>3599057.0100000002</v>
      </c>
      <c r="O23" s="28">
        <f t="shared" si="2"/>
        <v>2224160.6</v>
      </c>
    </row>
    <row r="24" spans="2:15" x14ac:dyDescent="0.2">
      <c r="B24" s="7">
        <v>47</v>
      </c>
      <c r="C24" s="7">
        <v>1840</v>
      </c>
      <c r="D24" s="2" t="s">
        <v>464</v>
      </c>
      <c r="E24" s="582">
        <f>VLOOKUP(C24,'App.2-B1_Depr Rates'!$C$16:$E$51,3,$C$16:$C$51)</f>
        <v>0.04</v>
      </c>
      <c r="F24" s="580">
        <f>VLOOKUP(C24,'[1]FA Continuity 2008'!$B$10:$M$45,3,$C$16:$C$48)</f>
        <v>696100.7</v>
      </c>
      <c r="G24" s="580">
        <f>VLOOKUP(C24,'[1]FA Continuity 2008'!$B$10:$M$45,4,$C$16:$C$48)</f>
        <v>217030.96</v>
      </c>
      <c r="H24" s="580">
        <f>-VLOOKUP(C24,'[1]FA Continuity 2008'!$B$10:$M$45,5,$C$16:$C$48)</f>
        <v>0</v>
      </c>
      <c r="I24" s="27">
        <f t="shared" si="0"/>
        <v>913131.65999999992</v>
      </c>
      <c r="J24" s="4"/>
      <c r="K24" s="580">
        <f>VLOOKUP(C24,'[1]FA Continuity 2008'!$B$10:$M$45,8,$C$16:$C$48)</f>
        <v>79844.5</v>
      </c>
      <c r="L24" s="580">
        <f>VLOOKUP(C24,'[1]FA Continuity 2008'!$B$10:$M$45,9,$C$16:$C$48)</f>
        <v>32187.24</v>
      </c>
      <c r="M24" s="580">
        <f>-VLOOKUP(C24,'[1]FA Continuity 2008'!$B$10:$M$45,10,$C$16:$C$48)</f>
        <v>0</v>
      </c>
      <c r="N24" s="27">
        <f t="shared" si="1"/>
        <v>112031.74</v>
      </c>
      <c r="O24" s="28">
        <f t="shared" si="2"/>
        <v>801099.91999999993</v>
      </c>
    </row>
    <row r="25" spans="2:15" x14ac:dyDescent="0.2">
      <c r="B25" s="7">
        <v>47</v>
      </c>
      <c r="C25" s="7">
        <v>1845</v>
      </c>
      <c r="D25" s="2" t="s">
        <v>465</v>
      </c>
      <c r="E25" s="582">
        <f>VLOOKUP(C25,'App.2-B1_Depr Rates'!$C$16:$E$51,3,$C$16:$C$51)</f>
        <v>0.04</v>
      </c>
      <c r="F25" s="580">
        <f>VLOOKUP(C25,'[1]FA Continuity 2008'!$B$10:$M$45,3,$C$16:$C$48)</f>
        <v>6592568.3300000001</v>
      </c>
      <c r="G25" s="580">
        <f>VLOOKUP(C25,'[1]FA Continuity 2008'!$B$10:$M$45,4,$C$16:$C$48)</f>
        <v>126543.36</v>
      </c>
      <c r="H25" s="580">
        <f>-VLOOKUP(C25,'[1]FA Continuity 2008'!$B$10:$M$45,5,$C$16:$C$48)</f>
        <v>0</v>
      </c>
      <c r="I25" s="27">
        <f t="shared" si="0"/>
        <v>6719111.6900000004</v>
      </c>
      <c r="J25" s="4"/>
      <c r="K25" s="580">
        <f>VLOOKUP(C25,'[1]FA Continuity 2008'!$B$10:$M$45,8,$C$16:$C$48)</f>
        <v>3503416.16</v>
      </c>
      <c r="L25" s="580">
        <f>VLOOKUP(C25,'[1]FA Continuity 2008'!$B$10:$M$45,9,$C$16:$C$48)</f>
        <v>249042.06</v>
      </c>
      <c r="M25" s="580">
        <f>-VLOOKUP(C25,'[1]FA Continuity 2008'!$B$10:$M$45,10,$C$16:$C$48)</f>
        <v>0</v>
      </c>
      <c r="N25" s="27">
        <f t="shared" si="1"/>
        <v>3752458.22</v>
      </c>
      <c r="O25" s="28">
        <f t="shared" si="2"/>
        <v>2966653.47</v>
      </c>
    </row>
    <row r="26" spans="2:15" x14ac:dyDescent="0.2">
      <c r="B26" s="7">
        <v>47</v>
      </c>
      <c r="C26" s="7">
        <v>1850</v>
      </c>
      <c r="D26" s="2" t="s">
        <v>541</v>
      </c>
      <c r="E26" s="582">
        <f>VLOOKUP(C26,'App.2-B1_Depr Rates'!$C$16:$E$51,3,$C$16:$C$51)</f>
        <v>0.04</v>
      </c>
      <c r="F26" s="580">
        <f>VLOOKUP(C26,'[1]FA Continuity 2008'!$B$10:$M$45,3,$C$16:$C$48)</f>
        <v>4954989.26</v>
      </c>
      <c r="G26" s="580">
        <f>VLOOKUP(C26,'[1]FA Continuity 2008'!$B$10:$M$45,4,$C$16:$C$48)</f>
        <v>231527.88999999998</v>
      </c>
      <c r="H26" s="580">
        <f>-VLOOKUP(C26,'[1]FA Continuity 2008'!$B$10:$M$45,5,$C$16:$C$48)</f>
        <v>0</v>
      </c>
      <c r="I26" s="27">
        <f t="shared" si="0"/>
        <v>5186517.1499999994</v>
      </c>
      <c r="J26" s="4"/>
      <c r="K26" s="580">
        <f>VLOOKUP(C26,'[1]FA Continuity 2008'!$B$10:$M$45,8,$C$16:$C$48)</f>
        <v>2599763.13</v>
      </c>
      <c r="L26" s="580">
        <f>VLOOKUP(C26,'[1]FA Continuity 2008'!$B$10:$M$45,9,$C$16:$C$48)</f>
        <v>174089.5</v>
      </c>
      <c r="M26" s="580">
        <f>-VLOOKUP(C26,'[1]FA Continuity 2008'!$B$10:$M$45,10,$C$16:$C$48)</f>
        <v>0</v>
      </c>
      <c r="N26" s="27">
        <f t="shared" si="1"/>
        <v>2773852.63</v>
      </c>
      <c r="O26" s="28">
        <f t="shared" si="2"/>
        <v>2412664.5199999996</v>
      </c>
    </row>
    <row r="27" spans="2:15" x14ac:dyDescent="0.2">
      <c r="B27" s="7">
        <v>47</v>
      </c>
      <c r="C27" s="7">
        <v>1855</v>
      </c>
      <c r="D27" s="2" t="s">
        <v>466</v>
      </c>
      <c r="E27" s="582">
        <f>VLOOKUP(C27,'App.2-B1_Depr Rates'!$C$16:$E$51,3,$C$16:$C$51)</f>
        <v>0.04</v>
      </c>
      <c r="F27" s="580">
        <f>VLOOKUP(C27,'[1]FA Continuity 2008'!$B$10:$M$45,3,$C$16:$C$48)</f>
        <v>411941.29</v>
      </c>
      <c r="G27" s="580">
        <f>VLOOKUP(C27,'[1]FA Continuity 2008'!$B$10:$M$45,4,$C$16:$C$48)</f>
        <v>99753.159999999989</v>
      </c>
      <c r="H27" s="580">
        <f>-VLOOKUP(C27,'[1]FA Continuity 2008'!$B$10:$M$45,5,$C$16:$C$48)</f>
        <v>0</v>
      </c>
      <c r="I27" s="27">
        <f t="shared" si="0"/>
        <v>511694.44999999995</v>
      </c>
      <c r="J27" s="4"/>
      <c r="K27" s="580">
        <f>VLOOKUP(C27,'[1]FA Continuity 2008'!$B$10:$M$45,8,$C$16:$C$48)</f>
        <v>47477.61</v>
      </c>
      <c r="L27" s="580">
        <f>VLOOKUP(C27,'[1]FA Continuity 2008'!$B$10:$M$45,9,$C$16:$C$48)</f>
        <v>18477.32</v>
      </c>
      <c r="M27" s="580">
        <f>-VLOOKUP(C27,'[1]FA Continuity 2008'!$B$10:$M$45,10,$C$16:$C$48)</f>
        <v>0</v>
      </c>
      <c r="N27" s="27">
        <f t="shared" si="1"/>
        <v>65954.929999999993</v>
      </c>
      <c r="O27" s="28">
        <f t="shared" si="2"/>
        <v>445739.51999999996</v>
      </c>
    </row>
    <row r="28" spans="2:15" x14ac:dyDescent="0.2">
      <c r="B28" s="7">
        <v>47</v>
      </c>
      <c r="C28" s="7">
        <v>1860</v>
      </c>
      <c r="D28" s="2" t="s">
        <v>542</v>
      </c>
      <c r="E28" s="582">
        <f>'App.2-B1_Depr Rates'!E28</f>
        <v>0.04</v>
      </c>
      <c r="F28" s="580">
        <f>VLOOKUP(C28,'[1]FA Continuity 2008'!$B$10:$M$45,3,$C$16:$C$48)</f>
        <v>1208333.8500000001</v>
      </c>
      <c r="G28" s="580">
        <f>VLOOKUP(C28,'[1]FA Continuity 2008'!$B$10:$M$45,4,$C$16:$C$48)</f>
        <v>131151.04000000001</v>
      </c>
      <c r="H28" s="580">
        <f>-VLOOKUP(C28,'[1]FA Continuity 2008'!$B$10:$M$45,5,$C$16:$C$48)</f>
        <v>0</v>
      </c>
      <c r="I28" s="27">
        <f t="shared" si="0"/>
        <v>1339484.8900000001</v>
      </c>
      <c r="J28" s="4"/>
      <c r="K28" s="580">
        <f>VLOOKUP(C28,'[1]FA Continuity 2008'!$B$10:$M$45,8,$C$16:$C$48)</f>
        <v>561149.97</v>
      </c>
      <c r="L28" s="580">
        <f>VLOOKUP(C28,'[1]FA Continuity 2008'!$B$10:$M$45,9,$C$16:$C$48)</f>
        <v>42146.9</v>
      </c>
      <c r="M28" s="580">
        <f>-VLOOKUP(C28,'[1]FA Continuity 2008'!$B$10:$M$45,10,$C$16:$C$48)</f>
        <v>0</v>
      </c>
      <c r="N28" s="27">
        <f t="shared" si="1"/>
        <v>603296.87</v>
      </c>
      <c r="O28" s="28">
        <f t="shared" si="2"/>
        <v>736188.02000000014</v>
      </c>
    </row>
    <row r="29" spans="2:15" x14ac:dyDescent="0.2">
      <c r="B29" s="7" t="s">
        <v>535</v>
      </c>
      <c r="C29" s="7">
        <v>1905</v>
      </c>
      <c r="D29" s="2" t="s">
        <v>536</v>
      </c>
      <c r="E29" s="582">
        <f>VLOOKUP(C29,'App.2-B1_Depr Rates'!$C$16:$E$51,3,$C$16:$C$51)</f>
        <v>0</v>
      </c>
      <c r="F29" s="580">
        <f>VLOOKUP(C29,'[1]FA Continuity 2008'!$B$10:$M$45,3,$C$16:$C$48)</f>
        <v>171765.02</v>
      </c>
      <c r="G29" s="580">
        <f>VLOOKUP(C29,'[1]FA Continuity 2008'!$B$10:$M$45,4,$C$16:$C$48)</f>
        <v>0</v>
      </c>
      <c r="H29" s="580">
        <f>-VLOOKUP(C29,'[1]FA Continuity 2008'!$B$10:$M$45,5,$C$16:$C$48)</f>
        <v>0</v>
      </c>
      <c r="I29" s="27">
        <f t="shared" si="0"/>
        <v>171765.02</v>
      </c>
      <c r="J29" s="4"/>
      <c r="K29" s="580">
        <f>VLOOKUP(C29,'[1]FA Continuity 2008'!$B$10:$M$45,8,$C$16:$C$48)</f>
        <v>0</v>
      </c>
      <c r="L29" s="580">
        <f>VLOOKUP(C29,'[1]FA Continuity 2008'!$B$10:$M$45,9,$C$16:$C$48)</f>
        <v>0</v>
      </c>
      <c r="M29" s="580">
        <f>-VLOOKUP(C29,'[1]FA Continuity 2008'!$B$10:$M$45,10,$C$16:$C$48)</f>
        <v>0</v>
      </c>
      <c r="N29" s="27">
        <f t="shared" si="1"/>
        <v>0</v>
      </c>
      <c r="O29" s="28">
        <f t="shared" si="2"/>
        <v>171765.02</v>
      </c>
    </row>
    <row r="30" spans="2:15" x14ac:dyDescent="0.2">
      <c r="B30" s="7" t="s">
        <v>544</v>
      </c>
      <c r="C30" s="7">
        <v>1906</v>
      </c>
      <c r="D30" s="2" t="s">
        <v>545</v>
      </c>
      <c r="E30" s="582">
        <f>VLOOKUP(C30,'App.2-B1_Depr Rates'!$C$16:$E$51,3,$C$16:$C$51)</f>
        <v>0.02</v>
      </c>
      <c r="F30" s="580">
        <f>VLOOKUP(C30,'[1]FA Continuity 2008'!$B$10:$M$45,3,$C$16:$C$48)</f>
        <v>2544.73</v>
      </c>
      <c r="G30" s="580">
        <f>VLOOKUP(C30,'[1]FA Continuity 2008'!$B$10:$M$45,4,$C$16:$C$48)</f>
        <v>400</v>
      </c>
      <c r="H30" s="580">
        <f>-VLOOKUP(C30,'[1]FA Continuity 2008'!$B$10:$M$45,5,$C$16:$C$48)</f>
        <v>0</v>
      </c>
      <c r="I30" s="27">
        <f t="shared" si="0"/>
        <v>2944.73</v>
      </c>
      <c r="J30" s="4"/>
      <c r="K30" s="580">
        <f>VLOOKUP(C30,'[1]FA Continuity 2008'!$B$10:$M$45,8,$C$16:$C$48)</f>
        <v>2724.73</v>
      </c>
      <c r="L30" s="580">
        <f>VLOOKUP(C30,'[1]FA Continuity 2008'!$B$10:$M$45,9,$C$16:$C$48)</f>
        <v>0</v>
      </c>
      <c r="M30" s="580">
        <f>-VLOOKUP(C30,'[1]FA Continuity 2008'!$B$10:$M$45,10,$C$16:$C$48)</f>
        <v>0</v>
      </c>
      <c r="N30" s="27">
        <f t="shared" si="1"/>
        <v>2724.73</v>
      </c>
      <c r="O30" s="28">
        <f t="shared" si="2"/>
        <v>220</v>
      </c>
    </row>
    <row r="31" spans="2:15" x14ac:dyDescent="0.2">
      <c r="B31" s="7">
        <v>47</v>
      </c>
      <c r="C31" s="7">
        <v>1908</v>
      </c>
      <c r="D31" s="2" t="s">
        <v>546</v>
      </c>
      <c r="E31" s="582">
        <f>VLOOKUP(C31,'App.2-B1_Depr Rates'!$C$16:$E$51,3,$C$16:$C$51)</f>
        <v>0.1</v>
      </c>
      <c r="F31" s="580">
        <f>VLOOKUP(C31,'[1]FA Continuity 2008'!$B$10:$M$45,3,$C$16:$C$48)</f>
        <v>849028.11</v>
      </c>
      <c r="G31" s="580">
        <f>VLOOKUP(C31,'[1]FA Continuity 2008'!$B$10:$M$45,4,$C$16:$C$48)</f>
        <v>11500</v>
      </c>
      <c r="H31" s="580">
        <f>-VLOOKUP(C31,'[1]FA Continuity 2008'!$B$10:$M$45,5,$C$16:$C$48)</f>
        <v>0</v>
      </c>
      <c r="I31" s="27">
        <f t="shared" si="0"/>
        <v>860528.11</v>
      </c>
      <c r="J31" s="4"/>
      <c r="K31" s="580">
        <f>VLOOKUP(C31,'[1]FA Continuity 2008'!$B$10:$M$45,8,$C$16:$C$48)</f>
        <v>364493.06</v>
      </c>
      <c r="L31" s="580">
        <f>VLOOKUP(C31,'[1]FA Continuity 2008'!$B$10:$M$45,9,$C$16:$C$48)</f>
        <v>18287.68</v>
      </c>
      <c r="M31" s="580">
        <f>-VLOOKUP(C31,'[1]FA Continuity 2008'!$B$10:$M$45,10,$C$16:$C$48)</f>
        <v>0</v>
      </c>
      <c r="N31" s="27">
        <f t="shared" si="1"/>
        <v>382780.74</v>
      </c>
      <c r="O31" s="28">
        <f t="shared" si="2"/>
        <v>477747.37</v>
      </c>
    </row>
    <row r="32" spans="2:15" x14ac:dyDescent="0.2">
      <c r="B32" s="7">
        <v>13</v>
      </c>
      <c r="C32" s="7">
        <v>1910</v>
      </c>
      <c r="D32" s="2" t="s">
        <v>579</v>
      </c>
      <c r="E32" s="582"/>
      <c r="F32" s="580">
        <f>VLOOKUP(C32,'[1]FA Continuity 2008'!$B$10:$M$45,3,$C$16:$C$48)</f>
        <v>0</v>
      </c>
      <c r="G32" s="580">
        <f>VLOOKUP(C32,'[1]FA Continuity 2008'!$B$10:$M$45,4,$C$16:$C$48)</f>
        <v>0</v>
      </c>
      <c r="H32" s="580">
        <f>-VLOOKUP(C32,'[1]FA Continuity 2008'!$B$10:$M$45,5,$C$16:$C$48)</f>
        <v>0</v>
      </c>
      <c r="I32" s="27">
        <f t="shared" si="0"/>
        <v>0</v>
      </c>
      <c r="J32" s="4"/>
      <c r="K32" s="580">
        <f>VLOOKUP(C32,'[1]FA Continuity 2008'!$B$10:$M$45,8,$C$16:$C$48)</f>
        <v>0</v>
      </c>
      <c r="L32" s="580">
        <f>VLOOKUP(C32,'[1]FA Continuity 2008'!$B$10:$M$45,9,$C$16:$C$48)</f>
        <v>0</v>
      </c>
      <c r="M32" s="580">
        <f>-VLOOKUP(C32,'[1]FA Continuity 2008'!$B$10:$M$45,10,$C$16:$C$48)</f>
        <v>0</v>
      </c>
      <c r="N32" s="27">
        <f t="shared" si="1"/>
        <v>0</v>
      </c>
      <c r="O32" s="28">
        <f t="shared" si="2"/>
        <v>0</v>
      </c>
    </row>
    <row r="33" spans="2:15" x14ac:dyDescent="0.2">
      <c r="B33" s="7">
        <v>8</v>
      </c>
      <c r="C33" s="7">
        <v>1915</v>
      </c>
      <c r="D33" s="2" t="s">
        <v>750</v>
      </c>
      <c r="E33" s="582">
        <f>E31</f>
        <v>0.1</v>
      </c>
      <c r="F33" s="580">
        <f>VLOOKUP(C33,'[1]FA Continuity 2008'!$B$10:$M$45,3,$C$16:$C$48)</f>
        <v>214967.34</v>
      </c>
      <c r="G33" s="580">
        <f>VLOOKUP(C33,'[1]FA Continuity 2008'!$B$10:$M$45,4,$C$16:$C$48)</f>
        <v>2025</v>
      </c>
      <c r="H33" s="580">
        <f>-VLOOKUP(C33,'[1]FA Continuity 2008'!$B$10:$M$45,5,$C$16:$C$48)</f>
        <v>0</v>
      </c>
      <c r="I33" s="27">
        <f t="shared" si="0"/>
        <v>216992.34</v>
      </c>
      <c r="J33" s="4"/>
      <c r="K33" s="580">
        <f>VLOOKUP(C33,'[1]FA Continuity 2008'!$B$10:$M$45,8,$C$16:$C$48)</f>
        <v>171712.06</v>
      </c>
      <c r="L33" s="580">
        <f>VLOOKUP(C33,'[1]FA Continuity 2008'!$B$10:$M$45,9,$C$16:$C$48)</f>
        <v>7545.88</v>
      </c>
      <c r="M33" s="580">
        <f>-VLOOKUP(C33,'[1]FA Continuity 2008'!$B$10:$M$45,10,$C$16:$C$48)</f>
        <v>0</v>
      </c>
      <c r="N33" s="27">
        <f t="shared" si="1"/>
        <v>179257.94</v>
      </c>
      <c r="O33" s="28">
        <f t="shared" si="2"/>
        <v>37734.399999999994</v>
      </c>
    </row>
    <row r="34" spans="2:15" x14ac:dyDescent="0.2">
      <c r="B34" s="7">
        <v>45</v>
      </c>
      <c r="C34" s="457">
        <v>1920</v>
      </c>
      <c r="D34" s="583" t="s">
        <v>756</v>
      </c>
      <c r="E34" s="582">
        <f>VLOOKUP(C34,'App.2-B1_Depr Rates'!$C$16:$E$51,3,$C$16:$C$51)</f>
        <v>0.2</v>
      </c>
      <c r="F34" s="580">
        <f>VLOOKUP(C34,'[1]FA Continuity 2008'!$B$10:$M$45,3,$C$16:$C$48)</f>
        <v>328598.34000000003</v>
      </c>
      <c r="G34" s="580">
        <f>VLOOKUP(C34,'[1]FA Continuity 2008'!$B$10:$M$45,4,$C$16:$C$48)</f>
        <v>17819.439999999999</v>
      </c>
      <c r="H34" s="580">
        <f>-VLOOKUP(C34,'[1]FA Continuity 2008'!$B$10:$M$45,5,$C$16:$C$48)</f>
        <v>0</v>
      </c>
      <c r="I34" s="27">
        <f t="shared" si="0"/>
        <v>346417.78</v>
      </c>
      <c r="J34" s="4"/>
      <c r="K34" s="580">
        <f>VLOOKUP(C34,'[1]FA Continuity 2008'!$B$10:$M$45,8,$C$16:$C$48)</f>
        <v>254432.93</v>
      </c>
      <c r="L34" s="580">
        <f>VLOOKUP(C34,'[1]FA Continuity 2008'!$B$10:$M$45,9,$C$16:$C$48)</f>
        <v>31341.73</v>
      </c>
      <c r="M34" s="580">
        <f>-VLOOKUP(C34,'[1]FA Continuity 2008'!$B$10:$M$45,10,$C$16:$C$48)</f>
        <v>0</v>
      </c>
      <c r="N34" s="27">
        <f t="shared" si="1"/>
        <v>285774.65999999997</v>
      </c>
      <c r="O34" s="28">
        <f t="shared" si="2"/>
        <v>60643.120000000054</v>
      </c>
    </row>
    <row r="35" spans="2:15" x14ac:dyDescent="0.2">
      <c r="B35" s="7">
        <v>12</v>
      </c>
      <c r="C35" s="7">
        <v>1925</v>
      </c>
      <c r="D35" s="2" t="s">
        <v>563</v>
      </c>
      <c r="E35" s="582">
        <f>VLOOKUP(C35,'App.2-B1_Depr Rates'!$C$16:$E$51,3,$C$16:$C$51)</f>
        <v>0.2</v>
      </c>
      <c r="F35" s="580">
        <f>VLOOKUP(C35,'[1]FA Continuity 2008'!$B$10:$M$45,3,$C$16:$C$48)</f>
        <v>143391.12</v>
      </c>
      <c r="G35" s="580">
        <f>VLOOKUP(C35,'[1]FA Continuity 2008'!$B$10:$M$45,4,$C$16:$C$48)</f>
        <v>90053.98</v>
      </c>
      <c r="H35" s="580">
        <f>-VLOOKUP(C35,'[1]FA Continuity 2008'!$B$10:$M$45,5,$C$16:$C$48)</f>
        <v>0</v>
      </c>
      <c r="I35" s="27">
        <f t="shared" si="0"/>
        <v>233445.09999999998</v>
      </c>
      <c r="J35" s="4"/>
      <c r="K35" s="580">
        <f>VLOOKUP(C35,'[1]FA Continuity 2008'!$B$10:$M$45,8,$C$16:$C$48)</f>
        <v>53865.49</v>
      </c>
      <c r="L35" s="580">
        <f>VLOOKUP(C35,'[1]FA Continuity 2008'!$B$10:$M$45,9,$C$16:$C$48)</f>
        <v>24997.06</v>
      </c>
      <c r="M35" s="580">
        <f>-VLOOKUP(C35,'[1]FA Continuity 2008'!$B$10:$M$45,10,$C$16:$C$48)</f>
        <v>0</v>
      </c>
      <c r="N35" s="27">
        <f t="shared" si="1"/>
        <v>78862.55</v>
      </c>
      <c r="O35" s="28">
        <f t="shared" si="2"/>
        <v>154582.54999999999</v>
      </c>
    </row>
    <row r="36" spans="2:15" x14ac:dyDescent="0.2">
      <c r="B36" s="7">
        <v>10</v>
      </c>
      <c r="C36" s="7">
        <v>1930</v>
      </c>
      <c r="D36" s="2" t="s">
        <v>564</v>
      </c>
      <c r="E36" s="582">
        <f>VLOOKUP(C36,'App.2-B1_Depr Rates'!$C$16:$E$51,3,$C$16:$C$51)</f>
        <v>0.125</v>
      </c>
      <c r="F36" s="580">
        <f>VLOOKUP(C36,'[1]FA Continuity 2008'!$B$10:$M$45,3,$C$16:$C$48)</f>
        <v>1735619.22</v>
      </c>
      <c r="G36" s="580">
        <f>VLOOKUP(C36,'[1]FA Continuity 2008'!$B$10:$M$45,4,$C$16:$C$48)</f>
        <v>63307.14</v>
      </c>
      <c r="H36" s="580">
        <f>-VLOOKUP(C36,'[1]FA Continuity 2008'!$B$10:$M$45,5,$C$16:$C$48)</f>
        <v>0</v>
      </c>
      <c r="I36" s="27">
        <f t="shared" si="0"/>
        <v>1798926.3599999999</v>
      </c>
      <c r="J36" s="4"/>
      <c r="K36" s="580">
        <f>VLOOKUP(C36,'[1]FA Continuity 2008'!$B$10:$M$45,8,$C$16:$C$48)</f>
        <v>1213096.6900000002</v>
      </c>
      <c r="L36" s="580">
        <f>VLOOKUP(C36,'[1]FA Continuity 2008'!$B$10:$M$45,9,$C$16:$C$48)</f>
        <v>92313.54</v>
      </c>
      <c r="M36" s="580">
        <f>-VLOOKUP(C36,'[1]FA Continuity 2008'!$B$10:$M$45,10,$C$16:$C$48)</f>
        <v>0</v>
      </c>
      <c r="N36" s="27">
        <f t="shared" si="1"/>
        <v>1305410.2300000002</v>
      </c>
      <c r="O36" s="28">
        <f t="shared" si="2"/>
        <v>493516.12999999966</v>
      </c>
    </row>
    <row r="37" spans="2:15" x14ac:dyDescent="0.2">
      <c r="B37" s="7">
        <v>8</v>
      </c>
      <c r="C37" s="7">
        <v>1935</v>
      </c>
      <c r="D37" s="2" t="s">
        <v>565</v>
      </c>
      <c r="E37" s="582"/>
      <c r="F37" s="580">
        <f>VLOOKUP(C37,'[1]FA Continuity 2008'!$B$10:$M$45,3,$C$16:$C$48)</f>
        <v>0</v>
      </c>
      <c r="G37" s="580">
        <f>VLOOKUP(C37,'[1]FA Continuity 2008'!$B$10:$M$45,4,$C$16:$C$48)</f>
        <v>0</v>
      </c>
      <c r="H37" s="580">
        <f>-VLOOKUP(C37,'[1]FA Continuity 2008'!$B$10:$M$45,5,$C$16:$C$48)</f>
        <v>0</v>
      </c>
      <c r="I37" s="27">
        <f t="shared" si="0"/>
        <v>0</v>
      </c>
      <c r="J37" s="4"/>
      <c r="K37" s="580">
        <f>VLOOKUP(C37,'[1]FA Continuity 2008'!$B$10:$M$45,8,$C$16:$C$48)</f>
        <v>0</v>
      </c>
      <c r="L37" s="580">
        <f>VLOOKUP(C37,'[1]FA Continuity 2008'!$B$10:$M$45,9,$C$16:$C$48)</f>
        <v>0</v>
      </c>
      <c r="M37" s="580">
        <f>-VLOOKUP(C37,'[1]FA Continuity 2008'!$B$10:$M$45,10,$C$16:$C$48)</f>
        <v>0</v>
      </c>
      <c r="N37" s="27">
        <f t="shared" si="1"/>
        <v>0</v>
      </c>
      <c r="O37" s="28">
        <f t="shared" si="2"/>
        <v>0</v>
      </c>
    </row>
    <row r="38" spans="2:15" x14ac:dyDescent="0.2">
      <c r="B38" s="7">
        <v>8</v>
      </c>
      <c r="C38" s="7">
        <v>1940</v>
      </c>
      <c r="D38" s="2" t="s">
        <v>566</v>
      </c>
      <c r="E38" s="582">
        <f>VLOOKUP(C38,'App.2-B1_Depr Rates'!$C$16:$E$51,3,$C$16:$C$51)</f>
        <v>0.1</v>
      </c>
      <c r="F38" s="580">
        <f>VLOOKUP(C38,'[1]FA Continuity 2008'!$B$10:$M$45,3,$C$16:$C$48)</f>
        <v>316333.32</v>
      </c>
      <c r="G38" s="580">
        <f>VLOOKUP(C38,'[1]FA Continuity 2008'!$B$10:$M$45,4,$C$16:$C$48)</f>
        <v>39334.71</v>
      </c>
      <c r="H38" s="580">
        <f>-VLOOKUP(C38,'[1]FA Continuity 2008'!$B$10:$M$45,5,$C$16:$C$48)</f>
        <v>0</v>
      </c>
      <c r="I38" s="27">
        <f t="shared" si="0"/>
        <v>355668.03</v>
      </c>
      <c r="J38" s="4"/>
      <c r="K38" s="580">
        <f>VLOOKUP(C38,'[1]FA Continuity 2008'!$B$10:$M$45,8,$C$16:$C$48)</f>
        <v>258841.93</v>
      </c>
      <c r="L38" s="580">
        <f>VLOOKUP(C38,'[1]FA Continuity 2008'!$B$10:$M$45,9,$C$16:$C$48)</f>
        <v>10000.5</v>
      </c>
      <c r="M38" s="580">
        <f>-VLOOKUP(C38,'[1]FA Continuity 2008'!$B$10:$M$45,10,$C$16:$C$48)</f>
        <v>0</v>
      </c>
      <c r="N38" s="27">
        <f t="shared" si="1"/>
        <v>268842.43</v>
      </c>
      <c r="O38" s="28">
        <f t="shared" si="2"/>
        <v>86825.600000000035</v>
      </c>
    </row>
    <row r="39" spans="2:15" x14ac:dyDescent="0.2">
      <c r="B39" s="7">
        <v>8</v>
      </c>
      <c r="C39" s="7">
        <v>1945</v>
      </c>
      <c r="D39" s="2" t="s">
        <v>567</v>
      </c>
      <c r="E39" s="582"/>
      <c r="F39" s="580">
        <f>VLOOKUP(C39,'[1]FA Continuity 2008'!$B$10:$M$45,3,$C$16:$C$48)</f>
        <v>0</v>
      </c>
      <c r="G39" s="580">
        <f>VLOOKUP(C39,'[1]FA Continuity 2008'!$B$10:$M$45,4,$C$16:$C$48)</f>
        <v>0</v>
      </c>
      <c r="H39" s="580">
        <f>-VLOOKUP(C39,'[1]FA Continuity 2008'!$B$10:$M$45,5,$C$16:$C$48)</f>
        <v>0</v>
      </c>
      <c r="I39" s="27">
        <f t="shared" si="0"/>
        <v>0</v>
      </c>
      <c r="J39" s="4"/>
      <c r="K39" s="580">
        <f>VLOOKUP(C39,'[1]FA Continuity 2008'!$B$10:$M$45,8,$C$16:$C$48)</f>
        <v>0</v>
      </c>
      <c r="L39" s="580">
        <f>VLOOKUP(C39,'[1]FA Continuity 2008'!$B$10:$M$45,9,$C$16:$C$48)</f>
        <v>0</v>
      </c>
      <c r="M39" s="580">
        <f>-VLOOKUP(C39,'[1]FA Continuity 2008'!$B$10:$M$45,10,$C$16:$C$48)</f>
        <v>0</v>
      </c>
      <c r="N39" s="27">
        <f t="shared" si="1"/>
        <v>0</v>
      </c>
      <c r="O39" s="28">
        <f t="shared" si="2"/>
        <v>0</v>
      </c>
    </row>
    <row r="40" spans="2:15" x14ac:dyDescent="0.2">
      <c r="B40" s="7">
        <v>8</v>
      </c>
      <c r="C40" s="7">
        <v>1950</v>
      </c>
      <c r="D40" s="2" t="s">
        <v>473</v>
      </c>
      <c r="E40" s="582"/>
      <c r="F40" s="580">
        <f>VLOOKUP(C40,'[1]FA Continuity 2008'!$B$10:$M$45,3,$C$16:$C$48)</f>
        <v>0</v>
      </c>
      <c r="G40" s="580">
        <f>VLOOKUP(C40,'[1]FA Continuity 2008'!$B$10:$M$45,4,$C$16:$C$48)</f>
        <v>0</v>
      </c>
      <c r="H40" s="580">
        <f>-VLOOKUP(C40,'[1]FA Continuity 2008'!$B$10:$M$45,5,$C$16:$C$48)</f>
        <v>0</v>
      </c>
      <c r="I40" s="27">
        <f t="shared" si="0"/>
        <v>0</v>
      </c>
      <c r="J40" s="4"/>
      <c r="K40" s="580">
        <f>VLOOKUP(C40,'[1]FA Continuity 2008'!$B$10:$M$45,8,$C$16:$C$48)</f>
        <v>0</v>
      </c>
      <c r="L40" s="580">
        <f>VLOOKUP(C40,'[1]FA Continuity 2008'!$B$10:$M$45,9,$C$16:$C$48)</f>
        <v>0</v>
      </c>
      <c r="M40" s="580">
        <f>-VLOOKUP(C40,'[1]FA Continuity 2008'!$B$10:$M$45,10,$C$16:$C$48)</f>
        <v>0</v>
      </c>
      <c r="N40" s="27">
        <f t="shared" si="1"/>
        <v>0</v>
      </c>
      <c r="O40" s="28">
        <f t="shared" si="2"/>
        <v>0</v>
      </c>
    </row>
    <row r="41" spans="2:15" x14ac:dyDescent="0.2">
      <c r="B41" s="7">
        <v>8</v>
      </c>
      <c r="C41" s="7">
        <v>1955</v>
      </c>
      <c r="D41" s="2" t="s">
        <v>568</v>
      </c>
      <c r="E41" s="582">
        <f>'App.2-B1_Depr Rates'!E45</f>
        <v>0.1</v>
      </c>
      <c r="F41" s="580">
        <f>VLOOKUP(C41,'[1]FA Continuity 2008'!$B$10:$M$45,3,$C$16:$C$48)</f>
        <v>24604</v>
      </c>
      <c r="G41" s="580">
        <f>VLOOKUP(C41,'[1]FA Continuity 2008'!$B$10:$M$45,4,$C$16:$C$48)</f>
        <v>0</v>
      </c>
      <c r="H41" s="580">
        <f>-VLOOKUP(C41,'[1]FA Continuity 2008'!$B$10:$M$45,5,$C$16:$C$48)</f>
        <v>0</v>
      </c>
      <c r="I41" s="27">
        <f t="shared" si="0"/>
        <v>24604</v>
      </c>
      <c r="J41" s="4"/>
      <c r="K41" s="580">
        <f>VLOOKUP(C41,'[1]FA Continuity 2008'!$B$10:$M$45,8,$C$16:$C$48)</f>
        <v>15927.97</v>
      </c>
      <c r="L41" s="580">
        <f>VLOOKUP(C41,'[1]FA Continuity 2008'!$B$10:$M$45,9,$C$16:$C$48)</f>
        <v>1645.84</v>
      </c>
      <c r="M41" s="580">
        <f>-VLOOKUP(C41,'[1]FA Continuity 2008'!$B$10:$M$45,10,$C$16:$C$48)</f>
        <v>0</v>
      </c>
      <c r="N41" s="27">
        <f t="shared" si="1"/>
        <v>17573.809999999998</v>
      </c>
      <c r="O41" s="28">
        <f t="shared" si="2"/>
        <v>7030.1900000000023</v>
      </c>
    </row>
    <row r="42" spans="2:15" x14ac:dyDescent="0.2">
      <c r="B42" s="457">
        <v>8</v>
      </c>
      <c r="C42" s="457">
        <v>1960</v>
      </c>
      <c r="D42" s="456" t="s">
        <v>475</v>
      </c>
      <c r="E42" s="582"/>
      <c r="F42" s="580">
        <f>VLOOKUP(C42,'[1]FA Continuity 2008'!$B$10:$M$45,3,$C$16:$C$48)</f>
        <v>0</v>
      </c>
      <c r="G42" s="580">
        <f>VLOOKUP(C42,'[1]FA Continuity 2008'!$B$10:$M$45,4,$C$16:$C$48)</f>
        <v>0</v>
      </c>
      <c r="H42" s="580">
        <f>-VLOOKUP(C42,'[1]FA Continuity 2008'!$B$10:$M$45,5,$C$16:$C$48)</f>
        <v>0</v>
      </c>
      <c r="I42" s="27">
        <f t="shared" si="0"/>
        <v>0</v>
      </c>
      <c r="J42" s="4"/>
      <c r="K42" s="580">
        <f>VLOOKUP(C42,'[1]FA Continuity 2008'!$B$10:$M$45,8,$C$16:$C$48)</f>
        <v>0</v>
      </c>
      <c r="L42" s="580">
        <f>VLOOKUP(C42,'[1]FA Continuity 2008'!$B$10:$M$45,9,$C$16:$C$48)</f>
        <v>0</v>
      </c>
      <c r="M42" s="580">
        <f>-VLOOKUP(C42,'[1]FA Continuity 2008'!$B$10:$M$45,10,$C$16:$C$48)</f>
        <v>0</v>
      </c>
      <c r="N42" s="27">
        <f t="shared" si="1"/>
        <v>0</v>
      </c>
      <c r="O42" s="28">
        <f t="shared" si="2"/>
        <v>0</v>
      </c>
    </row>
    <row r="43" spans="2:15" x14ac:dyDescent="0.2">
      <c r="B43" s="7">
        <v>47</v>
      </c>
      <c r="C43" s="7">
        <v>1975</v>
      </c>
      <c r="D43" s="2" t="s">
        <v>569</v>
      </c>
      <c r="E43" s="582"/>
      <c r="F43" s="580">
        <f>VLOOKUP(C43,'[1]FA Continuity 2008'!$B$10:$M$45,3,$C$16:$C$48)</f>
        <v>0</v>
      </c>
      <c r="G43" s="580">
        <f>VLOOKUP(C43,'[1]FA Continuity 2008'!$B$10:$M$45,4,$C$16:$C$48)</f>
        <v>0</v>
      </c>
      <c r="H43" s="580">
        <f>-VLOOKUP(C43,'[1]FA Continuity 2008'!$B$10:$M$45,5,$C$16:$C$48)</f>
        <v>0</v>
      </c>
      <c r="I43" s="27">
        <f t="shared" si="0"/>
        <v>0</v>
      </c>
      <c r="J43" s="4"/>
      <c r="K43" s="580">
        <f>VLOOKUP(C43,'[1]FA Continuity 2008'!$B$10:$M$45,8,$C$16:$C$48)</f>
        <v>0</v>
      </c>
      <c r="L43" s="580">
        <f>VLOOKUP(C43,'[1]FA Continuity 2008'!$B$10:$M$45,9,$C$16:$C$48)</f>
        <v>0</v>
      </c>
      <c r="M43" s="580">
        <f>-VLOOKUP(C43,'[1]FA Continuity 2008'!$B$10:$M$45,10,$C$16:$C$48)</f>
        <v>0</v>
      </c>
      <c r="N43" s="27">
        <f t="shared" si="1"/>
        <v>0</v>
      </c>
      <c r="O43" s="28">
        <f t="shared" si="2"/>
        <v>0</v>
      </c>
    </row>
    <row r="44" spans="2:15" x14ac:dyDescent="0.2">
      <c r="B44" s="7">
        <v>47</v>
      </c>
      <c r="C44" s="7">
        <v>1980</v>
      </c>
      <c r="D44" s="2" t="s">
        <v>570</v>
      </c>
      <c r="E44" s="582"/>
      <c r="F44" s="580">
        <f>VLOOKUP(C44,'[1]FA Continuity 2008'!$B$10:$M$45,3,$C$16:$C$48)</f>
        <v>0</v>
      </c>
      <c r="G44" s="580">
        <f>VLOOKUP(C44,'[1]FA Continuity 2008'!$B$10:$M$45,4,$C$16:$C$48)</f>
        <v>0</v>
      </c>
      <c r="H44" s="580">
        <f>-VLOOKUP(C44,'[1]FA Continuity 2008'!$B$10:$M$45,5,$C$16:$C$48)</f>
        <v>0</v>
      </c>
      <c r="I44" s="27">
        <f t="shared" si="0"/>
        <v>0</v>
      </c>
      <c r="J44" s="4"/>
      <c r="K44" s="580">
        <f>VLOOKUP(C44,'[1]FA Continuity 2008'!$B$10:$M$45,8,$C$16:$C$48)</f>
        <v>0</v>
      </c>
      <c r="L44" s="580">
        <f>VLOOKUP(C44,'[1]FA Continuity 2008'!$B$10:$M$45,9,$C$16:$C$48)</f>
        <v>0</v>
      </c>
      <c r="M44" s="580">
        <f>-VLOOKUP(C44,'[1]FA Continuity 2008'!$B$10:$M$45,10,$C$16:$C$48)</f>
        <v>0</v>
      </c>
      <c r="N44" s="27">
        <f t="shared" si="1"/>
        <v>0</v>
      </c>
      <c r="O44" s="28">
        <f t="shared" si="2"/>
        <v>0</v>
      </c>
    </row>
    <row r="45" spans="2:15" x14ac:dyDescent="0.2">
      <c r="B45" s="7">
        <v>47</v>
      </c>
      <c r="C45" s="7">
        <v>1985</v>
      </c>
      <c r="D45" s="2" t="s">
        <v>571</v>
      </c>
      <c r="E45" s="582">
        <f>VLOOKUP(C45,'App.2-B1_Depr Rates'!$C$16:$E$51,3,$C$16:$C$51)</f>
        <v>0.1</v>
      </c>
      <c r="F45" s="580">
        <f>VLOOKUP(C45,'[1]FA Continuity 2008'!$B$10:$M$45,3,$C$16:$C$48)</f>
        <v>0</v>
      </c>
      <c r="G45" s="580">
        <f>VLOOKUP(C45,'[1]FA Continuity 2008'!$B$10:$M$45,4,$C$16:$C$48)</f>
        <v>0</v>
      </c>
      <c r="H45" s="580">
        <f>-VLOOKUP(C45,'[1]FA Continuity 2008'!$B$10:$M$45,5,$C$16:$C$48)</f>
        <v>0</v>
      </c>
      <c r="I45" s="27">
        <f t="shared" si="0"/>
        <v>0</v>
      </c>
      <c r="J45" s="4"/>
      <c r="K45" s="580">
        <f>VLOOKUP(C45,'[1]FA Continuity 2008'!$B$10:$M$45,8,$C$16:$C$48)</f>
        <v>0</v>
      </c>
      <c r="L45" s="580">
        <f>VLOOKUP(C45,'[1]FA Continuity 2008'!$B$10:$M$45,9,$C$16:$C$48)</f>
        <v>0</v>
      </c>
      <c r="M45" s="580">
        <f>-VLOOKUP(C45,'[1]FA Continuity 2008'!$B$10:$M$45,10,$C$16:$C$48)</f>
        <v>0</v>
      </c>
      <c r="N45" s="27">
        <f t="shared" si="1"/>
        <v>0</v>
      </c>
      <c r="O45" s="28">
        <f t="shared" si="2"/>
        <v>0</v>
      </c>
    </row>
    <row r="46" spans="2:15" x14ac:dyDescent="0.2">
      <c r="B46" s="7">
        <v>47</v>
      </c>
      <c r="C46" s="7">
        <v>1995</v>
      </c>
      <c r="D46" s="2" t="s">
        <v>572</v>
      </c>
      <c r="E46" s="582">
        <f>VLOOKUP(C46,'App.2-B1_Depr Rates'!$C$16:$E$51,3,$C$16:$C$51)</f>
        <v>0.04</v>
      </c>
      <c r="F46" s="580">
        <f>VLOOKUP(C46,'[1]FA Continuity 2008'!$B$10:$M$45,3,$C$16:$C$48)</f>
        <v>-3319944.31</v>
      </c>
      <c r="G46" s="580">
        <f>VLOOKUP(C46,'[1]FA Continuity 2008'!$B$10:$M$45,4,$C$16:$C$48)</f>
        <v>-135687.1</v>
      </c>
      <c r="H46" s="580">
        <f>-VLOOKUP(C46,'[1]FA Continuity 2008'!$B$10:$M$45,5,$C$16:$C$48)</f>
        <v>0</v>
      </c>
      <c r="I46" s="27">
        <f t="shared" si="0"/>
        <v>-3455631.41</v>
      </c>
      <c r="J46" s="4"/>
      <c r="K46" s="580">
        <f>VLOOKUP(C46,'[1]FA Continuity 2008'!$B$10:$M$45,8,$C$16:$C$48)</f>
        <v>-482853.7</v>
      </c>
      <c r="L46" s="580">
        <f>VLOOKUP(C46,'[1]FA Continuity 2008'!$B$10:$M$45,9,$C$16:$C$48)</f>
        <v>-137153.79</v>
      </c>
      <c r="M46" s="580">
        <f>-VLOOKUP(C46,'[1]FA Continuity 2008'!$B$10:$M$45,10,$C$16:$C$48)</f>
        <v>0</v>
      </c>
      <c r="N46" s="27">
        <f t="shared" si="1"/>
        <v>-620007.49</v>
      </c>
      <c r="O46" s="28">
        <f t="shared" si="2"/>
        <v>-2835623.92</v>
      </c>
    </row>
    <row r="47" spans="2:15" x14ac:dyDescent="0.2">
      <c r="B47" s="7"/>
      <c r="C47" s="7" t="s">
        <v>636</v>
      </c>
      <c r="D47" s="2"/>
      <c r="E47" s="473"/>
      <c r="F47" s="580"/>
      <c r="G47" s="580"/>
      <c r="H47" s="580"/>
      <c r="I47" s="27">
        <f t="shared" si="0"/>
        <v>0</v>
      </c>
      <c r="K47" s="580"/>
      <c r="L47" s="580"/>
      <c r="M47" s="580"/>
      <c r="N47" s="27">
        <f t="shared" si="1"/>
        <v>0</v>
      </c>
      <c r="O47" s="28">
        <f t="shared" si="2"/>
        <v>0</v>
      </c>
    </row>
    <row r="48" spans="2:15" x14ac:dyDescent="0.2">
      <c r="B48" s="7"/>
      <c r="C48" s="7"/>
      <c r="D48" s="2"/>
      <c r="E48" s="473"/>
      <c r="F48" s="580"/>
      <c r="G48" s="580"/>
      <c r="H48" s="580"/>
      <c r="I48" s="2"/>
      <c r="K48" s="580"/>
      <c r="L48" s="580"/>
      <c r="M48" s="580"/>
      <c r="N48" s="2"/>
      <c r="O48" s="28">
        <f t="shared" si="2"/>
        <v>0</v>
      </c>
    </row>
    <row r="49" spans="2:15" x14ac:dyDescent="0.2">
      <c r="B49" s="7"/>
      <c r="C49" s="7"/>
      <c r="D49" s="26" t="s">
        <v>573</v>
      </c>
      <c r="E49" s="26"/>
      <c r="F49" s="32">
        <f>SUM(F16:F47)</f>
        <v>20664914.32</v>
      </c>
      <c r="G49" s="32">
        <f>SUM(G16:G47)</f>
        <v>1197767.3599999996</v>
      </c>
      <c r="H49" s="32">
        <f>SUM(H16:H47)</f>
        <v>0</v>
      </c>
      <c r="I49" s="32">
        <f>SUM(I16:I47)</f>
        <v>21862681.680000003</v>
      </c>
      <c r="J49" s="33"/>
      <c r="K49" s="34">
        <f>SUM(K16:K47)</f>
        <v>12240266.440000001</v>
      </c>
      <c r="L49" s="34">
        <f>SUM(L16:L47)</f>
        <v>812117.11</v>
      </c>
      <c r="M49" s="34">
        <f>SUM(M16:M47)</f>
        <v>0</v>
      </c>
      <c r="N49" s="34">
        <f>SUM(N16:N47)</f>
        <v>13052383.550000001</v>
      </c>
      <c r="O49" s="34">
        <f>SUM(O16:O47)</f>
        <v>8810298.1299999952</v>
      </c>
    </row>
    <row r="51" spans="2:15" x14ac:dyDescent="0.2">
      <c r="E51" s="3"/>
      <c r="K51" s="5" t="s">
        <v>575</v>
      </c>
      <c r="L51" s="5"/>
    </row>
    <row r="52" spans="2:15" x14ac:dyDescent="0.2">
      <c r="B52" s="7">
        <v>10</v>
      </c>
      <c r="C52" s="7">
        <v>1935</v>
      </c>
      <c r="D52" s="2" t="s">
        <v>574</v>
      </c>
      <c r="E52" s="3"/>
      <c r="F52" s="581"/>
      <c r="K52" s="5" t="s">
        <v>574</v>
      </c>
      <c r="L52" s="5"/>
      <c r="M52" s="164">
        <f>'[1]FA Continuity 2008'!$J$52</f>
        <v>92313.54</v>
      </c>
    </row>
    <row r="53" spans="2:15" x14ac:dyDescent="0.2">
      <c r="B53" s="7">
        <v>10</v>
      </c>
      <c r="C53" s="7">
        <v>1955</v>
      </c>
      <c r="D53" s="2" t="s">
        <v>749</v>
      </c>
      <c r="K53" s="5" t="s">
        <v>749</v>
      </c>
      <c r="L53" s="5"/>
      <c r="M53" s="165">
        <f>'[1]FA Continuity 2008'!$J$53</f>
        <v>0</v>
      </c>
    </row>
    <row r="54" spans="2:15" x14ac:dyDescent="0.2">
      <c r="K54" s="6" t="s">
        <v>576</v>
      </c>
      <c r="M54" s="29">
        <f>L49-M52-M53</f>
        <v>719803.57</v>
      </c>
    </row>
    <row r="56" spans="2:15" ht="14.25" x14ac:dyDescent="0.2">
      <c r="B56" s="661" t="s">
        <v>176</v>
      </c>
      <c r="C56" s="662"/>
      <c r="D56" s="662"/>
      <c r="E56" s="662"/>
      <c r="F56" s="662"/>
    </row>
    <row r="58" spans="2:15" x14ac:dyDescent="0.2">
      <c r="B58" s="412" t="s">
        <v>639</v>
      </c>
    </row>
    <row r="60" spans="2:15" x14ac:dyDescent="0.2">
      <c r="B60" s="1">
        <v>1</v>
      </c>
      <c r="C60" s="660" t="s">
        <v>434</v>
      </c>
      <c r="D60" s="660"/>
      <c r="E60" s="660"/>
      <c r="F60" s="660"/>
      <c r="G60" s="660"/>
      <c r="H60" s="660"/>
      <c r="I60" s="660"/>
      <c r="J60" s="660"/>
      <c r="K60" s="660"/>
      <c r="L60" s="660"/>
      <c r="M60" s="660"/>
      <c r="N60" s="660"/>
      <c r="O60" s="660"/>
    </row>
    <row r="61" spans="2:15" x14ac:dyDescent="0.2">
      <c r="C61" s="660"/>
      <c r="D61" s="660"/>
      <c r="E61" s="660"/>
      <c r="F61" s="660"/>
      <c r="G61" s="660"/>
      <c r="H61" s="660"/>
      <c r="I61" s="660"/>
      <c r="J61" s="660"/>
      <c r="K61" s="660"/>
      <c r="L61" s="660"/>
      <c r="M61" s="660"/>
      <c r="N61" s="660"/>
      <c r="O61" s="660"/>
    </row>
    <row r="63" spans="2:15" ht="12.75" customHeight="1" x14ac:dyDescent="0.2"/>
    <row r="64" spans="2:15" x14ac:dyDescent="0.2">
      <c r="B64" s="1">
        <v>2</v>
      </c>
      <c r="C64" s="667" t="s">
        <v>99</v>
      </c>
      <c r="D64" s="667"/>
      <c r="E64" s="667"/>
      <c r="F64" s="667"/>
      <c r="G64" s="667"/>
      <c r="H64" s="667"/>
      <c r="I64" s="667"/>
      <c r="J64" s="667"/>
      <c r="K64" s="667"/>
      <c r="L64" s="667"/>
      <c r="M64" s="667"/>
      <c r="N64" s="667"/>
      <c r="O64" s="667"/>
    </row>
    <row r="65" spans="2:15" x14ac:dyDescent="0.2">
      <c r="C65" s="667"/>
      <c r="D65" s="667"/>
      <c r="E65" s="667"/>
      <c r="F65" s="667"/>
      <c r="G65" s="667"/>
      <c r="H65" s="667"/>
      <c r="I65" s="667"/>
      <c r="J65" s="667"/>
      <c r="K65" s="667"/>
      <c r="L65" s="667"/>
      <c r="M65" s="667"/>
      <c r="N65" s="667"/>
      <c r="O65" s="667"/>
    </row>
    <row r="67" spans="2:15" x14ac:dyDescent="0.2">
      <c r="B67" s="1">
        <v>3</v>
      </c>
      <c r="C67" s="657" t="s">
        <v>435</v>
      </c>
      <c r="D67" s="657"/>
      <c r="E67" s="657"/>
      <c r="F67" s="657"/>
      <c r="G67" s="657"/>
      <c r="H67" s="657"/>
      <c r="I67" s="657"/>
      <c r="J67" s="657"/>
      <c r="K67" s="657"/>
      <c r="L67" s="657"/>
      <c r="M67" s="657"/>
      <c r="N67" s="657"/>
      <c r="O67" s="657"/>
    </row>
  </sheetData>
  <mergeCells count="8">
    <mergeCell ref="C64:O65"/>
    <mergeCell ref="C67:O67"/>
    <mergeCell ref="F9:I9"/>
    <mergeCell ref="F10:J10"/>
    <mergeCell ref="G12:H12"/>
    <mergeCell ref="F14:I14"/>
    <mergeCell ref="B56:F56"/>
    <mergeCell ref="C60:O61"/>
  </mergeCells>
  <dataValidations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O67"/>
  <sheetViews>
    <sheetView showGridLines="0" topLeftCell="B27" zoomScaleNormal="100" workbookViewId="0">
      <selection activeCell="E21" sqref="E21"/>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2009</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Rates'!$C$16:$E$51,3,$C$16:$C$51)</f>
        <v>0</v>
      </c>
      <c r="F16" s="580">
        <f>VLOOKUP(C16,'[1]FA Continuity 2009'!$B$10:$M$45,3,$C$16:$C$48)</f>
        <v>2112</v>
      </c>
      <c r="G16" s="580">
        <f>VLOOKUP(C16,'[1]FA Continuity 2009'!$B$10:$M$45,4,$C$16:$C$48)</f>
        <v>0</v>
      </c>
      <c r="H16" s="580">
        <f>-VLOOKUP(C16,'[1]FA Continuity 2009'!$B$10:$M$45,5,$C$16:$C$48)</f>
        <v>0</v>
      </c>
      <c r="I16" s="27">
        <f>F16+G16+H16</f>
        <v>2112</v>
      </c>
      <c r="J16" s="4"/>
      <c r="K16" s="580">
        <f>VLOOKUP(C16,'[1]FA Continuity 2009'!$B$10:$M$45,8,$C$16:$C$48)</f>
        <v>0</v>
      </c>
      <c r="L16" s="580">
        <f>VLOOKUP(C16,'[1]FA Continuity 2009'!$B$10:$M$45,9,$C$16:$C$48)</f>
        <v>0</v>
      </c>
      <c r="M16" s="580">
        <f>-VLOOKUP(C16,'[1]FA Continuity 2009'!$B$10:$M$45,10,$C$16:$C$48)</f>
        <v>0</v>
      </c>
      <c r="N16" s="27">
        <f>K16+L16+M16</f>
        <v>0</v>
      </c>
      <c r="O16" s="28">
        <f>I16-N16</f>
        <v>2112</v>
      </c>
    </row>
    <row r="17" spans="2:15" x14ac:dyDescent="0.2">
      <c r="B17" s="7">
        <v>47</v>
      </c>
      <c r="C17" s="7">
        <v>1808</v>
      </c>
      <c r="D17" s="2" t="s">
        <v>537</v>
      </c>
      <c r="E17" s="582"/>
      <c r="F17" s="580">
        <f>VLOOKUP(C17,'[1]FA Continuity 2009'!$B$10:$M$45,3,$C$16:$C$48)</f>
        <v>0</v>
      </c>
      <c r="G17" s="580">
        <f>VLOOKUP(C17,'[1]FA Continuity 2009'!$B$10:$M$45,4,$C$16:$C$48)</f>
        <v>0</v>
      </c>
      <c r="H17" s="580">
        <f>-VLOOKUP(C17,'[1]FA Continuity 2009'!$B$10:$M$45,5,$C$16:$C$48)</f>
        <v>0</v>
      </c>
      <c r="I17" s="27">
        <f t="shared" ref="I17:I47" si="0">F17+G17+H17</f>
        <v>0</v>
      </c>
      <c r="J17" s="4"/>
      <c r="K17" s="580">
        <f>VLOOKUP(C17,'[1]FA Continuity 2009'!$B$10:$M$45,8,$C$16:$C$48)</f>
        <v>0</v>
      </c>
      <c r="L17" s="580">
        <f>VLOOKUP(C17,'[1]FA Continuity 2009'!$B$10:$M$45,9,$C$16:$C$48)</f>
        <v>0</v>
      </c>
      <c r="M17" s="580">
        <f>-VLOOKUP(C17,'[1]FA Continuity 2009'!$B$10:$M$45,10,$C$16:$C$48)</f>
        <v>0</v>
      </c>
      <c r="N17" s="27">
        <f t="shared" ref="N17:N47" si="1">K17+L17+M17</f>
        <v>0</v>
      </c>
      <c r="O17" s="28">
        <f t="shared" ref="O17:O48" si="2">I17-N17</f>
        <v>0</v>
      </c>
    </row>
    <row r="18" spans="2:15" x14ac:dyDescent="0.2">
      <c r="B18" s="7">
        <v>13</v>
      </c>
      <c r="C18" s="7">
        <v>1810</v>
      </c>
      <c r="D18" s="2" t="s">
        <v>579</v>
      </c>
      <c r="E18" s="582"/>
      <c r="F18" s="580">
        <f>VLOOKUP(C18,'[1]FA Continuity 2009'!$B$10:$M$45,3,$C$16:$C$48)</f>
        <v>0</v>
      </c>
      <c r="G18" s="580">
        <f>VLOOKUP(C18,'[1]FA Continuity 2009'!$B$10:$M$45,4,$C$16:$C$48)</f>
        <v>0</v>
      </c>
      <c r="H18" s="580">
        <f>-VLOOKUP(C18,'[1]FA Continuity 2009'!$B$10:$M$45,5,$C$16:$C$48)</f>
        <v>0</v>
      </c>
      <c r="I18" s="27">
        <f t="shared" si="0"/>
        <v>0</v>
      </c>
      <c r="J18" s="4"/>
      <c r="K18" s="580">
        <f>VLOOKUP(C18,'[1]FA Continuity 2009'!$B$10:$M$45,8,$C$16:$C$48)</f>
        <v>0</v>
      </c>
      <c r="L18" s="580">
        <f>VLOOKUP(C18,'[1]FA Continuity 2009'!$B$10:$M$45,9,$C$16:$C$48)</f>
        <v>0</v>
      </c>
      <c r="M18" s="580">
        <f>-VLOOKUP(C18,'[1]FA Continuity 2009'!$B$10:$M$45,10,$C$16:$C$48)</f>
        <v>0</v>
      </c>
      <c r="N18" s="27">
        <f t="shared" si="1"/>
        <v>0</v>
      </c>
      <c r="O18" s="28">
        <f t="shared" si="2"/>
        <v>0</v>
      </c>
    </row>
    <row r="19" spans="2:15" x14ac:dyDescent="0.2">
      <c r="B19" s="7">
        <v>47</v>
      </c>
      <c r="C19" s="7">
        <v>1815</v>
      </c>
      <c r="D19" s="2" t="s">
        <v>538</v>
      </c>
      <c r="E19" s="582"/>
      <c r="F19" s="580">
        <f>VLOOKUP(C19,'[1]FA Continuity 2009'!$B$10:$M$45,3,$C$16:$C$48)</f>
        <v>0</v>
      </c>
      <c r="G19" s="580">
        <f>VLOOKUP(C19,'[1]FA Continuity 2009'!$B$10:$M$45,4,$C$16:$C$48)</f>
        <v>0</v>
      </c>
      <c r="H19" s="580">
        <f>-VLOOKUP(C19,'[1]FA Continuity 2009'!$B$10:$M$45,5,$C$16:$C$48)</f>
        <v>0</v>
      </c>
      <c r="I19" s="27">
        <f t="shared" si="0"/>
        <v>0</v>
      </c>
      <c r="J19" s="4"/>
      <c r="K19" s="580">
        <f>VLOOKUP(C19,'[1]FA Continuity 2009'!$B$10:$M$45,8,$C$16:$C$48)</f>
        <v>0</v>
      </c>
      <c r="L19" s="580">
        <f>VLOOKUP(C19,'[1]FA Continuity 2009'!$B$10:$M$45,9,$C$16:$C$48)</f>
        <v>0</v>
      </c>
      <c r="M19" s="580">
        <f>-VLOOKUP(C19,'[1]FA Continuity 2009'!$B$10:$M$45,10,$C$16:$C$48)</f>
        <v>0</v>
      </c>
      <c r="N19" s="27">
        <f t="shared" si="1"/>
        <v>0</v>
      </c>
      <c r="O19" s="28">
        <f t="shared" si="2"/>
        <v>0</v>
      </c>
    </row>
    <row r="20" spans="2:15" x14ac:dyDescent="0.2">
      <c r="B20" s="7">
        <v>47</v>
      </c>
      <c r="C20" s="7">
        <v>1820</v>
      </c>
      <c r="D20" s="456" t="s">
        <v>462</v>
      </c>
      <c r="E20" s="582">
        <f>VLOOKUP(C20,'App.2-B1_Depr Rates'!$C$16:$E$51,3,$C$16:$C$51)</f>
        <v>0.04</v>
      </c>
      <c r="F20" s="580">
        <f>VLOOKUP(C20,'[1]FA Continuity 2009'!$B$10:$M$45,3,$C$16:$C$48)</f>
        <v>142098.48000000001</v>
      </c>
      <c r="G20" s="580">
        <f>VLOOKUP(C20,'[1]FA Continuity 2009'!$B$10:$M$45,4,$C$16:$C$48)</f>
        <v>0</v>
      </c>
      <c r="H20" s="580">
        <f>-VLOOKUP(C20,'[1]FA Continuity 2009'!$B$10:$M$45,5,$C$16:$C$48)</f>
        <v>0</v>
      </c>
      <c r="I20" s="27">
        <f t="shared" si="0"/>
        <v>142098.48000000001</v>
      </c>
      <c r="J20" s="4"/>
      <c r="K20" s="580">
        <f>VLOOKUP(C20,'[1]FA Continuity 2009'!$B$10:$M$45,8,$C$16:$C$48)</f>
        <v>140766.42000000001</v>
      </c>
      <c r="L20" s="580">
        <f>VLOOKUP(C20,'[1]FA Continuity 2009'!$B$10:$M$45,9,$C$16:$C$48)</f>
        <v>61.97</v>
      </c>
      <c r="M20" s="580">
        <f>-VLOOKUP(C20,'[1]FA Continuity 2009'!$B$10:$M$45,10,$C$16:$C$48)</f>
        <v>0</v>
      </c>
      <c r="N20" s="27">
        <f t="shared" si="1"/>
        <v>140828.39000000001</v>
      </c>
      <c r="O20" s="28">
        <f t="shared" si="2"/>
        <v>1270.0899999999965</v>
      </c>
    </row>
    <row r="21" spans="2:15" x14ac:dyDescent="0.2">
      <c r="B21" s="7">
        <v>47</v>
      </c>
      <c r="C21" s="7">
        <v>1825</v>
      </c>
      <c r="D21" s="2" t="s">
        <v>539</v>
      </c>
      <c r="E21" s="582"/>
      <c r="F21" s="580">
        <f>VLOOKUP(C21,'[1]FA Continuity 2009'!$B$10:$M$45,3,$C$16:$C$48)</f>
        <v>0</v>
      </c>
      <c r="G21" s="580">
        <f>VLOOKUP(C21,'[1]FA Continuity 2009'!$B$10:$M$45,4,$C$16:$C$48)</f>
        <v>0</v>
      </c>
      <c r="H21" s="580">
        <f>-VLOOKUP(C21,'[1]FA Continuity 2009'!$B$10:$M$45,5,$C$16:$C$48)</f>
        <v>0</v>
      </c>
      <c r="I21" s="27">
        <f t="shared" si="0"/>
        <v>0</v>
      </c>
      <c r="J21" s="4"/>
      <c r="K21" s="580">
        <f>VLOOKUP(C21,'[1]FA Continuity 2009'!$B$10:$M$45,8,$C$16:$C$48)</f>
        <v>0</v>
      </c>
      <c r="L21" s="580">
        <f>VLOOKUP(C21,'[1]FA Continuity 2009'!$B$10:$M$45,9,$C$16:$C$48)</f>
        <v>0</v>
      </c>
      <c r="M21" s="580">
        <f>-VLOOKUP(C21,'[1]FA Continuity 2009'!$B$10:$M$45,10,$C$16:$C$48)</f>
        <v>0</v>
      </c>
      <c r="N21" s="27">
        <f t="shared" si="1"/>
        <v>0</v>
      </c>
      <c r="O21" s="28">
        <f t="shared" si="2"/>
        <v>0</v>
      </c>
    </row>
    <row r="22" spans="2:15" x14ac:dyDescent="0.2">
      <c r="B22" s="7">
        <v>47</v>
      </c>
      <c r="C22" s="7">
        <v>1830</v>
      </c>
      <c r="D22" s="2" t="s">
        <v>540</v>
      </c>
      <c r="E22" s="582">
        <f>VLOOKUP(C22,'App.2-B1_Depr Rates'!$C$16:$E$51,3,$C$16:$C$51)</f>
        <v>0.04</v>
      </c>
      <c r="F22" s="580">
        <f>VLOOKUP(C22,'[1]FA Continuity 2009'!$B$10:$M$45,3,$C$16:$C$48)</f>
        <v>669653.69000000006</v>
      </c>
      <c r="G22" s="580">
        <f>VLOOKUP(C22,'[1]FA Continuity 2009'!$B$10:$M$45,4,$C$16:$C$48)</f>
        <v>62308.6</v>
      </c>
      <c r="H22" s="580">
        <f>-VLOOKUP(C22,'[1]FA Continuity 2009'!$B$10:$M$45,5,$C$16:$C$48)</f>
        <v>0</v>
      </c>
      <c r="I22" s="27">
        <f t="shared" si="0"/>
        <v>731962.29</v>
      </c>
      <c r="J22" s="4"/>
      <c r="K22" s="580">
        <f>VLOOKUP(C22,'[1]FA Continuity 2009'!$B$10:$M$45,8,$C$16:$C$48)</f>
        <v>103622.12999999999</v>
      </c>
      <c r="L22" s="580">
        <f>VLOOKUP(C22,'[1]FA Continuity 2009'!$B$10:$M$45,9,$C$16:$C$48)</f>
        <v>28042.3</v>
      </c>
      <c r="M22" s="580">
        <f>-VLOOKUP(C22,'[1]FA Continuity 2009'!$B$10:$M$45,10,$C$16:$C$48)</f>
        <v>0</v>
      </c>
      <c r="N22" s="27">
        <f t="shared" si="1"/>
        <v>131664.43</v>
      </c>
      <c r="O22" s="28">
        <f t="shared" si="2"/>
        <v>600297.8600000001</v>
      </c>
    </row>
    <row r="23" spans="2:15" x14ac:dyDescent="0.2">
      <c r="B23" s="7">
        <v>47</v>
      </c>
      <c r="C23" s="7">
        <v>1835</v>
      </c>
      <c r="D23" s="2" t="s">
        <v>463</v>
      </c>
      <c r="E23" s="582">
        <f>VLOOKUP(C23,'App.2-B1_Depr Rates'!$C$16:$E$51,3,$C$16:$C$51)</f>
        <v>0.04</v>
      </c>
      <c r="F23" s="580">
        <f>VLOOKUP(C23,'[1]FA Continuity 2009'!$B$10:$M$45,3,$C$16:$C$48)</f>
        <v>5823217.6100000003</v>
      </c>
      <c r="G23" s="580">
        <f>VLOOKUP(C23,'[1]FA Continuity 2009'!$B$10:$M$45,4,$C$16:$C$48)</f>
        <v>106482.79</v>
      </c>
      <c r="H23" s="580">
        <f>-VLOOKUP(C23,'[1]FA Continuity 2009'!$B$10:$M$45,5,$C$16:$C$48)</f>
        <v>0</v>
      </c>
      <c r="I23" s="27">
        <f t="shared" si="0"/>
        <v>5929700.4000000004</v>
      </c>
      <c r="J23" s="4"/>
      <c r="K23" s="580">
        <f>VLOOKUP(C23,'[1]FA Continuity 2009'!$B$10:$M$45,8,$C$16:$C$48)</f>
        <v>3599057.0100000002</v>
      </c>
      <c r="L23" s="580">
        <f>VLOOKUP(C23,'[1]FA Continuity 2009'!$B$10:$M$45,9,$C$16:$C$48)</f>
        <v>229942.09</v>
      </c>
      <c r="M23" s="580">
        <f>-VLOOKUP(C23,'[1]FA Continuity 2009'!$B$10:$M$45,10,$C$16:$C$48)</f>
        <v>0</v>
      </c>
      <c r="N23" s="27">
        <f t="shared" si="1"/>
        <v>3828999.1</v>
      </c>
      <c r="O23" s="28">
        <f t="shared" si="2"/>
        <v>2100701.3000000003</v>
      </c>
    </row>
    <row r="24" spans="2:15" x14ac:dyDescent="0.2">
      <c r="B24" s="7">
        <v>47</v>
      </c>
      <c r="C24" s="7">
        <v>1840</v>
      </c>
      <c r="D24" s="2" t="s">
        <v>464</v>
      </c>
      <c r="E24" s="582">
        <f>VLOOKUP(C24,'App.2-B1_Depr Rates'!$C$16:$E$51,3,$C$16:$C$51)</f>
        <v>0.04</v>
      </c>
      <c r="F24" s="580">
        <f>VLOOKUP(C24,'[1]FA Continuity 2009'!$B$10:$M$45,3,$C$16:$C$48)</f>
        <v>913131.65999999992</v>
      </c>
      <c r="G24" s="580">
        <f>VLOOKUP(C24,'[1]FA Continuity 2009'!$B$10:$M$45,4,$C$16:$C$48)</f>
        <v>132682.07999999999</v>
      </c>
      <c r="H24" s="580">
        <f>-VLOOKUP(C24,'[1]FA Continuity 2009'!$B$10:$M$45,5,$C$16:$C$48)</f>
        <v>0</v>
      </c>
      <c r="I24" s="27">
        <f t="shared" si="0"/>
        <v>1045813.7399999999</v>
      </c>
      <c r="J24" s="4"/>
      <c r="K24" s="580">
        <f>VLOOKUP(C24,'[1]FA Continuity 2009'!$B$10:$M$45,8,$C$16:$C$48)</f>
        <v>112031.74</v>
      </c>
      <c r="L24" s="580">
        <f>VLOOKUP(C24,'[1]FA Continuity 2009'!$B$10:$M$45,9,$C$16:$C$48)</f>
        <v>39184.089999999997</v>
      </c>
      <c r="M24" s="580">
        <f>-VLOOKUP(C24,'[1]FA Continuity 2009'!$B$10:$M$45,10,$C$16:$C$48)</f>
        <v>0</v>
      </c>
      <c r="N24" s="27">
        <f t="shared" si="1"/>
        <v>151215.83000000002</v>
      </c>
      <c r="O24" s="28">
        <f t="shared" si="2"/>
        <v>894597.90999999992</v>
      </c>
    </row>
    <row r="25" spans="2:15" x14ac:dyDescent="0.2">
      <c r="B25" s="7">
        <v>47</v>
      </c>
      <c r="C25" s="7">
        <v>1845</v>
      </c>
      <c r="D25" s="2" t="s">
        <v>465</v>
      </c>
      <c r="E25" s="582">
        <f>VLOOKUP(C25,'App.2-B1_Depr Rates'!$C$16:$E$51,3,$C$16:$C$51)</f>
        <v>0.04</v>
      </c>
      <c r="F25" s="580">
        <f>VLOOKUP(C25,'[1]FA Continuity 2009'!$B$10:$M$45,3,$C$16:$C$48)</f>
        <v>6719111.6900000004</v>
      </c>
      <c r="G25" s="580">
        <f>VLOOKUP(C25,'[1]FA Continuity 2009'!$B$10:$M$45,4,$C$16:$C$48)</f>
        <v>140966.22</v>
      </c>
      <c r="H25" s="580">
        <f>-VLOOKUP(C25,'[1]FA Continuity 2009'!$B$10:$M$45,5,$C$16:$C$48)</f>
        <v>0</v>
      </c>
      <c r="I25" s="27">
        <f t="shared" si="0"/>
        <v>6860077.9100000001</v>
      </c>
      <c r="J25" s="4"/>
      <c r="K25" s="580">
        <f>VLOOKUP(C25,'[1]FA Continuity 2009'!$B$10:$M$45,8,$C$16:$C$48)</f>
        <v>3752458.22</v>
      </c>
      <c r="L25" s="580">
        <f>VLOOKUP(C25,'[1]FA Continuity 2009'!$B$10:$M$45,9,$C$16:$C$48)</f>
        <v>254395.91</v>
      </c>
      <c r="M25" s="580">
        <f>-VLOOKUP(C25,'[1]FA Continuity 2009'!$B$10:$M$45,10,$C$16:$C$48)</f>
        <v>0</v>
      </c>
      <c r="N25" s="27">
        <f t="shared" si="1"/>
        <v>4006854.1300000004</v>
      </c>
      <c r="O25" s="28">
        <f t="shared" si="2"/>
        <v>2853223.78</v>
      </c>
    </row>
    <row r="26" spans="2:15" x14ac:dyDescent="0.2">
      <c r="B26" s="7">
        <v>47</v>
      </c>
      <c r="C26" s="7">
        <v>1850</v>
      </c>
      <c r="D26" s="2" t="s">
        <v>541</v>
      </c>
      <c r="E26" s="582">
        <f>VLOOKUP(C26,'App.2-B1_Depr Rates'!$C$16:$E$51,3,$C$16:$C$51)</f>
        <v>0.04</v>
      </c>
      <c r="F26" s="580">
        <f>VLOOKUP(C26,'[1]FA Continuity 2009'!$B$10:$M$45,3,$C$16:$C$48)</f>
        <v>5186517.1499999994</v>
      </c>
      <c r="G26" s="580">
        <f>VLOOKUP(C26,'[1]FA Continuity 2009'!$B$10:$M$45,4,$C$16:$C$48)</f>
        <v>131200.95999999999</v>
      </c>
      <c r="H26" s="580">
        <f>-VLOOKUP(C26,'[1]FA Continuity 2009'!$B$10:$M$45,5,$C$16:$C$48)</f>
        <v>0</v>
      </c>
      <c r="I26" s="27">
        <f t="shared" si="0"/>
        <v>5317718.1099999994</v>
      </c>
      <c r="J26" s="4"/>
      <c r="K26" s="580">
        <f>VLOOKUP(C26,'[1]FA Continuity 2009'!$B$10:$M$45,8,$C$16:$C$48)</f>
        <v>2773852.63</v>
      </c>
      <c r="L26" s="580">
        <f>VLOOKUP(C26,'[1]FA Continuity 2009'!$B$10:$M$45,9,$C$16:$C$48)</f>
        <v>181345.29</v>
      </c>
      <c r="M26" s="580">
        <f>-VLOOKUP(C26,'[1]FA Continuity 2009'!$B$10:$M$45,10,$C$16:$C$48)</f>
        <v>0</v>
      </c>
      <c r="N26" s="27">
        <f t="shared" si="1"/>
        <v>2955197.92</v>
      </c>
      <c r="O26" s="28">
        <f t="shared" si="2"/>
        <v>2362520.1899999995</v>
      </c>
    </row>
    <row r="27" spans="2:15" x14ac:dyDescent="0.2">
      <c r="B27" s="7">
        <v>47</v>
      </c>
      <c r="C27" s="7">
        <v>1855</v>
      </c>
      <c r="D27" s="2" t="s">
        <v>466</v>
      </c>
      <c r="E27" s="582">
        <f>VLOOKUP(C27,'App.2-B1_Depr Rates'!$C$16:$E$51,3,$C$16:$C$51)</f>
        <v>0.04</v>
      </c>
      <c r="F27" s="580">
        <f>VLOOKUP(C27,'[1]FA Continuity 2009'!$B$10:$M$45,3,$C$16:$C$48)</f>
        <v>511694.44999999995</v>
      </c>
      <c r="G27" s="580">
        <f>VLOOKUP(C27,'[1]FA Continuity 2009'!$B$10:$M$45,4,$C$16:$C$48)</f>
        <v>50765.34</v>
      </c>
      <c r="H27" s="580">
        <f>-VLOOKUP(C27,'[1]FA Continuity 2009'!$B$10:$M$45,5,$C$16:$C$48)</f>
        <v>0</v>
      </c>
      <c r="I27" s="27">
        <f t="shared" si="0"/>
        <v>562459.78999999992</v>
      </c>
      <c r="J27" s="4"/>
      <c r="K27" s="580">
        <f>VLOOKUP(C27,'[1]FA Continuity 2009'!$B$10:$M$45,8,$C$16:$C$48)</f>
        <v>65954.929999999993</v>
      </c>
      <c r="L27" s="580">
        <f>VLOOKUP(C27,'[1]FA Continuity 2009'!$B$10:$M$45,9,$C$16:$C$48)</f>
        <v>21492.3</v>
      </c>
      <c r="M27" s="580">
        <f>-VLOOKUP(C27,'[1]FA Continuity 2009'!$B$10:$M$45,10,$C$16:$C$48)</f>
        <v>0</v>
      </c>
      <c r="N27" s="27">
        <f t="shared" si="1"/>
        <v>87447.23</v>
      </c>
      <c r="O27" s="28">
        <f t="shared" si="2"/>
        <v>475012.55999999994</v>
      </c>
    </row>
    <row r="28" spans="2:15" x14ac:dyDescent="0.2">
      <c r="B28" s="7">
        <v>47</v>
      </c>
      <c r="C28" s="7">
        <v>1860</v>
      </c>
      <c r="D28" s="2" t="s">
        <v>542</v>
      </c>
      <c r="E28" s="582">
        <f>'App.2-B1_Depr Rates'!E28</f>
        <v>0.04</v>
      </c>
      <c r="F28" s="580">
        <f>VLOOKUP(C28,'[1]FA Continuity 2009'!$B$10:$M$45,3,$C$16:$C$48)</f>
        <v>1339484.8900000001</v>
      </c>
      <c r="G28" s="580">
        <f>VLOOKUP(C28,'[1]FA Continuity 2009'!$B$10:$M$45,4,$C$16:$C$48)</f>
        <v>35988.089999999997</v>
      </c>
      <c r="H28" s="580">
        <f>-VLOOKUP(C28,'[1]FA Continuity 2009'!$B$10:$M$45,5,$C$16:$C$48)</f>
        <v>0</v>
      </c>
      <c r="I28" s="27">
        <f t="shared" si="0"/>
        <v>1375472.9800000002</v>
      </c>
      <c r="J28" s="4"/>
      <c r="K28" s="580">
        <f>VLOOKUP(C28,'[1]FA Continuity 2009'!$B$10:$M$45,8,$C$16:$C$48)</f>
        <v>603296.87</v>
      </c>
      <c r="L28" s="580">
        <f>VLOOKUP(C28,'[1]FA Continuity 2009'!$B$10:$M$45,9,$C$16:$C$48)</f>
        <v>45490.46</v>
      </c>
      <c r="M28" s="580">
        <f>-VLOOKUP(C28,'[1]FA Continuity 2009'!$B$10:$M$45,10,$C$16:$C$48)</f>
        <v>0</v>
      </c>
      <c r="N28" s="27">
        <f t="shared" si="1"/>
        <v>648787.32999999996</v>
      </c>
      <c r="O28" s="28">
        <f t="shared" si="2"/>
        <v>726685.65000000026</v>
      </c>
    </row>
    <row r="29" spans="2:15" x14ac:dyDescent="0.2">
      <c r="B29" s="7" t="s">
        <v>535</v>
      </c>
      <c r="C29" s="7">
        <v>1905</v>
      </c>
      <c r="D29" s="2" t="s">
        <v>536</v>
      </c>
      <c r="E29" s="582">
        <f>VLOOKUP(C29,'App.2-B1_Depr Rates'!$C$16:$E$51,3,$C$16:$C$51)</f>
        <v>0</v>
      </c>
      <c r="F29" s="580">
        <f>VLOOKUP(C29,'[1]FA Continuity 2009'!$B$10:$M$45,3,$C$16:$C$48)</f>
        <v>171765.02</v>
      </c>
      <c r="G29" s="580">
        <f>VLOOKUP(C29,'[1]FA Continuity 2009'!$B$10:$M$45,4,$C$16:$C$48)</f>
        <v>0</v>
      </c>
      <c r="H29" s="580">
        <f>-VLOOKUP(C29,'[1]FA Continuity 2009'!$B$10:$M$45,5,$C$16:$C$48)</f>
        <v>0</v>
      </c>
      <c r="I29" s="27">
        <f t="shared" si="0"/>
        <v>171765.02</v>
      </c>
      <c r="J29" s="4"/>
      <c r="K29" s="580">
        <f>VLOOKUP(C29,'[1]FA Continuity 2009'!$B$10:$M$45,8,$C$16:$C$48)</f>
        <v>0</v>
      </c>
      <c r="L29" s="580">
        <f>VLOOKUP(C29,'[1]FA Continuity 2009'!$B$10:$M$45,9,$C$16:$C$48)</f>
        <v>0</v>
      </c>
      <c r="M29" s="580">
        <f>-VLOOKUP(C29,'[1]FA Continuity 2009'!$B$10:$M$45,10,$C$16:$C$48)</f>
        <v>0</v>
      </c>
      <c r="N29" s="27">
        <f t="shared" si="1"/>
        <v>0</v>
      </c>
      <c r="O29" s="28">
        <f t="shared" si="2"/>
        <v>171765.02</v>
      </c>
    </row>
    <row r="30" spans="2:15" x14ac:dyDescent="0.2">
      <c r="B30" s="7" t="s">
        <v>544</v>
      </c>
      <c r="C30" s="7">
        <v>1906</v>
      </c>
      <c r="D30" s="2" t="s">
        <v>545</v>
      </c>
      <c r="E30" s="582">
        <f>VLOOKUP(C30,'App.2-B1_Depr Rates'!$C$16:$E$51,3,$C$16:$C$51)</f>
        <v>0.02</v>
      </c>
      <c r="F30" s="580">
        <f>VLOOKUP(C30,'[1]FA Continuity 2009'!$B$10:$M$45,3,$C$16:$C$48)</f>
        <v>2944.73</v>
      </c>
      <c r="G30" s="580">
        <f>VLOOKUP(C30,'[1]FA Continuity 2009'!$B$10:$M$45,4,$C$16:$C$48)</f>
        <v>0</v>
      </c>
      <c r="H30" s="580">
        <f>-VLOOKUP(C30,'[1]FA Continuity 2009'!$B$10:$M$45,5,$C$16:$C$48)</f>
        <v>0</v>
      </c>
      <c r="I30" s="27">
        <f t="shared" si="0"/>
        <v>2944.73</v>
      </c>
      <c r="J30" s="4"/>
      <c r="K30" s="580">
        <f>VLOOKUP(C30,'[1]FA Continuity 2009'!$B$10:$M$45,8,$C$16:$C$48)</f>
        <v>2724.73</v>
      </c>
      <c r="L30" s="580">
        <f>VLOOKUP(C30,'[1]FA Continuity 2009'!$B$10:$M$45,9,$C$16:$C$48)</f>
        <v>0</v>
      </c>
      <c r="M30" s="580">
        <f>-VLOOKUP(C30,'[1]FA Continuity 2009'!$B$10:$M$45,10,$C$16:$C$48)</f>
        <v>0</v>
      </c>
      <c r="N30" s="27">
        <f t="shared" si="1"/>
        <v>2724.73</v>
      </c>
      <c r="O30" s="28">
        <f t="shared" si="2"/>
        <v>220</v>
      </c>
    </row>
    <row r="31" spans="2:15" x14ac:dyDescent="0.2">
      <c r="B31" s="7">
        <v>47</v>
      </c>
      <c r="C31" s="7">
        <v>1908</v>
      </c>
      <c r="D31" s="2" t="s">
        <v>546</v>
      </c>
      <c r="E31" s="582">
        <f>VLOOKUP(C31,'App.2-B1_Depr Rates'!$C$16:$E$51,3,$C$16:$C$51)</f>
        <v>0.1</v>
      </c>
      <c r="F31" s="580">
        <f>VLOOKUP(C31,'[1]FA Continuity 2009'!$B$10:$M$45,3,$C$16:$C$48)</f>
        <v>860528.11</v>
      </c>
      <c r="G31" s="580">
        <f>VLOOKUP(C31,'[1]FA Continuity 2009'!$B$10:$M$45,4,$C$16:$C$48)</f>
        <v>0</v>
      </c>
      <c r="H31" s="580">
        <f>-VLOOKUP(C31,'[1]FA Continuity 2009'!$B$10:$M$45,5,$C$16:$C$48)</f>
        <v>0</v>
      </c>
      <c r="I31" s="27">
        <f t="shared" si="0"/>
        <v>860528.11</v>
      </c>
      <c r="J31" s="4"/>
      <c r="K31" s="580">
        <f>VLOOKUP(C31,'[1]FA Continuity 2009'!$B$10:$M$45,8,$C$16:$C$48)</f>
        <v>382780.74</v>
      </c>
      <c r="L31" s="580">
        <f>VLOOKUP(C31,'[1]FA Continuity 2009'!$B$10:$M$45,9,$C$16:$C$48)</f>
        <v>18402.68</v>
      </c>
      <c r="M31" s="580">
        <f>-VLOOKUP(C31,'[1]FA Continuity 2009'!$B$10:$M$45,10,$C$16:$C$48)</f>
        <v>0</v>
      </c>
      <c r="N31" s="27">
        <f t="shared" si="1"/>
        <v>401183.42</v>
      </c>
      <c r="O31" s="28">
        <f t="shared" si="2"/>
        <v>459344.69</v>
      </c>
    </row>
    <row r="32" spans="2:15" x14ac:dyDescent="0.2">
      <c r="B32" s="7">
        <v>13</v>
      </c>
      <c r="C32" s="7">
        <v>1910</v>
      </c>
      <c r="D32" s="2" t="s">
        <v>579</v>
      </c>
      <c r="E32" s="582"/>
      <c r="F32" s="580">
        <f>VLOOKUP(C32,'[1]FA Continuity 2009'!$B$10:$M$45,3,$C$16:$C$48)</f>
        <v>0</v>
      </c>
      <c r="G32" s="580">
        <f>VLOOKUP(C32,'[1]FA Continuity 2009'!$B$10:$M$45,4,$C$16:$C$48)</f>
        <v>0</v>
      </c>
      <c r="H32" s="580">
        <f>-VLOOKUP(C32,'[1]FA Continuity 2009'!$B$10:$M$45,5,$C$16:$C$48)</f>
        <v>0</v>
      </c>
      <c r="I32" s="27">
        <f t="shared" si="0"/>
        <v>0</v>
      </c>
      <c r="J32" s="4"/>
      <c r="K32" s="580">
        <f>VLOOKUP(C32,'[1]FA Continuity 2009'!$B$10:$M$45,8,$C$16:$C$48)</f>
        <v>0</v>
      </c>
      <c r="L32" s="580">
        <f>VLOOKUP(C32,'[1]FA Continuity 2009'!$B$10:$M$45,9,$C$16:$C$48)</f>
        <v>0</v>
      </c>
      <c r="M32" s="580">
        <f>-VLOOKUP(C32,'[1]FA Continuity 2009'!$B$10:$M$45,10,$C$16:$C$48)</f>
        <v>0</v>
      </c>
      <c r="N32" s="27">
        <f t="shared" si="1"/>
        <v>0</v>
      </c>
      <c r="O32" s="28">
        <f t="shared" si="2"/>
        <v>0</v>
      </c>
    </row>
    <row r="33" spans="2:15" x14ac:dyDescent="0.2">
      <c r="B33" s="7">
        <v>8</v>
      </c>
      <c r="C33" s="7">
        <v>1915</v>
      </c>
      <c r="D33" s="2" t="s">
        <v>750</v>
      </c>
      <c r="E33" s="582">
        <f>E31</f>
        <v>0.1</v>
      </c>
      <c r="F33" s="580">
        <f>VLOOKUP(C33,'[1]FA Continuity 2009'!$B$10:$M$45,3,$C$16:$C$48)</f>
        <v>216992.34</v>
      </c>
      <c r="G33" s="580">
        <f>VLOOKUP(C33,'[1]FA Continuity 2009'!$B$10:$M$45,4,$C$16:$C$48)</f>
        <v>5323.32</v>
      </c>
      <c r="H33" s="580">
        <f>-VLOOKUP(C33,'[1]FA Continuity 2009'!$B$10:$M$45,5,$C$16:$C$48)</f>
        <v>0</v>
      </c>
      <c r="I33" s="27">
        <f t="shared" si="0"/>
        <v>222315.66</v>
      </c>
      <c r="J33" s="4"/>
      <c r="K33" s="580">
        <f>VLOOKUP(C33,'[1]FA Continuity 2009'!$B$10:$M$45,8,$C$16:$C$48)</f>
        <v>179257.94</v>
      </c>
      <c r="L33" s="580">
        <f>VLOOKUP(C33,'[1]FA Continuity 2009'!$B$10:$M$45,9,$C$16:$C$48)</f>
        <v>7913.3</v>
      </c>
      <c r="M33" s="580">
        <f>-VLOOKUP(C33,'[1]FA Continuity 2009'!$B$10:$M$45,10,$C$16:$C$48)</f>
        <v>0</v>
      </c>
      <c r="N33" s="27">
        <f t="shared" si="1"/>
        <v>187171.24</v>
      </c>
      <c r="O33" s="28">
        <f t="shared" si="2"/>
        <v>35144.420000000013</v>
      </c>
    </row>
    <row r="34" spans="2:15" x14ac:dyDescent="0.2">
      <c r="B34" s="7">
        <v>45</v>
      </c>
      <c r="C34" s="457">
        <v>1920</v>
      </c>
      <c r="D34" s="583" t="s">
        <v>756</v>
      </c>
      <c r="E34" s="582">
        <f>VLOOKUP(C34,'App.2-B1_Depr Rates'!$C$16:$E$51,3,$C$16:$C$51)</f>
        <v>0.2</v>
      </c>
      <c r="F34" s="580">
        <f>VLOOKUP(C34,'[1]FA Continuity 2009'!$B$10:$M$45,3,$C$16:$C$48)</f>
        <v>346417.78</v>
      </c>
      <c r="G34" s="580">
        <f>VLOOKUP(C34,'[1]FA Continuity 2009'!$B$10:$M$45,4,$C$16:$C$48)</f>
        <v>8227.81</v>
      </c>
      <c r="H34" s="580">
        <f>-VLOOKUP(C34,'[1]FA Continuity 2009'!$B$10:$M$45,5,$C$16:$C$48)</f>
        <v>0</v>
      </c>
      <c r="I34" s="27">
        <f t="shared" si="0"/>
        <v>354645.59</v>
      </c>
      <c r="J34" s="4"/>
      <c r="K34" s="580">
        <f>VLOOKUP(C34,'[1]FA Continuity 2009'!$B$10:$M$45,8,$C$16:$C$48)</f>
        <v>285774.65999999997</v>
      </c>
      <c r="L34" s="580">
        <f>VLOOKUP(C34,'[1]FA Continuity 2009'!$B$10:$M$45,9,$C$16:$C$48)</f>
        <v>27010.05</v>
      </c>
      <c r="M34" s="580">
        <f>-VLOOKUP(C34,'[1]FA Continuity 2009'!$B$10:$M$45,10,$C$16:$C$48)</f>
        <v>0</v>
      </c>
      <c r="N34" s="27">
        <f t="shared" si="1"/>
        <v>312784.70999999996</v>
      </c>
      <c r="O34" s="28">
        <f t="shared" si="2"/>
        <v>41860.880000000063</v>
      </c>
    </row>
    <row r="35" spans="2:15" x14ac:dyDescent="0.2">
      <c r="B35" s="7">
        <v>12</v>
      </c>
      <c r="C35" s="7">
        <v>1925</v>
      </c>
      <c r="D35" s="2" t="s">
        <v>563</v>
      </c>
      <c r="E35" s="582">
        <f>VLOOKUP(C35,'App.2-B1_Depr Rates'!$C$16:$E$51,3,$C$16:$C$51)</f>
        <v>0.2</v>
      </c>
      <c r="F35" s="580">
        <f>VLOOKUP(C35,'[1]FA Continuity 2009'!$B$10:$M$45,3,$C$16:$C$48)</f>
        <v>233445.09999999998</v>
      </c>
      <c r="G35" s="580">
        <f>VLOOKUP(C35,'[1]FA Continuity 2009'!$B$10:$M$45,4,$C$16:$C$48)</f>
        <v>5386.77</v>
      </c>
      <c r="H35" s="580">
        <f>-VLOOKUP(C35,'[1]FA Continuity 2009'!$B$10:$M$45,5,$C$16:$C$48)</f>
        <v>0</v>
      </c>
      <c r="I35" s="27">
        <f t="shared" si="0"/>
        <v>238831.86999999997</v>
      </c>
      <c r="J35" s="4"/>
      <c r="K35" s="580">
        <f>VLOOKUP(C35,'[1]FA Continuity 2009'!$B$10:$M$45,8,$C$16:$C$48)</f>
        <v>78862.55</v>
      </c>
      <c r="L35" s="580">
        <f>VLOOKUP(C35,'[1]FA Continuity 2009'!$B$10:$M$45,9,$C$16:$C$48)</f>
        <v>41088.36</v>
      </c>
      <c r="M35" s="580">
        <f>-VLOOKUP(C35,'[1]FA Continuity 2009'!$B$10:$M$45,10,$C$16:$C$48)</f>
        <v>0</v>
      </c>
      <c r="N35" s="27">
        <f t="shared" si="1"/>
        <v>119950.91</v>
      </c>
      <c r="O35" s="28">
        <f t="shared" si="2"/>
        <v>118880.95999999996</v>
      </c>
    </row>
    <row r="36" spans="2:15" x14ac:dyDescent="0.2">
      <c r="B36" s="7">
        <v>10</v>
      </c>
      <c r="C36" s="7">
        <v>1930</v>
      </c>
      <c r="D36" s="2" t="s">
        <v>564</v>
      </c>
      <c r="E36" s="582">
        <f>VLOOKUP(C36,'App.2-B1_Depr Rates'!$C$16:$E$51,3,$C$16:$C$51)</f>
        <v>0.125</v>
      </c>
      <c r="F36" s="580">
        <f>VLOOKUP(C36,'[1]FA Continuity 2009'!$B$10:$M$45,3,$C$16:$C$48)</f>
        <v>1798926.3599999999</v>
      </c>
      <c r="G36" s="580">
        <f>VLOOKUP(C36,'[1]FA Continuity 2009'!$B$10:$M$45,4,$C$16:$C$48)</f>
        <v>73521.09</v>
      </c>
      <c r="H36" s="580">
        <f>-VLOOKUP(C36,'[1]FA Continuity 2009'!$B$10:$M$45,5,$C$16:$C$48)</f>
        <v>0</v>
      </c>
      <c r="I36" s="27">
        <f t="shared" si="0"/>
        <v>1872447.45</v>
      </c>
      <c r="J36" s="4"/>
      <c r="K36" s="580">
        <f>VLOOKUP(C36,'[1]FA Continuity 2009'!$B$10:$M$45,8,$C$16:$C$48)</f>
        <v>1305410.2300000002</v>
      </c>
      <c r="L36" s="580">
        <f>VLOOKUP(C36,'[1]FA Continuity 2009'!$B$10:$M$45,9,$C$16:$C$48)</f>
        <v>87689.44</v>
      </c>
      <c r="M36" s="580">
        <f>-VLOOKUP(C36,'[1]FA Continuity 2009'!$B$10:$M$45,10,$C$16:$C$48)</f>
        <v>0</v>
      </c>
      <c r="N36" s="27">
        <f t="shared" si="1"/>
        <v>1393099.6700000002</v>
      </c>
      <c r="O36" s="28">
        <f t="shared" si="2"/>
        <v>479347.7799999998</v>
      </c>
    </row>
    <row r="37" spans="2:15" x14ac:dyDescent="0.2">
      <c r="B37" s="7">
        <v>8</v>
      </c>
      <c r="C37" s="7">
        <v>1935</v>
      </c>
      <c r="D37" s="2" t="s">
        <v>565</v>
      </c>
      <c r="E37" s="582"/>
      <c r="F37" s="580">
        <f>VLOOKUP(C37,'[1]FA Continuity 2009'!$B$10:$M$45,3,$C$16:$C$48)</f>
        <v>0</v>
      </c>
      <c r="G37" s="580">
        <f>VLOOKUP(C37,'[1]FA Continuity 2009'!$B$10:$M$45,4,$C$16:$C$48)</f>
        <v>0</v>
      </c>
      <c r="H37" s="580">
        <f>-VLOOKUP(C37,'[1]FA Continuity 2009'!$B$10:$M$45,5,$C$16:$C$48)</f>
        <v>0</v>
      </c>
      <c r="I37" s="27">
        <f t="shared" si="0"/>
        <v>0</v>
      </c>
      <c r="J37" s="4"/>
      <c r="K37" s="580">
        <f>VLOOKUP(C37,'[1]FA Continuity 2009'!$B$10:$M$45,8,$C$16:$C$48)</f>
        <v>0</v>
      </c>
      <c r="L37" s="580">
        <f>VLOOKUP(C37,'[1]FA Continuity 2009'!$B$10:$M$45,9,$C$16:$C$48)</f>
        <v>0</v>
      </c>
      <c r="M37" s="580">
        <f>-VLOOKUP(C37,'[1]FA Continuity 2009'!$B$10:$M$45,10,$C$16:$C$48)</f>
        <v>0</v>
      </c>
      <c r="N37" s="27">
        <f t="shared" si="1"/>
        <v>0</v>
      </c>
      <c r="O37" s="28">
        <f t="shared" si="2"/>
        <v>0</v>
      </c>
    </row>
    <row r="38" spans="2:15" x14ac:dyDescent="0.2">
      <c r="B38" s="7">
        <v>8</v>
      </c>
      <c r="C38" s="7">
        <v>1940</v>
      </c>
      <c r="D38" s="2" t="s">
        <v>566</v>
      </c>
      <c r="E38" s="582">
        <f>VLOOKUP(C38,'App.2-B1_Depr Rates'!$C$16:$E$51,3,$C$16:$C$51)</f>
        <v>0.1</v>
      </c>
      <c r="F38" s="580">
        <f>VLOOKUP(C38,'[1]FA Continuity 2009'!$B$10:$M$45,3,$C$16:$C$48)</f>
        <v>355668.03</v>
      </c>
      <c r="G38" s="580">
        <f>VLOOKUP(C38,'[1]FA Continuity 2009'!$B$10:$M$45,4,$C$16:$C$48)</f>
        <v>6257.2</v>
      </c>
      <c r="H38" s="580">
        <f>-VLOOKUP(C38,'[1]FA Continuity 2009'!$B$10:$M$45,5,$C$16:$C$48)</f>
        <v>0</v>
      </c>
      <c r="I38" s="27">
        <f t="shared" si="0"/>
        <v>361925.23000000004</v>
      </c>
      <c r="J38" s="4"/>
      <c r="K38" s="580">
        <f>VLOOKUP(C38,'[1]FA Continuity 2009'!$B$10:$M$45,8,$C$16:$C$48)</f>
        <v>268842.43</v>
      </c>
      <c r="L38" s="580">
        <f>VLOOKUP(C38,'[1]FA Continuity 2009'!$B$10:$M$45,9,$C$16:$C$48)</f>
        <v>12280.1</v>
      </c>
      <c r="M38" s="580">
        <f>-VLOOKUP(C38,'[1]FA Continuity 2009'!$B$10:$M$45,10,$C$16:$C$48)</f>
        <v>0</v>
      </c>
      <c r="N38" s="27">
        <f t="shared" si="1"/>
        <v>281122.52999999997</v>
      </c>
      <c r="O38" s="28">
        <f t="shared" si="2"/>
        <v>80802.70000000007</v>
      </c>
    </row>
    <row r="39" spans="2:15" x14ac:dyDescent="0.2">
      <c r="B39" s="7">
        <v>8</v>
      </c>
      <c r="C39" s="7">
        <v>1945</v>
      </c>
      <c r="D39" s="2" t="s">
        <v>567</v>
      </c>
      <c r="E39" s="582"/>
      <c r="F39" s="580">
        <f>VLOOKUP(C39,'[1]FA Continuity 2009'!$B$10:$M$45,3,$C$16:$C$48)</f>
        <v>0</v>
      </c>
      <c r="G39" s="580">
        <f>VLOOKUP(C39,'[1]FA Continuity 2009'!$B$10:$M$45,4,$C$16:$C$48)</f>
        <v>0</v>
      </c>
      <c r="H39" s="580">
        <f>-VLOOKUP(C39,'[1]FA Continuity 2009'!$B$10:$M$45,5,$C$16:$C$48)</f>
        <v>0</v>
      </c>
      <c r="I39" s="27">
        <f t="shared" si="0"/>
        <v>0</v>
      </c>
      <c r="J39" s="4"/>
      <c r="K39" s="580">
        <f>VLOOKUP(C39,'[1]FA Continuity 2009'!$B$10:$M$45,8,$C$16:$C$48)</f>
        <v>0</v>
      </c>
      <c r="L39" s="580">
        <f>VLOOKUP(C39,'[1]FA Continuity 2009'!$B$10:$M$45,9,$C$16:$C$48)</f>
        <v>0</v>
      </c>
      <c r="M39" s="580">
        <f>-VLOOKUP(C39,'[1]FA Continuity 2009'!$B$10:$M$45,10,$C$16:$C$48)</f>
        <v>0</v>
      </c>
      <c r="N39" s="27">
        <f t="shared" si="1"/>
        <v>0</v>
      </c>
      <c r="O39" s="28">
        <f t="shared" si="2"/>
        <v>0</v>
      </c>
    </row>
    <row r="40" spans="2:15" x14ac:dyDescent="0.2">
      <c r="B40" s="7">
        <v>8</v>
      </c>
      <c r="C40" s="7">
        <v>1950</v>
      </c>
      <c r="D40" s="2" t="s">
        <v>473</v>
      </c>
      <c r="E40" s="582"/>
      <c r="F40" s="580">
        <f>VLOOKUP(C40,'[1]FA Continuity 2009'!$B$10:$M$45,3,$C$16:$C$48)</f>
        <v>0</v>
      </c>
      <c r="G40" s="580">
        <f>VLOOKUP(C40,'[1]FA Continuity 2009'!$B$10:$M$45,4,$C$16:$C$48)</f>
        <v>0</v>
      </c>
      <c r="H40" s="580">
        <f>-VLOOKUP(C40,'[1]FA Continuity 2009'!$B$10:$M$45,5,$C$16:$C$48)</f>
        <v>0</v>
      </c>
      <c r="I40" s="27">
        <f t="shared" si="0"/>
        <v>0</v>
      </c>
      <c r="J40" s="4"/>
      <c r="K40" s="580">
        <f>VLOOKUP(C40,'[1]FA Continuity 2009'!$B$10:$M$45,8,$C$16:$C$48)</f>
        <v>0</v>
      </c>
      <c r="L40" s="580">
        <f>VLOOKUP(C40,'[1]FA Continuity 2009'!$B$10:$M$45,9,$C$16:$C$48)</f>
        <v>0</v>
      </c>
      <c r="M40" s="580">
        <f>-VLOOKUP(C40,'[1]FA Continuity 2009'!$B$10:$M$45,10,$C$16:$C$48)</f>
        <v>0</v>
      </c>
      <c r="N40" s="27">
        <f t="shared" si="1"/>
        <v>0</v>
      </c>
      <c r="O40" s="28">
        <f t="shared" si="2"/>
        <v>0</v>
      </c>
    </row>
    <row r="41" spans="2:15" x14ac:dyDescent="0.2">
      <c r="B41" s="7">
        <v>8</v>
      </c>
      <c r="C41" s="7">
        <v>1955</v>
      </c>
      <c r="D41" s="2" t="s">
        <v>568</v>
      </c>
      <c r="E41" s="582">
        <f>'App.2-B1_Depr Rates'!E45</f>
        <v>0.1</v>
      </c>
      <c r="F41" s="580">
        <f>VLOOKUP(C41,'[1]FA Continuity 2009'!$B$10:$M$45,3,$C$16:$C$48)</f>
        <v>24604</v>
      </c>
      <c r="G41" s="580">
        <f>VLOOKUP(C41,'[1]FA Continuity 2009'!$B$10:$M$45,4,$C$16:$C$48)</f>
        <v>0</v>
      </c>
      <c r="H41" s="580">
        <f>-VLOOKUP(C41,'[1]FA Continuity 2009'!$B$10:$M$45,5,$C$16:$C$48)</f>
        <v>0</v>
      </c>
      <c r="I41" s="27">
        <f t="shared" si="0"/>
        <v>24604</v>
      </c>
      <c r="J41" s="4"/>
      <c r="K41" s="580">
        <f>VLOOKUP(C41,'[1]FA Continuity 2009'!$B$10:$M$45,8,$C$16:$C$48)</f>
        <v>17573.809999999998</v>
      </c>
      <c r="L41" s="580">
        <f>VLOOKUP(C41,'[1]FA Continuity 2009'!$B$10:$M$45,9,$C$16:$C$48)</f>
        <v>1646.84</v>
      </c>
      <c r="M41" s="580">
        <f>-VLOOKUP(C41,'[1]FA Continuity 2009'!$B$10:$M$45,10,$C$16:$C$48)</f>
        <v>0</v>
      </c>
      <c r="N41" s="27">
        <f t="shared" si="1"/>
        <v>19220.649999999998</v>
      </c>
      <c r="O41" s="28">
        <f t="shared" si="2"/>
        <v>5383.3500000000022</v>
      </c>
    </row>
    <row r="42" spans="2:15" x14ac:dyDescent="0.2">
      <c r="B42" s="457">
        <v>8</v>
      </c>
      <c r="C42" s="457">
        <v>1960</v>
      </c>
      <c r="D42" s="456" t="s">
        <v>475</v>
      </c>
      <c r="E42" s="582"/>
      <c r="F42" s="580">
        <f>VLOOKUP(C42,'[1]FA Continuity 2009'!$B$10:$M$45,3,$C$16:$C$48)</f>
        <v>0</v>
      </c>
      <c r="G42" s="580">
        <f>VLOOKUP(C42,'[1]FA Continuity 2009'!$B$10:$M$45,4,$C$16:$C$48)</f>
        <v>0</v>
      </c>
      <c r="H42" s="580">
        <f>-VLOOKUP(C42,'[1]FA Continuity 2009'!$B$10:$M$45,5,$C$16:$C$48)</f>
        <v>0</v>
      </c>
      <c r="I42" s="27">
        <f t="shared" si="0"/>
        <v>0</v>
      </c>
      <c r="J42" s="4"/>
      <c r="K42" s="580">
        <f>VLOOKUP(C42,'[1]FA Continuity 2009'!$B$10:$M$45,8,$C$16:$C$48)</f>
        <v>0</v>
      </c>
      <c r="L42" s="580">
        <f>VLOOKUP(C42,'[1]FA Continuity 2009'!$B$10:$M$45,9,$C$16:$C$48)</f>
        <v>0</v>
      </c>
      <c r="M42" s="580">
        <f>-VLOOKUP(C42,'[1]FA Continuity 2009'!$B$10:$M$45,10,$C$16:$C$48)</f>
        <v>0</v>
      </c>
      <c r="N42" s="27">
        <f t="shared" si="1"/>
        <v>0</v>
      </c>
      <c r="O42" s="28">
        <f t="shared" si="2"/>
        <v>0</v>
      </c>
    </row>
    <row r="43" spans="2:15" x14ac:dyDescent="0.2">
      <c r="B43" s="7">
        <v>47</v>
      </c>
      <c r="C43" s="7">
        <v>1975</v>
      </c>
      <c r="D43" s="2" t="s">
        <v>569</v>
      </c>
      <c r="E43" s="582"/>
      <c r="F43" s="580">
        <f>VLOOKUP(C43,'[1]FA Continuity 2009'!$B$10:$M$45,3,$C$16:$C$48)</f>
        <v>0</v>
      </c>
      <c r="G43" s="580">
        <f>VLOOKUP(C43,'[1]FA Continuity 2009'!$B$10:$M$45,4,$C$16:$C$48)</f>
        <v>0</v>
      </c>
      <c r="H43" s="580">
        <f>-VLOOKUP(C43,'[1]FA Continuity 2009'!$B$10:$M$45,5,$C$16:$C$48)</f>
        <v>0</v>
      </c>
      <c r="I43" s="27">
        <f t="shared" si="0"/>
        <v>0</v>
      </c>
      <c r="J43" s="4"/>
      <c r="K43" s="580">
        <f>VLOOKUP(C43,'[1]FA Continuity 2009'!$B$10:$M$45,8,$C$16:$C$48)</f>
        <v>0</v>
      </c>
      <c r="L43" s="580">
        <f>VLOOKUP(C43,'[1]FA Continuity 2009'!$B$10:$M$45,9,$C$16:$C$48)</f>
        <v>0</v>
      </c>
      <c r="M43" s="580">
        <f>-VLOOKUP(C43,'[1]FA Continuity 2009'!$B$10:$M$45,10,$C$16:$C$48)</f>
        <v>0</v>
      </c>
      <c r="N43" s="27">
        <f t="shared" si="1"/>
        <v>0</v>
      </c>
      <c r="O43" s="28">
        <f t="shared" si="2"/>
        <v>0</v>
      </c>
    </row>
    <row r="44" spans="2:15" x14ac:dyDescent="0.2">
      <c r="B44" s="7">
        <v>47</v>
      </c>
      <c r="C44" s="7">
        <v>1980</v>
      </c>
      <c r="D44" s="2" t="s">
        <v>570</v>
      </c>
      <c r="E44" s="582"/>
      <c r="F44" s="580">
        <f>VLOOKUP(C44,'[1]FA Continuity 2009'!$B$10:$M$45,3,$C$16:$C$48)</f>
        <v>0</v>
      </c>
      <c r="G44" s="580">
        <f>VLOOKUP(C44,'[1]FA Continuity 2009'!$B$10:$M$45,4,$C$16:$C$48)</f>
        <v>0</v>
      </c>
      <c r="H44" s="580">
        <f>-VLOOKUP(C44,'[1]FA Continuity 2009'!$B$10:$M$45,5,$C$16:$C$48)</f>
        <v>0</v>
      </c>
      <c r="I44" s="27">
        <f t="shared" si="0"/>
        <v>0</v>
      </c>
      <c r="J44" s="4"/>
      <c r="K44" s="580">
        <f>VLOOKUP(C44,'[1]FA Continuity 2009'!$B$10:$M$45,8,$C$16:$C$48)</f>
        <v>0</v>
      </c>
      <c r="L44" s="580">
        <f>VLOOKUP(C44,'[1]FA Continuity 2009'!$B$10:$M$45,9,$C$16:$C$48)</f>
        <v>0</v>
      </c>
      <c r="M44" s="580">
        <f>-VLOOKUP(C44,'[1]FA Continuity 2009'!$B$10:$M$45,10,$C$16:$C$48)</f>
        <v>0</v>
      </c>
      <c r="N44" s="27">
        <f t="shared" si="1"/>
        <v>0</v>
      </c>
      <c r="O44" s="28">
        <f t="shared" si="2"/>
        <v>0</v>
      </c>
    </row>
    <row r="45" spans="2:15" x14ac:dyDescent="0.2">
      <c r="B45" s="7">
        <v>47</v>
      </c>
      <c r="C45" s="7">
        <v>1985</v>
      </c>
      <c r="D45" s="2" t="s">
        <v>571</v>
      </c>
      <c r="E45" s="582">
        <f>VLOOKUP(C45,'App.2-B1_Depr Rates'!$C$16:$E$51,3,$C$16:$C$51)</f>
        <v>0.1</v>
      </c>
      <c r="F45" s="580">
        <f>VLOOKUP(C45,'[1]FA Continuity 2009'!$B$10:$M$45,3,$C$16:$C$48)</f>
        <v>0</v>
      </c>
      <c r="G45" s="580">
        <f>VLOOKUP(C45,'[1]FA Continuity 2009'!$B$10:$M$45,4,$C$16:$C$48)</f>
        <v>0</v>
      </c>
      <c r="H45" s="580">
        <f>-VLOOKUP(C45,'[1]FA Continuity 2009'!$B$10:$M$45,5,$C$16:$C$48)</f>
        <v>0</v>
      </c>
      <c r="I45" s="27">
        <f t="shared" si="0"/>
        <v>0</v>
      </c>
      <c r="J45" s="4"/>
      <c r="K45" s="580">
        <f>VLOOKUP(C45,'[1]FA Continuity 2009'!$B$10:$M$45,8,$C$16:$C$48)</f>
        <v>0</v>
      </c>
      <c r="L45" s="580">
        <f>VLOOKUP(C45,'[1]FA Continuity 2009'!$B$10:$M$45,9,$C$16:$C$48)</f>
        <v>0</v>
      </c>
      <c r="M45" s="580">
        <f>-VLOOKUP(C45,'[1]FA Continuity 2009'!$B$10:$M$45,10,$C$16:$C$48)</f>
        <v>0</v>
      </c>
      <c r="N45" s="27">
        <f t="shared" si="1"/>
        <v>0</v>
      </c>
      <c r="O45" s="28">
        <f t="shared" si="2"/>
        <v>0</v>
      </c>
    </row>
    <row r="46" spans="2:15" x14ac:dyDescent="0.2">
      <c r="B46" s="7">
        <v>47</v>
      </c>
      <c r="C46" s="7">
        <v>1995</v>
      </c>
      <c r="D46" s="2" t="s">
        <v>572</v>
      </c>
      <c r="E46" s="582">
        <f>VLOOKUP(C46,'App.2-B1_Depr Rates'!$C$16:$E$51,3,$C$16:$C$51)</f>
        <v>0.04</v>
      </c>
      <c r="F46" s="580">
        <f>VLOOKUP(C46,'[1]FA Continuity 2009'!$B$10:$M$45,3,$C$16:$C$48)</f>
        <v>-3455631.41</v>
      </c>
      <c r="G46" s="580">
        <f>VLOOKUP(C46,'[1]FA Continuity 2009'!$B$10:$M$45,4,$C$16:$C$48)</f>
        <v>-189711.12</v>
      </c>
      <c r="H46" s="580">
        <f>-VLOOKUP(C46,'[1]FA Continuity 2009'!$B$10:$M$45,5,$C$16:$C$48)</f>
        <v>0</v>
      </c>
      <c r="I46" s="27">
        <f t="shared" si="0"/>
        <v>-3645342.5300000003</v>
      </c>
      <c r="J46" s="4"/>
      <c r="K46" s="580">
        <f>VLOOKUP(C46,'[1]FA Continuity 2009'!$B$10:$M$45,8,$C$16:$C$48)</f>
        <v>-620007.49</v>
      </c>
      <c r="L46" s="580">
        <f>VLOOKUP(C46,'[1]FA Continuity 2009'!$B$10:$M$45,9,$C$16:$C$48)</f>
        <v>-143571.63</v>
      </c>
      <c r="M46" s="580">
        <f>-VLOOKUP(C46,'[1]FA Continuity 2009'!$B$10:$M$45,10,$C$16:$C$48)</f>
        <v>0</v>
      </c>
      <c r="N46" s="27">
        <f t="shared" si="1"/>
        <v>-763579.12</v>
      </c>
      <c r="O46" s="28">
        <f t="shared" si="2"/>
        <v>-2881763.41</v>
      </c>
    </row>
    <row r="47" spans="2:15" x14ac:dyDescent="0.2">
      <c r="B47" s="7"/>
      <c r="C47" s="7" t="s">
        <v>636</v>
      </c>
      <c r="D47" s="2"/>
      <c r="E47" s="473"/>
      <c r="F47" s="580"/>
      <c r="G47" s="580"/>
      <c r="H47" s="580"/>
      <c r="I47" s="27">
        <f t="shared" si="0"/>
        <v>0</v>
      </c>
      <c r="K47" s="580"/>
      <c r="L47" s="580"/>
      <c r="M47" s="580"/>
      <c r="N47" s="27">
        <f t="shared" si="1"/>
        <v>0</v>
      </c>
      <c r="O47" s="28">
        <f t="shared" si="2"/>
        <v>0</v>
      </c>
    </row>
    <row r="48" spans="2:15" x14ac:dyDescent="0.2">
      <c r="B48" s="7"/>
      <c r="C48" s="7"/>
      <c r="D48" s="2"/>
      <c r="E48" s="473"/>
      <c r="F48" s="580"/>
      <c r="G48" s="580"/>
      <c r="H48" s="580"/>
      <c r="I48" s="2"/>
      <c r="K48" s="580"/>
      <c r="L48" s="580"/>
      <c r="M48" s="580"/>
      <c r="N48" s="2"/>
      <c r="O48" s="28">
        <f t="shared" si="2"/>
        <v>0</v>
      </c>
    </row>
    <row r="49" spans="2:15" x14ac:dyDescent="0.2">
      <c r="B49" s="7"/>
      <c r="C49" s="7"/>
      <c r="D49" s="26" t="s">
        <v>573</v>
      </c>
      <c r="E49" s="26"/>
      <c r="F49" s="32">
        <f>SUM(F16:F47)</f>
        <v>21862681.680000003</v>
      </c>
      <c r="G49" s="32">
        <f>SUM(G16:G47)</f>
        <v>569399.14999999979</v>
      </c>
      <c r="H49" s="32">
        <f>SUM(H16:H47)</f>
        <v>0</v>
      </c>
      <c r="I49" s="32">
        <f>SUM(I16:I47)</f>
        <v>22432080.829999998</v>
      </c>
      <c r="J49" s="33"/>
      <c r="K49" s="34">
        <f>SUM(K16:K47)</f>
        <v>13052259.550000001</v>
      </c>
      <c r="L49" s="34">
        <f>SUM(L16:L47)</f>
        <v>852413.55000000016</v>
      </c>
      <c r="M49" s="34">
        <f>SUM(M16:M47)</f>
        <v>0</v>
      </c>
      <c r="N49" s="34">
        <f>SUM(N16:N47)</f>
        <v>13904673.100000001</v>
      </c>
      <c r="O49" s="34">
        <f>SUM(O16:O47)</f>
        <v>8527407.7299999967</v>
      </c>
    </row>
    <row r="51" spans="2:15" x14ac:dyDescent="0.2">
      <c r="E51" s="3"/>
      <c r="K51" s="5" t="s">
        <v>575</v>
      </c>
      <c r="L51" s="5"/>
    </row>
    <row r="52" spans="2:15" x14ac:dyDescent="0.2">
      <c r="B52" s="7">
        <v>10</v>
      </c>
      <c r="C52" s="7">
        <v>1935</v>
      </c>
      <c r="D52" s="2" t="s">
        <v>574</v>
      </c>
      <c r="E52" s="3"/>
      <c r="F52" s="581"/>
      <c r="K52" s="5" t="s">
        <v>574</v>
      </c>
      <c r="L52" s="5"/>
      <c r="M52" s="164">
        <f>'[1]FA Continuity 2009'!$J$52</f>
        <v>0</v>
      </c>
    </row>
    <row r="53" spans="2:15" x14ac:dyDescent="0.2">
      <c r="B53" s="7">
        <v>10</v>
      </c>
      <c r="C53" s="7">
        <v>1955</v>
      </c>
      <c r="D53" s="2" t="s">
        <v>749</v>
      </c>
      <c r="K53" s="5" t="s">
        <v>749</v>
      </c>
      <c r="L53" s="5"/>
      <c r="M53" s="165">
        <f>'[1]FA Continuity 2009'!$J$53</f>
        <v>0</v>
      </c>
    </row>
    <row r="54" spans="2:15" x14ac:dyDescent="0.2">
      <c r="K54" s="6" t="s">
        <v>576</v>
      </c>
      <c r="M54" s="29">
        <f>L49-M52-M53</f>
        <v>852413.55000000016</v>
      </c>
    </row>
    <row r="56" spans="2:15" ht="14.25" x14ac:dyDescent="0.2">
      <c r="B56" s="661" t="s">
        <v>176</v>
      </c>
      <c r="C56" s="662"/>
      <c r="D56" s="662"/>
      <c r="E56" s="662"/>
      <c r="F56" s="662"/>
    </row>
    <row r="58" spans="2:15" x14ac:dyDescent="0.2">
      <c r="B58" s="412" t="s">
        <v>639</v>
      </c>
    </row>
    <row r="60" spans="2:15" x14ac:dyDescent="0.2">
      <c r="B60" s="1">
        <v>1</v>
      </c>
      <c r="C60" s="660" t="s">
        <v>434</v>
      </c>
      <c r="D60" s="660"/>
      <c r="E60" s="660"/>
      <c r="F60" s="660"/>
      <c r="G60" s="660"/>
      <c r="H60" s="660"/>
      <c r="I60" s="660"/>
      <c r="J60" s="660"/>
      <c r="K60" s="660"/>
      <c r="L60" s="660"/>
      <c r="M60" s="660"/>
      <c r="N60" s="660"/>
      <c r="O60" s="660"/>
    </row>
    <row r="61" spans="2:15" x14ac:dyDescent="0.2">
      <c r="C61" s="660"/>
      <c r="D61" s="660"/>
      <c r="E61" s="660"/>
      <c r="F61" s="660"/>
      <c r="G61" s="660"/>
      <c r="H61" s="660"/>
      <c r="I61" s="660"/>
      <c r="J61" s="660"/>
      <c r="K61" s="660"/>
      <c r="L61" s="660"/>
      <c r="M61" s="660"/>
      <c r="N61" s="660"/>
      <c r="O61" s="660"/>
    </row>
    <row r="63" spans="2:15" ht="12.75" customHeight="1" x14ac:dyDescent="0.2"/>
    <row r="64" spans="2:15" x14ac:dyDescent="0.2">
      <c r="B64" s="1">
        <v>2</v>
      </c>
      <c r="C64" s="667" t="s">
        <v>99</v>
      </c>
      <c r="D64" s="667"/>
      <c r="E64" s="667"/>
      <c r="F64" s="667"/>
      <c r="G64" s="667"/>
      <c r="H64" s="667"/>
      <c r="I64" s="667"/>
      <c r="J64" s="667"/>
      <c r="K64" s="667"/>
      <c r="L64" s="667"/>
      <c r="M64" s="667"/>
      <c r="N64" s="667"/>
      <c r="O64" s="667"/>
    </row>
    <row r="65" spans="2:15" x14ac:dyDescent="0.2">
      <c r="C65" s="667"/>
      <c r="D65" s="667"/>
      <c r="E65" s="667"/>
      <c r="F65" s="667"/>
      <c r="G65" s="667"/>
      <c r="H65" s="667"/>
      <c r="I65" s="667"/>
      <c r="J65" s="667"/>
      <c r="K65" s="667"/>
      <c r="L65" s="667"/>
      <c r="M65" s="667"/>
      <c r="N65" s="667"/>
      <c r="O65" s="667"/>
    </row>
    <row r="67" spans="2:15" x14ac:dyDescent="0.2">
      <c r="B67" s="1">
        <v>3</v>
      </c>
      <c r="C67" s="657" t="s">
        <v>435</v>
      </c>
      <c r="D67" s="657"/>
      <c r="E67" s="657"/>
      <c r="F67" s="657"/>
      <c r="G67" s="657"/>
      <c r="H67" s="657"/>
      <c r="I67" s="657"/>
      <c r="J67" s="657"/>
      <c r="K67" s="657"/>
      <c r="L67" s="657"/>
      <c r="M67" s="657"/>
      <c r="N67" s="657"/>
      <c r="O67" s="657"/>
    </row>
  </sheetData>
  <mergeCells count="8">
    <mergeCell ref="C64:O65"/>
    <mergeCell ref="C67:O67"/>
    <mergeCell ref="F9:I9"/>
    <mergeCell ref="F10:J10"/>
    <mergeCell ref="G12:H12"/>
    <mergeCell ref="F14:I14"/>
    <mergeCell ref="B56:F56"/>
    <mergeCell ref="C60:O61"/>
  </mergeCells>
  <dataValidations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O67"/>
  <sheetViews>
    <sheetView showGridLines="0" topLeftCell="B30" zoomScaleNormal="100" workbookViewId="0">
      <selection activeCell="E21" sqref="E21"/>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2010</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Rates'!$C$16:$E$51,3,$C$16:$C$51)</f>
        <v>0</v>
      </c>
      <c r="F16" s="580">
        <f>VLOOKUP(C16,'[1]FA Continuity 2010'!$B$10:$M$45,3,$C$16:$C$48)</f>
        <v>2112</v>
      </c>
      <c r="G16" s="580">
        <f>VLOOKUP(C16,'[1]FA Continuity 2010'!$B$10:$M$45,4,$C$16:$C$48)</f>
        <v>0</v>
      </c>
      <c r="H16" s="580">
        <f>-VLOOKUP(C16,'[1]FA Continuity 2010'!$B$10:$M$45,5,$C$16:$C$48)</f>
        <v>0</v>
      </c>
      <c r="I16" s="27">
        <f>F16+G16+H16</f>
        <v>2112</v>
      </c>
      <c r="J16" s="4"/>
      <c r="K16" s="580">
        <f>VLOOKUP(C16,'[1]FA Continuity 2010'!$B$10:$M$45,8,$C$16:$C$48)</f>
        <v>0</v>
      </c>
      <c r="L16" s="580">
        <f>VLOOKUP(C16,'[1]FA Continuity 2010'!$B$10:$M$45,9,$C$16:$C$48)</f>
        <v>0</v>
      </c>
      <c r="M16" s="580">
        <f>-VLOOKUP(C16,'[1]FA Continuity 2010'!$B$10:$M$45,10,$C$16:$C$48)</f>
        <v>0</v>
      </c>
      <c r="N16" s="27">
        <f>K16+L16+M16</f>
        <v>0</v>
      </c>
      <c r="O16" s="28">
        <f>I16-N16</f>
        <v>2112</v>
      </c>
    </row>
    <row r="17" spans="2:15" x14ac:dyDescent="0.2">
      <c r="B17" s="7">
        <v>47</v>
      </c>
      <c r="C17" s="7">
        <v>1808</v>
      </c>
      <c r="D17" s="2" t="s">
        <v>537</v>
      </c>
      <c r="E17" s="582"/>
      <c r="F17" s="580">
        <f>VLOOKUP(C17,'[1]FA Continuity 2010'!$B$10:$M$45,3,$C$16:$C$48)</f>
        <v>0</v>
      </c>
      <c r="G17" s="580">
        <f>VLOOKUP(C17,'[1]FA Continuity 2010'!$B$10:$M$45,4,$C$16:$C$48)</f>
        <v>0</v>
      </c>
      <c r="H17" s="580">
        <f>-VLOOKUP(C17,'[1]FA Continuity 2010'!$B$10:$M$45,5,$C$16:$C$48)</f>
        <v>0</v>
      </c>
      <c r="I17" s="27">
        <f t="shared" ref="I17:I47" si="0">F17+G17+H17</f>
        <v>0</v>
      </c>
      <c r="J17" s="4"/>
      <c r="K17" s="580">
        <f>VLOOKUP(C17,'[1]FA Continuity 2010'!$B$10:$M$45,8,$C$16:$C$48)</f>
        <v>0</v>
      </c>
      <c r="L17" s="580">
        <f>VLOOKUP(C17,'[1]FA Continuity 2010'!$B$10:$M$45,9,$C$16:$C$48)</f>
        <v>0</v>
      </c>
      <c r="M17" s="580">
        <f>-VLOOKUP(C17,'[1]FA Continuity 2010'!$B$10:$M$45,10,$C$16:$C$48)</f>
        <v>0</v>
      </c>
      <c r="N17" s="27">
        <f t="shared" ref="N17:N47" si="1">K17+L17+M17</f>
        <v>0</v>
      </c>
      <c r="O17" s="28">
        <f t="shared" ref="O17:O48" si="2">I17-N17</f>
        <v>0</v>
      </c>
    </row>
    <row r="18" spans="2:15" x14ac:dyDescent="0.2">
      <c r="B18" s="7">
        <v>13</v>
      </c>
      <c r="C18" s="7">
        <v>1810</v>
      </c>
      <c r="D18" s="2" t="s">
        <v>579</v>
      </c>
      <c r="E18" s="582"/>
      <c r="F18" s="580">
        <f>VLOOKUP(C18,'[1]FA Continuity 2010'!$B$10:$M$45,3,$C$16:$C$48)</f>
        <v>0</v>
      </c>
      <c r="G18" s="580">
        <f>VLOOKUP(C18,'[1]FA Continuity 2010'!$B$10:$M$45,4,$C$16:$C$48)</f>
        <v>0</v>
      </c>
      <c r="H18" s="580">
        <f>-VLOOKUP(C18,'[1]FA Continuity 2010'!$B$10:$M$45,5,$C$16:$C$48)</f>
        <v>0</v>
      </c>
      <c r="I18" s="27">
        <f t="shared" si="0"/>
        <v>0</v>
      </c>
      <c r="J18" s="4"/>
      <c r="K18" s="580">
        <f>VLOOKUP(C18,'[1]FA Continuity 2010'!$B$10:$M$45,8,$C$16:$C$48)</f>
        <v>0</v>
      </c>
      <c r="L18" s="580">
        <f>VLOOKUP(C18,'[1]FA Continuity 2010'!$B$10:$M$45,9,$C$16:$C$48)</f>
        <v>0</v>
      </c>
      <c r="M18" s="580">
        <f>-VLOOKUP(C18,'[1]FA Continuity 2010'!$B$10:$M$45,10,$C$16:$C$48)</f>
        <v>0</v>
      </c>
      <c r="N18" s="27">
        <f t="shared" si="1"/>
        <v>0</v>
      </c>
      <c r="O18" s="28">
        <f t="shared" si="2"/>
        <v>0</v>
      </c>
    </row>
    <row r="19" spans="2:15" x14ac:dyDescent="0.2">
      <c r="B19" s="7">
        <v>47</v>
      </c>
      <c r="C19" s="7">
        <v>1815</v>
      </c>
      <c r="D19" s="2" t="s">
        <v>538</v>
      </c>
      <c r="E19" s="582"/>
      <c r="F19" s="580">
        <f>VLOOKUP(C19,'[1]FA Continuity 2010'!$B$10:$M$45,3,$C$16:$C$48)</f>
        <v>0</v>
      </c>
      <c r="G19" s="580">
        <f>VLOOKUP(C19,'[1]FA Continuity 2010'!$B$10:$M$45,4,$C$16:$C$48)</f>
        <v>0</v>
      </c>
      <c r="H19" s="580">
        <f>-VLOOKUP(C19,'[1]FA Continuity 2010'!$B$10:$M$45,5,$C$16:$C$48)</f>
        <v>0</v>
      </c>
      <c r="I19" s="27">
        <f t="shared" si="0"/>
        <v>0</v>
      </c>
      <c r="J19" s="4"/>
      <c r="K19" s="580">
        <f>VLOOKUP(C19,'[1]FA Continuity 2010'!$B$10:$M$45,8,$C$16:$C$48)</f>
        <v>0</v>
      </c>
      <c r="L19" s="580">
        <f>VLOOKUP(C19,'[1]FA Continuity 2010'!$B$10:$M$45,9,$C$16:$C$48)</f>
        <v>0</v>
      </c>
      <c r="M19" s="580">
        <f>-VLOOKUP(C19,'[1]FA Continuity 2010'!$B$10:$M$45,10,$C$16:$C$48)</f>
        <v>0</v>
      </c>
      <c r="N19" s="27">
        <f t="shared" si="1"/>
        <v>0</v>
      </c>
      <c r="O19" s="28">
        <f t="shared" si="2"/>
        <v>0</v>
      </c>
    </row>
    <row r="20" spans="2:15" x14ac:dyDescent="0.2">
      <c r="B20" s="7">
        <v>47</v>
      </c>
      <c r="C20" s="7">
        <v>1820</v>
      </c>
      <c r="D20" s="456" t="s">
        <v>462</v>
      </c>
      <c r="E20" s="582">
        <f>VLOOKUP(C20,'App.2-B1_Depr Rates'!$C$16:$E$51,3,$C$16:$C$51)</f>
        <v>0.04</v>
      </c>
      <c r="F20" s="580">
        <f>VLOOKUP(C20,'[1]FA Continuity 2010'!$B$10:$M$45,3,$C$16:$C$48)</f>
        <v>142098.48000000001</v>
      </c>
      <c r="G20" s="580">
        <f>VLOOKUP(C20,'[1]FA Continuity 2010'!$B$10:$M$45,4,$C$16:$C$48)</f>
        <v>0</v>
      </c>
      <c r="H20" s="580">
        <f>-VLOOKUP(C20,'[1]FA Continuity 2010'!$B$10:$M$45,5,$C$16:$C$48)</f>
        <v>0</v>
      </c>
      <c r="I20" s="27">
        <f t="shared" si="0"/>
        <v>142098.48000000001</v>
      </c>
      <c r="J20" s="4"/>
      <c r="K20" s="580">
        <f>VLOOKUP(C20,'[1]FA Continuity 2010'!$B$10:$M$45,8,$C$16:$C$48)</f>
        <v>140828.39000000001</v>
      </c>
      <c r="L20" s="580">
        <f>VLOOKUP(C20,'[1]FA Continuity 2010'!$B$10:$M$45,9,$C$16:$C$48)</f>
        <v>61.97</v>
      </c>
      <c r="M20" s="580">
        <f>-VLOOKUP(C20,'[1]FA Continuity 2010'!$B$10:$M$45,10,$C$16:$C$48)</f>
        <v>0</v>
      </c>
      <c r="N20" s="27">
        <f t="shared" si="1"/>
        <v>140890.36000000002</v>
      </c>
      <c r="O20" s="28">
        <f t="shared" si="2"/>
        <v>1208.1199999999953</v>
      </c>
    </row>
    <row r="21" spans="2:15" x14ac:dyDescent="0.2">
      <c r="B21" s="7">
        <v>47</v>
      </c>
      <c r="C21" s="7">
        <v>1825</v>
      </c>
      <c r="D21" s="2" t="s">
        <v>539</v>
      </c>
      <c r="E21" s="582"/>
      <c r="F21" s="580">
        <f>VLOOKUP(C21,'[1]FA Continuity 2010'!$B$10:$M$45,3,$C$16:$C$48)</f>
        <v>0</v>
      </c>
      <c r="G21" s="580">
        <f>VLOOKUP(C21,'[1]FA Continuity 2010'!$B$10:$M$45,4,$C$16:$C$48)</f>
        <v>0</v>
      </c>
      <c r="H21" s="580">
        <f>-VLOOKUP(C21,'[1]FA Continuity 2010'!$B$10:$M$45,5,$C$16:$C$48)</f>
        <v>0</v>
      </c>
      <c r="I21" s="27">
        <f t="shared" si="0"/>
        <v>0</v>
      </c>
      <c r="J21" s="4"/>
      <c r="K21" s="580">
        <f>VLOOKUP(C21,'[1]FA Continuity 2010'!$B$10:$M$45,8,$C$16:$C$48)</f>
        <v>0</v>
      </c>
      <c r="L21" s="580">
        <f>VLOOKUP(C21,'[1]FA Continuity 2010'!$B$10:$M$45,9,$C$16:$C$48)</f>
        <v>0</v>
      </c>
      <c r="M21" s="580">
        <f>-VLOOKUP(C21,'[1]FA Continuity 2010'!$B$10:$M$45,10,$C$16:$C$48)</f>
        <v>0</v>
      </c>
      <c r="N21" s="27">
        <f t="shared" si="1"/>
        <v>0</v>
      </c>
      <c r="O21" s="28">
        <f t="shared" si="2"/>
        <v>0</v>
      </c>
    </row>
    <row r="22" spans="2:15" x14ac:dyDescent="0.2">
      <c r="B22" s="7">
        <v>47</v>
      </c>
      <c r="C22" s="7">
        <v>1830</v>
      </c>
      <c r="D22" s="2" t="s">
        <v>540</v>
      </c>
      <c r="E22" s="582">
        <f>VLOOKUP(C22,'App.2-B1_Depr Rates'!$C$16:$E$51,3,$C$16:$C$51)</f>
        <v>0.04</v>
      </c>
      <c r="F22" s="580">
        <f>VLOOKUP(C22,'[1]FA Continuity 2010'!$B$10:$M$45,3,$C$16:$C$48)</f>
        <v>731962.29</v>
      </c>
      <c r="G22" s="580">
        <f>VLOOKUP(C22,'[1]FA Continuity 2010'!$B$10:$M$45,4,$C$16:$C$48)</f>
        <v>105761.89</v>
      </c>
      <c r="H22" s="580">
        <f>-VLOOKUP(C22,'[1]FA Continuity 2010'!$B$10:$M$45,5,$C$16:$C$48)</f>
        <v>0</v>
      </c>
      <c r="I22" s="27">
        <f t="shared" si="0"/>
        <v>837724.18</v>
      </c>
      <c r="J22" s="4"/>
      <c r="K22" s="580">
        <f>VLOOKUP(C22,'[1]FA Continuity 2010'!$B$10:$M$45,8,$C$16:$C$48)</f>
        <v>131664.43</v>
      </c>
      <c r="L22" s="580">
        <f>VLOOKUP(C22,'[1]FA Continuity 2010'!$B$10:$M$45,9,$C$16:$C$48)</f>
        <v>31403.71</v>
      </c>
      <c r="M22" s="580">
        <f>-VLOOKUP(C22,'[1]FA Continuity 2010'!$B$10:$M$45,10,$C$16:$C$48)</f>
        <v>0</v>
      </c>
      <c r="N22" s="27">
        <f t="shared" si="1"/>
        <v>163068.13999999998</v>
      </c>
      <c r="O22" s="28">
        <f t="shared" si="2"/>
        <v>674656.04</v>
      </c>
    </row>
    <row r="23" spans="2:15" x14ac:dyDescent="0.2">
      <c r="B23" s="7">
        <v>47</v>
      </c>
      <c r="C23" s="7">
        <v>1835</v>
      </c>
      <c r="D23" s="2" t="s">
        <v>463</v>
      </c>
      <c r="E23" s="582">
        <f>VLOOKUP(C23,'App.2-B1_Depr Rates'!$C$16:$E$51,3,$C$16:$C$51)</f>
        <v>0.04</v>
      </c>
      <c r="F23" s="580">
        <f>VLOOKUP(C23,'[1]FA Continuity 2010'!$B$10:$M$45,3,$C$16:$C$48)</f>
        <v>5929700.4000000004</v>
      </c>
      <c r="G23" s="580">
        <f>VLOOKUP(C23,'[1]FA Continuity 2010'!$B$10:$M$45,4,$C$16:$C$48)</f>
        <v>159164.75</v>
      </c>
      <c r="H23" s="580">
        <f>-VLOOKUP(C23,'[1]FA Continuity 2010'!$B$10:$M$45,5,$C$16:$C$48)</f>
        <v>0</v>
      </c>
      <c r="I23" s="27">
        <f t="shared" si="0"/>
        <v>6088865.1500000004</v>
      </c>
      <c r="J23" s="4"/>
      <c r="K23" s="580">
        <f>VLOOKUP(C23,'[1]FA Continuity 2010'!$B$10:$M$45,8,$C$16:$C$48)</f>
        <v>3828999.1</v>
      </c>
      <c r="L23" s="580">
        <f>VLOOKUP(C23,'[1]FA Continuity 2010'!$B$10:$M$45,9,$C$16:$C$48)</f>
        <v>235255.04000000001</v>
      </c>
      <c r="M23" s="580">
        <f>-VLOOKUP(C23,'[1]FA Continuity 2010'!$B$10:$M$45,10,$C$16:$C$48)</f>
        <v>0</v>
      </c>
      <c r="N23" s="27">
        <f t="shared" si="1"/>
        <v>4064254.14</v>
      </c>
      <c r="O23" s="28">
        <f t="shared" si="2"/>
        <v>2024611.0100000002</v>
      </c>
    </row>
    <row r="24" spans="2:15" x14ac:dyDescent="0.2">
      <c r="B24" s="7">
        <v>47</v>
      </c>
      <c r="C24" s="7">
        <v>1840</v>
      </c>
      <c r="D24" s="2" t="s">
        <v>464</v>
      </c>
      <c r="E24" s="582">
        <f>VLOOKUP(C24,'App.2-B1_Depr Rates'!$C$16:$E$51,3,$C$16:$C$51)</f>
        <v>0.04</v>
      </c>
      <c r="F24" s="580">
        <f>VLOOKUP(C24,'[1]FA Continuity 2010'!$B$10:$M$45,3,$C$16:$C$48)</f>
        <v>1045813.7399999999</v>
      </c>
      <c r="G24" s="580">
        <f>VLOOKUP(C24,'[1]FA Continuity 2010'!$B$10:$M$45,4,$C$16:$C$48)</f>
        <v>123093.78</v>
      </c>
      <c r="H24" s="580">
        <f>-VLOOKUP(C24,'[1]FA Continuity 2010'!$B$10:$M$45,5,$C$16:$C$48)</f>
        <v>0</v>
      </c>
      <c r="I24" s="27">
        <f t="shared" si="0"/>
        <v>1168907.5199999998</v>
      </c>
      <c r="J24" s="4"/>
      <c r="K24" s="580">
        <f>VLOOKUP(C24,'[1]FA Continuity 2010'!$B$10:$M$45,8,$C$16:$C$48)</f>
        <v>151215.83000000002</v>
      </c>
      <c r="L24" s="580">
        <f>VLOOKUP(C24,'[1]FA Continuity 2010'!$B$10:$M$45,9,$C$16:$C$48)</f>
        <v>44299.61</v>
      </c>
      <c r="M24" s="580">
        <f>-VLOOKUP(C24,'[1]FA Continuity 2010'!$B$10:$M$45,10,$C$16:$C$48)</f>
        <v>0</v>
      </c>
      <c r="N24" s="27">
        <f t="shared" si="1"/>
        <v>195515.44</v>
      </c>
      <c r="O24" s="28">
        <f t="shared" si="2"/>
        <v>973392.07999999984</v>
      </c>
    </row>
    <row r="25" spans="2:15" x14ac:dyDescent="0.2">
      <c r="B25" s="7">
        <v>47</v>
      </c>
      <c r="C25" s="7">
        <v>1845</v>
      </c>
      <c r="D25" s="2" t="s">
        <v>465</v>
      </c>
      <c r="E25" s="582">
        <f>VLOOKUP(C25,'App.2-B1_Depr Rates'!$C$16:$E$51,3,$C$16:$C$51)</f>
        <v>0.04</v>
      </c>
      <c r="F25" s="580">
        <f>VLOOKUP(C25,'[1]FA Continuity 2010'!$B$10:$M$45,3,$C$16:$C$48)</f>
        <v>6860077.9100000001</v>
      </c>
      <c r="G25" s="580">
        <f>VLOOKUP(C25,'[1]FA Continuity 2010'!$B$10:$M$45,4,$C$16:$C$48)</f>
        <v>216251.23</v>
      </c>
      <c r="H25" s="580">
        <f>-VLOOKUP(C25,'[1]FA Continuity 2010'!$B$10:$M$45,5,$C$16:$C$48)</f>
        <v>0</v>
      </c>
      <c r="I25" s="27">
        <f t="shared" si="0"/>
        <v>7076329.1400000006</v>
      </c>
      <c r="J25" s="4"/>
      <c r="K25" s="580">
        <f>VLOOKUP(C25,'[1]FA Continuity 2010'!$B$10:$M$45,8,$C$16:$C$48)</f>
        <v>4006854.1300000004</v>
      </c>
      <c r="L25" s="580">
        <f>VLOOKUP(C25,'[1]FA Continuity 2010'!$B$10:$M$45,9,$C$16:$C$48)</f>
        <v>261540.26</v>
      </c>
      <c r="M25" s="580">
        <f>-VLOOKUP(C25,'[1]FA Continuity 2010'!$B$10:$M$45,10,$C$16:$C$48)</f>
        <v>0</v>
      </c>
      <c r="N25" s="27">
        <f t="shared" si="1"/>
        <v>4268394.3900000006</v>
      </c>
      <c r="O25" s="28">
        <f t="shared" si="2"/>
        <v>2807934.75</v>
      </c>
    </row>
    <row r="26" spans="2:15" x14ac:dyDescent="0.2">
      <c r="B26" s="7">
        <v>47</v>
      </c>
      <c r="C26" s="7">
        <v>1850</v>
      </c>
      <c r="D26" s="2" t="s">
        <v>541</v>
      </c>
      <c r="E26" s="582">
        <f>VLOOKUP(C26,'App.2-B1_Depr Rates'!$C$16:$E$51,3,$C$16:$C$51)</f>
        <v>0.04</v>
      </c>
      <c r="F26" s="580">
        <f>VLOOKUP(C26,'[1]FA Continuity 2010'!$B$10:$M$45,3,$C$16:$C$48)</f>
        <v>5317718.1099999994</v>
      </c>
      <c r="G26" s="580">
        <f>VLOOKUP(C26,'[1]FA Continuity 2010'!$B$10:$M$45,4,$C$16:$C$48)</f>
        <v>107789.53</v>
      </c>
      <c r="H26" s="580">
        <f>-VLOOKUP(C26,'[1]FA Continuity 2010'!$B$10:$M$45,5,$C$16:$C$48)</f>
        <v>0</v>
      </c>
      <c r="I26" s="27">
        <f t="shared" si="0"/>
        <v>5425507.6399999997</v>
      </c>
      <c r="J26" s="4"/>
      <c r="K26" s="580">
        <f>VLOOKUP(C26,'[1]FA Continuity 2010'!$B$10:$M$45,8,$C$16:$C$48)</f>
        <v>2955197.92</v>
      </c>
      <c r="L26" s="580">
        <f>VLOOKUP(C26,'[1]FA Continuity 2010'!$B$10:$M$45,9,$C$16:$C$48)</f>
        <v>186125.1</v>
      </c>
      <c r="M26" s="580">
        <f>-VLOOKUP(C26,'[1]FA Continuity 2010'!$B$10:$M$45,10,$C$16:$C$48)</f>
        <v>0</v>
      </c>
      <c r="N26" s="27">
        <f t="shared" si="1"/>
        <v>3141323.02</v>
      </c>
      <c r="O26" s="28">
        <f t="shared" si="2"/>
        <v>2284184.6199999996</v>
      </c>
    </row>
    <row r="27" spans="2:15" x14ac:dyDescent="0.2">
      <c r="B27" s="7">
        <v>47</v>
      </c>
      <c r="C27" s="7">
        <v>1855</v>
      </c>
      <c r="D27" s="2" t="s">
        <v>466</v>
      </c>
      <c r="E27" s="582">
        <f>VLOOKUP(C27,'App.2-B1_Depr Rates'!$C$16:$E$51,3,$C$16:$C$51)</f>
        <v>0.04</v>
      </c>
      <c r="F27" s="580">
        <f>VLOOKUP(C27,'[1]FA Continuity 2010'!$B$10:$M$45,3,$C$16:$C$48)</f>
        <v>562459.78999999992</v>
      </c>
      <c r="G27" s="580">
        <f>VLOOKUP(C27,'[1]FA Continuity 2010'!$B$10:$M$45,4,$C$16:$C$48)</f>
        <v>67317.09</v>
      </c>
      <c r="H27" s="580">
        <f>-VLOOKUP(C27,'[1]FA Continuity 2010'!$B$10:$M$45,5,$C$16:$C$48)</f>
        <v>0</v>
      </c>
      <c r="I27" s="27">
        <f t="shared" si="0"/>
        <v>629776.87999999989</v>
      </c>
      <c r="J27" s="4"/>
      <c r="K27" s="580">
        <f>VLOOKUP(C27,'[1]FA Continuity 2010'!$B$10:$M$45,8,$C$16:$C$48)</f>
        <v>87447.23</v>
      </c>
      <c r="L27" s="580">
        <f>VLOOKUP(C27,'[1]FA Continuity 2010'!$B$10:$M$45,9,$C$16:$C$48)</f>
        <v>23853.95</v>
      </c>
      <c r="M27" s="580">
        <f>-VLOOKUP(C27,'[1]FA Continuity 2010'!$B$10:$M$45,10,$C$16:$C$48)</f>
        <v>0</v>
      </c>
      <c r="N27" s="27">
        <f t="shared" si="1"/>
        <v>111301.18</v>
      </c>
      <c r="O27" s="28">
        <f t="shared" si="2"/>
        <v>518475.6999999999</v>
      </c>
    </row>
    <row r="28" spans="2:15" x14ac:dyDescent="0.2">
      <c r="B28" s="7">
        <v>47</v>
      </c>
      <c r="C28" s="7">
        <v>1860</v>
      </c>
      <c r="D28" s="2" t="s">
        <v>542</v>
      </c>
      <c r="E28" s="582">
        <f>'App.2-B1_Depr Rates'!E28</f>
        <v>0.04</v>
      </c>
      <c r="F28" s="580">
        <f>VLOOKUP(C28,'[1]FA Continuity 2010'!$B$10:$M$45,3,$C$16:$C$48)</f>
        <v>1375472.9800000002</v>
      </c>
      <c r="G28" s="580">
        <f>VLOOKUP(C28,'[1]FA Continuity 2010'!$B$10:$M$45,4,$C$16:$C$48)</f>
        <v>26120.35</v>
      </c>
      <c r="H28" s="580">
        <f>-VLOOKUP(C28,'[1]FA Continuity 2010'!$B$10:$M$45,5,$C$16:$C$48)</f>
        <v>-891791.25</v>
      </c>
      <c r="I28" s="27">
        <f t="shared" si="0"/>
        <v>509802.08000000031</v>
      </c>
      <c r="J28" s="4"/>
      <c r="K28" s="580">
        <f>VLOOKUP(C28,'[1]FA Continuity 2010'!$B$10:$M$45,8,$C$16:$C$48)</f>
        <v>648787.32999999996</v>
      </c>
      <c r="L28" s="580">
        <f>VLOOKUP(C28,'[1]FA Continuity 2010'!$B$10:$M$45,9,$C$16:$C$48)</f>
        <v>8508.7800000000007</v>
      </c>
      <c r="M28" s="580">
        <f>-VLOOKUP(C28,'[1]FA Continuity 2010'!$B$10:$M$45,10,$C$16:$C$48)</f>
        <v>-599209.92000000004</v>
      </c>
      <c r="N28" s="27">
        <f t="shared" si="1"/>
        <v>58086.189999999944</v>
      </c>
      <c r="O28" s="28">
        <f t="shared" si="2"/>
        <v>451715.89000000036</v>
      </c>
    </row>
    <row r="29" spans="2:15" x14ac:dyDescent="0.2">
      <c r="B29" s="7" t="s">
        <v>535</v>
      </c>
      <c r="C29" s="7">
        <v>1905</v>
      </c>
      <c r="D29" s="2" t="s">
        <v>536</v>
      </c>
      <c r="E29" s="582">
        <f>VLOOKUP(C29,'App.2-B1_Depr Rates'!$C$16:$E$51,3,$C$16:$C$51)</f>
        <v>0</v>
      </c>
      <c r="F29" s="580">
        <f>VLOOKUP(C29,'[1]FA Continuity 2010'!$B$10:$M$45,3,$C$16:$C$48)</f>
        <v>171765.02</v>
      </c>
      <c r="G29" s="580">
        <f>VLOOKUP(C29,'[1]FA Continuity 2010'!$B$10:$M$45,4,$C$16:$C$48)</f>
        <v>0</v>
      </c>
      <c r="H29" s="580">
        <f>-VLOOKUP(C29,'[1]FA Continuity 2010'!$B$10:$M$45,5,$C$16:$C$48)</f>
        <v>0</v>
      </c>
      <c r="I29" s="27">
        <f t="shared" si="0"/>
        <v>171765.02</v>
      </c>
      <c r="J29" s="4"/>
      <c r="K29" s="580">
        <f>VLOOKUP(C29,'[1]FA Continuity 2010'!$B$10:$M$45,8,$C$16:$C$48)</f>
        <v>0</v>
      </c>
      <c r="L29" s="580">
        <f>VLOOKUP(C29,'[1]FA Continuity 2010'!$B$10:$M$45,9,$C$16:$C$48)</f>
        <v>0</v>
      </c>
      <c r="M29" s="580">
        <f>-VLOOKUP(C29,'[1]FA Continuity 2010'!$B$10:$M$45,10,$C$16:$C$48)</f>
        <v>0</v>
      </c>
      <c r="N29" s="27">
        <f t="shared" si="1"/>
        <v>0</v>
      </c>
      <c r="O29" s="28">
        <f t="shared" si="2"/>
        <v>171765.02</v>
      </c>
    </row>
    <row r="30" spans="2:15" x14ac:dyDescent="0.2">
      <c r="B30" s="7" t="s">
        <v>544</v>
      </c>
      <c r="C30" s="7">
        <v>1906</v>
      </c>
      <c r="D30" s="2" t="s">
        <v>545</v>
      </c>
      <c r="E30" s="582">
        <f>VLOOKUP(C30,'App.2-B1_Depr Rates'!$C$16:$E$51,3,$C$16:$C$51)</f>
        <v>0.02</v>
      </c>
      <c r="F30" s="580">
        <f>VLOOKUP(C30,'[1]FA Continuity 2010'!$B$10:$M$45,3,$C$16:$C$48)</f>
        <v>2944.73</v>
      </c>
      <c r="G30" s="580">
        <f>VLOOKUP(C30,'[1]FA Continuity 2010'!$B$10:$M$45,4,$C$16:$C$48)</f>
        <v>0</v>
      </c>
      <c r="H30" s="580">
        <f>-VLOOKUP(C30,'[1]FA Continuity 2010'!$B$10:$M$45,5,$C$16:$C$48)</f>
        <v>0</v>
      </c>
      <c r="I30" s="27">
        <f t="shared" si="0"/>
        <v>2944.73</v>
      </c>
      <c r="J30" s="4"/>
      <c r="K30" s="580">
        <f>VLOOKUP(C30,'[1]FA Continuity 2010'!$B$10:$M$45,8,$C$16:$C$48)</f>
        <v>2724.73</v>
      </c>
      <c r="L30" s="580">
        <f>VLOOKUP(C30,'[1]FA Continuity 2010'!$B$10:$M$45,9,$C$16:$C$48)</f>
        <v>0</v>
      </c>
      <c r="M30" s="580">
        <f>-VLOOKUP(C30,'[1]FA Continuity 2010'!$B$10:$M$45,10,$C$16:$C$48)</f>
        <v>0</v>
      </c>
      <c r="N30" s="27">
        <f t="shared" si="1"/>
        <v>2724.73</v>
      </c>
      <c r="O30" s="28">
        <f t="shared" si="2"/>
        <v>220</v>
      </c>
    </row>
    <row r="31" spans="2:15" x14ac:dyDescent="0.2">
      <c r="B31" s="7">
        <v>47</v>
      </c>
      <c r="C31" s="7">
        <v>1908</v>
      </c>
      <c r="D31" s="2" t="s">
        <v>546</v>
      </c>
      <c r="E31" s="582">
        <f>VLOOKUP(C31,'App.2-B1_Depr Rates'!$C$16:$E$51,3,$C$16:$C$51)</f>
        <v>0.1</v>
      </c>
      <c r="F31" s="580">
        <f>VLOOKUP(C31,'[1]FA Continuity 2010'!$B$10:$M$45,3,$C$16:$C$48)</f>
        <v>860528.11</v>
      </c>
      <c r="G31" s="580">
        <f>VLOOKUP(C31,'[1]FA Continuity 2010'!$B$10:$M$45,4,$C$16:$C$48)</f>
        <v>318.60000000000002</v>
      </c>
      <c r="H31" s="580">
        <f>-VLOOKUP(C31,'[1]FA Continuity 2010'!$B$10:$M$45,5,$C$16:$C$48)</f>
        <v>-201886.94</v>
      </c>
      <c r="I31" s="27">
        <f t="shared" si="0"/>
        <v>658959.77</v>
      </c>
      <c r="J31" s="4"/>
      <c r="K31" s="580">
        <f>VLOOKUP(C31,'[1]FA Continuity 2010'!$B$10:$M$45,8,$C$16:$C$48)</f>
        <v>401183.42</v>
      </c>
      <c r="L31" s="580">
        <f>VLOOKUP(C31,'[1]FA Continuity 2010'!$B$10:$M$45,9,$C$16:$C$48)</f>
        <v>14368.12</v>
      </c>
      <c r="M31" s="580">
        <f>-VLOOKUP(C31,'[1]FA Continuity 2010'!$B$10:$M$45,10,$C$16:$C$48)</f>
        <v>-97833.27</v>
      </c>
      <c r="N31" s="27">
        <f t="shared" si="1"/>
        <v>317718.26999999996</v>
      </c>
      <c r="O31" s="28">
        <f t="shared" si="2"/>
        <v>341241.50000000006</v>
      </c>
    </row>
    <row r="32" spans="2:15" x14ac:dyDescent="0.2">
      <c r="B32" s="7">
        <v>13</v>
      </c>
      <c r="C32" s="7">
        <v>1910</v>
      </c>
      <c r="D32" s="2" t="s">
        <v>579</v>
      </c>
      <c r="E32" s="582"/>
      <c r="F32" s="580">
        <f>VLOOKUP(C32,'[1]FA Continuity 2010'!$B$10:$M$45,3,$C$16:$C$48)</f>
        <v>0</v>
      </c>
      <c r="G32" s="580">
        <f>VLOOKUP(C32,'[1]FA Continuity 2010'!$B$10:$M$45,4,$C$16:$C$48)</f>
        <v>0</v>
      </c>
      <c r="H32" s="580">
        <f>-VLOOKUP(C32,'[1]FA Continuity 2010'!$B$10:$M$45,5,$C$16:$C$48)</f>
        <v>0</v>
      </c>
      <c r="I32" s="27">
        <f t="shared" si="0"/>
        <v>0</v>
      </c>
      <c r="J32" s="4"/>
      <c r="K32" s="580">
        <f>VLOOKUP(C32,'[1]FA Continuity 2010'!$B$10:$M$45,8,$C$16:$C$48)</f>
        <v>0</v>
      </c>
      <c r="L32" s="580">
        <f>VLOOKUP(C32,'[1]FA Continuity 2010'!$B$10:$M$45,9,$C$16:$C$48)</f>
        <v>0</v>
      </c>
      <c r="M32" s="580">
        <f>-VLOOKUP(C32,'[1]FA Continuity 2010'!$B$10:$M$45,10,$C$16:$C$48)</f>
        <v>0</v>
      </c>
      <c r="N32" s="27">
        <f t="shared" si="1"/>
        <v>0</v>
      </c>
      <c r="O32" s="28">
        <f t="shared" si="2"/>
        <v>0</v>
      </c>
    </row>
    <row r="33" spans="2:15" x14ac:dyDescent="0.2">
      <c r="B33" s="7">
        <v>8</v>
      </c>
      <c r="C33" s="7">
        <v>1915</v>
      </c>
      <c r="D33" s="2" t="s">
        <v>750</v>
      </c>
      <c r="E33" s="582">
        <f>E31</f>
        <v>0.1</v>
      </c>
      <c r="F33" s="580">
        <f>VLOOKUP(C33,'[1]FA Continuity 2010'!$B$10:$M$45,3,$C$16:$C$48)</f>
        <v>222315.66</v>
      </c>
      <c r="G33" s="580">
        <f>VLOOKUP(C33,'[1]FA Continuity 2010'!$B$10:$M$45,4,$C$16:$C$48)</f>
        <v>20593.43</v>
      </c>
      <c r="H33" s="580">
        <f>-VLOOKUP(C33,'[1]FA Continuity 2010'!$B$10:$M$45,5,$C$16:$C$48)</f>
        <v>0</v>
      </c>
      <c r="I33" s="27">
        <f t="shared" si="0"/>
        <v>242909.09</v>
      </c>
      <c r="J33" s="4"/>
      <c r="K33" s="580">
        <f>VLOOKUP(C33,'[1]FA Continuity 2010'!$B$10:$M$45,8,$C$16:$C$48)</f>
        <v>187171.24</v>
      </c>
      <c r="L33" s="580">
        <f>VLOOKUP(C33,'[1]FA Continuity 2010'!$B$10:$M$45,9,$C$16:$C$48)</f>
        <v>8953.69</v>
      </c>
      <c r="M33" s="580">
        <f>-VLOOKUP(C33,'[1]FA Continuity 2010'!$B$10:$M$45,10,$C$16:$C$48)</f>
        <v>0</v>
      </c>
      <c r="N33" s="27">
        <f t="shared" si="1"/>
        <v>196124.93</v>
      </c>
      <c r="O33" s="28">
        <f t="shared" si="2"/>
        <v>46784.160000000003</v>
      </c>
    </row>
    <row r="34" spans="2:15" x14ac:dyDescent="0.2">
      <c r="B34" s="7">
        <v>45</v>
      </c>
      <c r="C34" s="457">
        <v>1920</v>
      </c>
      <c r="D34" s="583" t="s">
        <v>756</v>
      </c>
      <c r="E34" s="582">
        <f>VLOOKUP(C34,'App.2-B1_Depr Rates'!$C$16:$E$51,3,$C$16:$C$51)</f>
        <v>0.2</v>
      </c>
      <c r="F34" s="580">
        <f>VLOOKUP(C34,'[1]FA Continuity 2010'!$B$10:$M$45,3,$C$16:$C$48)</f>
        <v>354645.59</v>
      </c>
      <c r="G34" s="580">
        <f>VLOOKUP(C34,'[1]FA Continuity 2010'!$B$10:$M$45,4,$C$16:$C$48)</f>
        <v>3384.72</v>
      </c>
      <c r="H34" s="580">
        <f>-VLOOKUP(C34,'[1]FA Continuity 2010'!$B$10:$M$45,5,$C$16:$C$48)</f>
        <v>-54</v>
      </c>
      <c r="I34" s="27">
        <f t="shared" si="0"/>
        <v>357976.31</v>
      </c>
      <c r="J34" s="4"/>
      <c r="K34" s="580">
        <f>VLOOKUP(C34,'[1]FA Continuity 2010'!$B$10:$M$45,8,$C$16:$C$48)</f>
        <v>312784.70999999996</v>
      </c>
      <c r="L34" s="580">
        <f>VLOOKUP(C34,'[1]FA Continuity 2010'!$B$10:$M$45,9,$C$16:$C$48)</f>
        <v>18535.830000000002</v>
      </c>
      <c r="M34" s="580">
        <f>-VLOOKUP(C34,'[1]FA Continuity 2010'!$B$10:$M$45,10,$C$16:$C$48)</f>
        <v>0</v>
      </c>
      <c r="N34" s="27">
        <f t="shared" si="1"/>
        <v>331320.53999999998</v>
      </c>
      <c r="O34" s="28">
        <f t="shared" si="2"/>
        <v>26655.770000000019</v>
      </c>
    </row>
    <row r="35" spans="2:15" x14ac:dyDescent="0.2">
      <c r="B35" s="7">
        <v>12</v>
      </c>
      <c r="C35" s="7">
        <v>1925</v>
      </c>
      <c r="D35" s="2" t="s">
        <v>563</v>
      </c>
      <c r="E35" s="582">
        <f>VLOOKUP(C35,'App.2-B1_Depr Rates'!$C$16:$E$51,3,$C$16:$C$51)</f>
        <v>0.2</v>
      </c>
      <c r="F35" s="580">
        <f>VLOOKUP(C35,'[1]FA Continuity 2010'!$B$10:$M$45,3,$C$16:$C$48)</f>
        <v>238831.86999999997</v>
      </c>
      <c r="G35" s="580">
        <f>VLOOKUP(C35,'[1]FA Continuity 2010'!$B$10:$M$45,4,$C$16:$C$48)</f>
        <v>895</v>
      </c>
      <c r="H35" s="580">
        <f>-VLOOKUP(C35,'[1]FA Continuity 2010'!$B$10:$M$45,5,$C$16:$C$48)</f>
        <v>0</v>
      </c>
      <c r="I35" s="27">
        <f t="shared" si="0"/>
        <v>239726.86999999997</v>
      </c>
      <c r="J35" s="4"/>
      <c r="K35" s="580">
        <f>VLOOKUP(C35,'[1]FA Continuity 2010'!$B$10:$M$45,8,$C$16:$C$48)</f>
        <v>119950.91</v>
      </c>
      <c r="L35" s="580">
        <f>VLOOKUP(C35,'[1]FA Continuity 2010'!$B$10:$M$45,9,$C$16:$C$48)</f>
        <v>38005.300000000003</v>
      </c>
      <c r="M35" s="580">
        <f>-VLOOKUP(C35,'[1]FA Continuity 2010'!$B$10:$M$45,10,$C$16:$C$48)</f>
        <v>0</v>
      </c>
      <c r="N35" s="27">
        <f t="shared" si="1"/>
        <v>157956.21000000002</v>
      </c>
      <c r="O35" s="28">
        <f t="shared" si="2"/>
        <v>81770.659999999945</v>
      </c>
    </row>
    <row r="36" spans="2:15" x14ac:dyDescent="0.2">
      <c r="B36" s="7">
        <v>10</v>
      </c>
      <c r="C36" s="7">
        <v>1930</v>
      </c>
      <c r="D36" s="2" t="s">
        <v>564</v>
      </c>
      <c r="E36" s="582">
        <f>VLOOKUP(C36,'App.2-B1_Depr Rates'!$C$16:$E$51,3,$C$16:$C$51)</f>
        <v>0.125</v>
      </c>
      <c r="F36" s="580">
        <f>VLOOKUP(C36,'[1]FA Continuity 2010'!$B$10:$M$45,3,$C$16:$C$48)</f>
        <v>1872447.45</v>
      </c>
      <c r="G36" s="580">
        <f>VLOOKUP(C36,'[1]FA Continuity 2010'!$B$10:$M$45,4,$C$16:$C$48)</f>
        <v>0</v>
      </c>
      <c r="H36" s="580">
        <f>-VLOOKUP(C36,'[1]FA Continuity 2010'!$B$10:$M$45,5,$C$16:$C$48)</f>
        <v>0</v>
      </c>
      <c r="I36" s="27">
        <f t="shared" si="0"/>
        <v>1872447.45</v>
      </c>
      <c r="J36" s="4"/>
      <c r="K36" s="580">
        <f>VLOOKUP(C36,'[1]FA Continuity 2010'!$B$10:$M$45,8,$C$16:$C$48)</f>
        <v>1393099.6700000002</v>
      </c>
      <c r="L36" s="580">
        <f>VLOOKUP(C36,'[1]FA Continuity 2010'!$B$10:$M$45,9,$C$16:$C$48)</f>
        <v>86858.86</v>
      </c>
      <c r="M36" s="580">
        <f>-VLOOKUP(C36,'[1]FA Continuity 2010'!$B$10:$M$45,10,$C$16:$C$48)</f>
        <v>0</v>
      </c>
      <c r="N36" s="27">
        <f t="shared" si="1"/>
        <v>1479958.5300000003</v>
      </c>
      <c r="O36" s="28">
        <f t="shared" si="2"/>
        <v>392488.91999999969</v>
      </c>
    </row>
    <row r="37" spans="2:15" x14ac:dyDescent="0.2">
      <c r="B37" s="7">
        <v>8</v>
      </c>
      <c r="C37" s="7">
        <v>1935</v>
      </c>
      <c r="D37" s="2" t="s">
        <v>565</v>
      </c>
      <c r="E37" s="582"/>
      <c r="F37" s="580">
        <f>VLOOKUP(C37,'[1]FA Continuity 2010'!$B$10:$M$45,3,$C$16:$C$48)</f>
        <v>0</v>
      </c>
      <c r="G37" s="580">
        <f>VLOOKUP(C37,'[1]FA Continuity 2010'!$B$10:$M$45,4,$C$16:$C$48)</f>
        <v>0</v>
      </c>
      <c r="H37" s="580">
        <f>-VLOOKUP(C37,'[1]FA Continuity 2010'!$B$10:$M$45,5,$C$16:$C$48)</f>
        <v>0</v>
      </c>
      <c r="I37" s="27">
        <f t="shared" si="0"/>
        <v>0</v>
      </c>
      <c r="J37" s="4"/>
      <c r="K37" s="580">
        <f>VLOOKUP(C37,'[1]FA Continuity 2010'!$B$10:$M$45,8,$C$16:$C$48)</f>
        <v>0</v>
      </c>
      <c r="L37" s="580">
        <f>VLOOKUP(C37,'[1]FA Continuity 2010'!$B$10:$M$45,9,$C$16:$C$48)</f>
        <v>0</v>
      </c>
      <c r="M37" s="580">
        <f>-VLOOKUP(C37,'[1]FA Continuity 2010'!$B$10:$M$45,10,$C$16:$C$48)</f>
        <v>0</v>
      </c>
      <c r="N37" s="27">
        <f t="shared" si="1"/>
        <v>0</v>
      </c>
      <c r="O37" s="28">
        <f t="shared" si="2"/>
        <v>0</v>
      </c>
    </row>
    <row r="38" spans="2:15" x14ac:dyDescent="0.2">
      <c r="B38" s="7">
        <v>8</v>
      </c>
      <c r="C38" s="7">
        <v>1940</v>
      </c>
      <c r="D38" s="2" t="s">
        <v>566</v>
      </c>
      <c r="E38" s="582">
        <f>VLOOKUP(C38,'App.2-B1_Depr Rates'!$C$16:$E$51,3,$C$16:$C$51)</f>
        <v>0.1</v>
      </c>
      <c r="F38" s="580">
        <f>VLOOKUP(C38,'[1]FA Continuity 2010'!$B$10:$M$45,3,$C$16:$C$48)</f>
        <v>361925.23000000004</v>
      </c>
      <c r="G38" s="580">
        <f>VLOOKUP(C38,'[1]FA Continuity 2010'!$B$10:$M$45,4,$C$16:$C$48)</f>
        <v>2828.15</v>
      </c>
      <c r="H38" s="580">
        <f>-VLOOKUP(C38,'[1]FA Continuity 2010'!$B$10:$M$45,5,$C$16:$C$48)</f>
        <v>0</v>
      </c>
      <c r="I38" s="27">
        <f t="shared" si="0"/>
        <v>364753.38000000006</v>
      </c>
      <c r="J38" s="4"/>
      <c r="K38" s="580">
        <f>VLOOKUP(C38,'[1]FA Continuity 2010'!$B$10:$M$45,8,$C$16:$C$48)</f>
        <v>281122.52999999997</v>
      </c>
      <c r="L38" s="580">
        <f>VLOOKUP(C38,'[1]FA Continuity 2010'!$B$10:$M$45,9,$C$16:$C$48)</f>
        <v>12635.31</v>
      </c>
      <c r="M38" s="580">
        <f>-VLOOKUP(C38,'[1]FA Continuity 2010'!$B$10:$M$45,10,$C$16:$C$48)</f>
        <v>0</v>
      </c>
      <c r="N38" s="27">
        <f t="shared" si="1"/>
        <v>293757.83999999997</v>
      </c>
      <c r="O38" s="28">
        <f t="shared" si="2"/>
        <v>70995.540000000095</v>
      </c>
    </row>
    <row r="39" spans="2:15" x14ac:dyDescent="0.2">
      <c r="B39" s="7">
        <v>8</v>
      </c>
      <c r="C39" s="7">
        <v>1945</v>
      </c>
      <c r="D39" s="2" t="s">
        <v>567</v>
      </c>
      <c r="E39" s="582"/>
      <c r="F39" s="580">
        <f>VLOOKUP(C39,'[1]FA Continuity 2010'!$B$10:$M$45,3,$C$16:$C$48)</f>
        <v>0</v>
      </c>
      <c r="G39" s="580">
        <f>VLOOKUP(C39,'[1]FA Continuity 2010'!$B$10:$M$45,4,$C$16:$C$48)</f>
        <v>0</v>
      </c>
      <c r="H39" s="580">
        <f>-VLOOKUP(C39,'[1]FA Continuity 2010'!$B$10:$M$45,5,$C$16:$C$48)</f>
        <v>0</v>
      </c>
      <c r="I39" s="27">
        <f t="shared" si="0"/>
        <v>0</v>
      </c>
      <c r="J39" s="4"/>
      <c r="K39" s="580">
        <f>VLOOKUP(C39,'[1]FA Continuity 2010'!$B$10:$M$45,8,$C$16:$C$48)</f>
        <v>0</v>
      </c>
      <c r="L39" s="580">
        <f>VLOOKUP(C39,'[1]FA Continuity 2010'!$B$10:$M$45,9,$C$16:$C$48)</f>
        <v>0</v>
      </c>
      <c r="M39" s="580">
        <f>-VLOOKUP(C39,'[1]FA Continuity 2010'!$B$10:$M$45,10,$C$16:$C$48)</f>
        <v>0</v>
      </c>
      <c r="N39" s="27">
        <f t="shared" si="1"/>
        <v>0</v>
      </c>
      <c r="O39" s="28">
        <f t="shared" si="2"/>
        <v>0</v>
      </c>
    </row>
    <row r="40" spans="2:15" x14ac:dyDescent="0.2">
      <c r="B40" s="7">
        <v>8</v>
      </c>
      <c r="C40" s="7">
        <v>1950</v>
      </c>
      <c r="D40" s="2" t="s">
        <v>473</v>
      </c>
      <c r="E40" s="582"/>
      <c r="F40" s="580">
        <f>VLOOKUP(C40,'[1]FA Continuity 2010'!$B$10:$M$45,3,$C$16:$C$48)</f>
        <v>0</v>
      </c>
      <c r="G40" s="580">
        <f>VLOOKUP(C40,'[1]FA Continuity 2010'!$B$10:$M$45,4,$C$16:$C$48)</f>
        <v>0</v>
      </c>
      <c r="H40" s="580">
        <f>-VLOOKUP(C40,'[1]FA Continuity 2010'!$B$10:$M$45,5,$C$16:$C$48)</f>
        <v>0</v>
      </c>
      <c r="I40" s="27">
        <f t="shared" si="0"/>
        <v>0</v>
      </c>
      <c r="J40" s="4"/>
      <c r="K40" s="580">
        <f>VLOOKUP(C40,'[1]FA Continuity 2010'!$B$10:$M$45,8,$C$16:$C$48)</f>
        <v>0</v>
      </c>
      <c r="L40" s="580">
        <f>VLOOKUP(C40,'[1]FA Continuity 2010'!$B$10:$M$45,9,$C$16:$C$48)</f>
        <v>0</v>
      </c>
      <c r="M40" s="580">
        <f>-VLOOKUP(C40,'[1]FA Continuity 2010'!$B$10:$M$45,10,$C$16:$C$48)</f>
        <v>0</v>
      </c>
      <c r="N40" s="27">
        <f t="shared" si="1"/>
        <v>0</v>
      </c>
      <c r="O40" s="28">
        <f t="shared" si="2"/>
        <v>0</v>
      </c>
    </row>
    <row r="41" spans="2:15" x14ac:dyDescent="0.2">
      <c r="B41" s="7">
        <v>8</v>
      </c>
      <c r="C41" s="7">
        <v>1955</v>
      </c>
      <c r="D41" s="2" t="s">
        <v>568</v>
      </c>
      <c r="E41" s="582">
        <f>'App.2-B1_Depr Rates'!E45</f>
        <v>0.1</v>
      </c>
      <c r="F41" s="580">
        <f>VLOOKUP(C41,'[1]FA Continuity 2010'!$B$10:$M$45,3,$C$16:$C$48)</f>
        <v>24604</v>
      </c>
      <c r="G41" s="580">
        <f>VLOOKUP(C41,'[1]FA Continuity 2010'!$B$10:$M$45,4,$C$16:$C$48)</f>
        <v>11226.6</v>
      </c>
      <c r="H41" s="580">
        <f>-VLOOKUP(C41,'[1]FA Continuity 2010'!$B$10:$M$45,5,$C$16:$C$48)</f>
        <v>0</v>
      </c>
      <c r="I41" s="27">
        <f t="shared" si="0"/>
        <v>35830.6</v>
      </c>
      <c r="J41" s="4"/>
      <c r="K41" s="580">
        <f>VLOOKUP(C41,'[1]FA Continuity 2010'!$B$10:$M$45,8,$C$16:$C$48)</f>
        <v>19220.649999999998</v>
      </c>
      <c r="L41" s="580">
        <f>VLOOKUP(C41,'[1]FA Continuity 2010'!$B$10:$M$45,9,$C$16:$C$48)</f>
        <v>2005.65</v>
      </c>
      <c r="M41" s="580">
        <f>-VLOOKUP(C41,'[1]FA Continuity 2010'!$B$10:$M$45,10,$C$16:$C$48)</f>
        <v>0</v>
      </c>
      <c r="N41" s="27">
        <f t="shared" si="1"/>
        <v>21226.3</v>
      </c>
      <c r="O41" s="28">
        <f t="shared" si="2"/>
        <v>14604.3</v>
      </c>
    </row>
    <row r="42" spans="2:15" x14ac:dyDescent="0.2">
      <c r="B42" s="457">
        <v>8</v>
      </c>
      <c r="C42" s="457">
        <v>1960</v>
      </c>
      <c r="D42" s="456" t="s">
        <v>475</v>
      </c>
      <c r="E42" s="582"/>
      <c r="F42" s="580">
        <f>VLOOKUP(C42,'[1]FA Continuity 2010'!$B$10:$M$45,3,$C$16:$C$48)</f>
        <v>0</v>
      </c>
      <c r="G42" s="580">
        <f>VLOOKUP(C42,'[1]FA Continuity 2010'!$B$10:$M$45,4,$C$16:$C$48)</f>
        <v>0</v>
      </c>
      <c r="H42" s="580">
        <f>-VLOOKUP(C42,'[1]FA Continuity 2010'!$B$10:$M$45,5,$C$16:$C$48)</f>
        <v>0</v>
      </c>
      <c r="I42" s="27">
        <f t="shared" si="0"/>
        <v>0</v>
      </c>
      <c r="J42" s="4"/>
      <c r="K42" s="580">
        <f>VLOOKUP(C42,'[1]FA Continuity 2010'!$B$10:$M$45,8,$C$16:$C$48)</f>
        <v>0</v>
      </c>
      <c r="L42" s="580">
        <f>VLOOKUP(C42,'[1]FA Continuity 2010'!$B$10:$M$45,9,$C$16:$C$48)</f>
        <v>0</v>
      </c>
      <c r="M42" s="580">
        <f>-VLOOKUP(C42,'[1]FA Continuity 2010'!$B$10:$M$45,10,$C$16:$C$48)</f>
        <v>0</v>
      </c>
      <c r="N42" s="27">
        <f t="shared" si="1"/>
        <v>0</v>
      </c>
      <c r="O42" s="28">
        <f t="shared" si="2"/>
        <v>0</v>
      </c>
    </row>
    <row r="43" spans="2:15" x14ac:dyDescent="0.2">
      <c r="B43" s="7">
        <v>47</v>
      </c>
      <c r="C43" s="7">
        <v>1975</v>
      </c>
      <c r="D43" s="2" t="s">
        <v>569</v>
      </c>
      <c r="E43" s="582"/>
      <c r="F43" s="580">
        <f>VLOOKUP(C43,'[1]FA Continuity 2010'!$B$10:$M$45,3,$C$16:$C$48)</f>
        <v>0</v>
      </c>
      <c r="G43" s="580">
        <f>VLOOKUP(C43,'[1]FA Continuity 2010'!$B$10:$M$45,4,$C$16:$C$48)</f>
        <v>0</v>
      </c>
      <c r="H43" s="580">
        <f>-VLOOKUP(C43,'[1]FA Continuity 2010'!$B$10:$M$45,5,$C$16:$C$48)</f>
        <v>0</v>
      </c>
      <c r="I43" s="27">
        <f t="shared" si="0"/>
        <v>0</v>
      </c>
      <c r="J43" s="4"/>
      <c r="K43" s="580">
        <f>VLOOKUP(C43,'[1]FA Continuity 2010'!$B$10:$M$45,8,$C$16:$C$48)</f>
        <v>0</v>
      </c>
      <c r="L43" s="580">
        <f>VLOOKUP(C43,'[1]FA Continuity 2010'!$B$10:$M$45,9,$C$16:$C$48)</f>
        <v>0</v>
      </c>
      <c r="M43" s="580">
        <f>-VLOOKUP(C43,'[1]FA Continuity 2010'!$B$10:$M$45,10,$C$16:$C$48)</f>
        <v>0</v>
      </c>
      <c r="N43" s="27">
        <f t="shared" si="1"/>
        <v>0</v>
      </c>
      <c r="O43" s="28">
        <f t="shared" si="2"/>
        <v>0</v>
      </c>
    </row>
    <row r="44" spans="2:15" x14ac:dyDescent="0.2">
      <c r="B44" s="7">
        <v>47</v>
      </c>
      <c r="C44" s="7">
        <v>1980</v>
      </c>
      <c r="D44" s="2" t="s">
        <v>570</v>
      </c>
      <c r="E44" s="582"/>
      <c r="F44" s="580">
        <f>VLOOKUP(C44,'[1]FA Continuity 2010'!$B$10:$M$45,3,$C$16:$C$48)</f>
        <v>0</v>
      </c>
      <c r="G44" s="580">
        <f>VLOOKUP(C44,'[1]FA Continuity 2010'!$B$10:$M$45,4,$C$16:$C$48)</f>
        <v>0</v>
      </c>
      <c r="H44" s="580">
        <f>-VLOOKUP(C44,'[1]FA Continuity 2010'!$B$10:$M$45,5,$C$16:$C$48)</f>
        <v>0</v>
      </c>
      <c r="I44" s="27">
        <f t="shared" si="0"/>
        <v>0</v>
      </c>
      <c r="J44" s="4"/>
      <c r="K44" s="580">
        <f>VLOOKUP(C44,'[1]FA Continuity 2010'!$B$10:$M$45,8,$C$16:$C$48)</f>
        <v>0</v>
      </c>
      <c r="L44" s="580">
        <f>VLOOKUP(C44,'[1]FA Continuity 2010'!$B$10:$M$45,9,$C$16:$C$48)</f>
        <v>0</v>
      </c>
      <c r="M44" s="580">
        <f>-VLOOKUP(C44,'[1]FA Continuity 2010'!$B$10:$M$45,10,$C$16:$C$48)</f>
        <v>0</v>
      </c>
      <c r="N44" s="27">
        <f t="shared" si="1"/>
        <v>0</v>
      </c>
      <c r="O44" s="28">
        <f t="shared" si="2"/>
        <v>0</v>
      </c>
    </row>
    <row r="45" spans="2:15" x14ac:dyDescent="0.2">
      <c r="B45" s="7">
        <v>47</v>
      </c>
      <c r="C45" s="7">
        <v>1985</v>
      </c>
      <c r="D45" s="2" t="s">
        <v>571</v>
      </c>
      <c r="E45" s="582">
        <f>VLOOKUP(C45,'App.2-B1_Depr Rates'!$C$16:$E$51,3,$C$16:$C$51)</f>
        <v>0.1</v>
      </c>
      <c r="F45" s="580">
        <f>VLOOKUP(C45,'[1]FA Continuity 2010'!$B$10:$M$45,3,$C$16:$C$48)</f>
        <v>0</v>
      </c>
      <c r="G45" s="580">
        <f>VLOOKUP(C45,'[1]FA Continuity 2010'!$B$10:$M$45,4,$C$16:$C$48)</f>
        <v>0</v>
      </c>
      <c r="H45" s="580">
        <f>-VLOOKUP(C45,'[1]FA Continuity 2010'!$B$10:$M$45,5,$C$16:$C$48)</f>
        <v>0</v>
      </c>
      <c r="I45" s="27">
        <f t="shared" si="0"/>
        <v>0</v>
      </c>
      <c r="J45" s="4"/>
      <c r="K45" s="580">
        <f>VLOOKUP(C45,'[1]FA Continuity 2010'!$B$10:$M$45,8,$C$16:$C$48)</f>
        <v>0</v>
      </c>
      <c r="L45" s="580">
        <f>VLOOKUP(C45,'[1]FA Continuity 2010'!$B$10:$M$45,9,$C$16:$C$48)</f>
        <v>0</v>
      </c>
      <c r="M45" s="580">
        <f>-VLOOKUP(C45,'[1]FA Continuity 2010'!$B$10:$M$45,10,$C$16:$C$48)</f>
        <v>0</v>
      </c>
      <c r="N45" s="27">
        <f t="shared" si="1"/>
        <v>0</v>
      </c>
      <c r="O45" s="28">
        <f t="shared" si="2"/>
        <v>0</v>
      </c>
    </row>
    <row r="46" spans="2:15" x14ac:dyDescent="0.2">
      <c r="B46" s="7">
        <v>47</v>
      </c>
      <c r="C46" s="7">
        <v>1995</v>
      </c>
      <c r="D46" s="2" t="s">
        <v>572</v>
      </c>
      <c r="E46" s="582">
        <f>VLOOKUP(C46,'App.2-B1_Depr Rates'!$C$16:$E$51,3,$C$16:$C$51)</f>
        <v>0.04</v>
      </c>
      <c r="F46" s="580">
        <f>VLOOKUP(C46,'[1]FA Continuity 2010'!$B$10:$M$45,3,$C$16:$C$48)</f>
        <v>-3645342.5300000003</v>
      </c>
      <c r="G46" s="580">
        <f>VLOOKUP(C46,'[1]FA Continuity 2010'!$B$10:$M$45,4,$C$16:$C$48)</f>
        <v>-34434.519999999997</v>
      </c>
      <c r="H46" s="580">
        <f>-VLOOKUP(C46,'[1]FA Continuity 2010'!$B$10:$M$45,5,$C$16:$C$48)</f>
        <v>0</v>
      </c>
      <c r="I46" s="27">
        <f t="shared" si="0"/>
        <v>-3679777.0500000003</v>
      </c>
      <c r="J46" s="4"/>
      <c r="K46" s="580">
        <f>VLOOKUP(C46,'[1]FA Continuity 2010'!$B$10:$M$45,8,$C$16:$C$48)</f>
        <v>-763579.12</v>
      </c>
      <c r="L46" s="580">
        <f>VLOOKUP(C46,'[1]FA Continuity 2010'!$B$10:$M$45,9,$C$16:$C$48)</f>
        <v>-148054.54</v>
      </c>
      <c r="M46" s="580">
        <f>-VLOOKUP(C46,'[1]FA Continuity 2010'!$B$10:$M$45,10,$C$16:$C$48)</f>
        <v>0</v>
      </c>
      <c r="N46" s="27">
        <f t="shared" si="1"/>
        <v>-911633.66</v>
      </c>
      <c r="O46" s="28">
        <f t="shared" si="2"/>
        <v>-2768143.39</v>
      </c>
    </row>
    <row r="47" spans="2:15" x14ac:dyDescent="0.2">
      <c r="B47" s="7"/>
      <c r="C47" s="7" t="s">
        <v>636</v>
      </c>
      <c r="D47" s="2"/>
      <c r="E47" s="473"/>
      <c r="F47" s="580"/>
      <c r="G47" s="580"/>
      <c r="H47" s="580"/>
      <c r="I47" s="27">
        <f t="shared" si="0"/>
        <v>0</v>
      </c>
      <c r="K47" s="580"/>
      <c r="L47" s="580"/>
      <c r="M47" s="580"/>
      <c r="N47" s="27">
        <f t="shared" si="1"/>
        <v>0</v>
      </c>
      <c r="O47" s="28">
        <f t="shared" si="2"/>
        <v>0</v>
      </c>
    </row>
    <row r="48" spans="2:15" x14ac:dyDescent="0.2">
      <c r="B48" s="7"/>
      <c r="C48" s="7"/>
      <c r="D48" s="2"/>
      <c r="E48" s="473"/>
      <c r="F48" s="580"/>
      <c r="G48" s="580"/>
      <c r="H48" s="580"/>
      <c r="I48" s="2"/>
      <c r="K48" s="580"/>
      <c r="L48" s="580"/>
      <c r="M48" s="580"/>
      <c r="N48" s="2"/>
      <c r="O48" s="28">
        <f t="shared" si="2"/>
        <v>0</v>
      </c>
    </row>
    <row r="49" spans="2:15" x14ac:dyDescent="0.2">
      <c r="B49" s="7"/>
      <c r="C49" s="7"/>
      <c r="D49" s="26" t="s">
        <v>573</v>
      </c>
      <c r="E49" s="26"/>
      <c r="F49" s="32">
        <f>SUM(F16:F47)</f>
        <v>22432080.829999998</v>
      </c>
      <c r="G49" s="32">
        <f>SUM(G16:G47)</f>
        <v>810310.6</v>
      </c>
      <c r="H49" s="32">
        <f>SUM(H16:H47)</f>
        <v>-1093732.19</v>
      </c>
      <c r="I49" s="32">
        <f>SUM(I16:I47)</f>
        <v>22148659.239999998</v>
      </c>
      <c r="J49" s="33"/>
      <c r="K49" s="34">
        <f>SUM(K16:K47)</f>
        <v>13904673.100000001</v>
      </c>
      <c r="L49" s="34">
        <f>SUM(L16:L47)</f>
        <v>824356.64</v>
      </c>
      <c r="M49" s="34">
        <f>SUM(M16:M47)</f>
        <v>-697043.19000000006</v>
      </c>
      <c r="N49" s="34">
        <f>SUM(N16:N47)</f>
        <v>14031986.550000001</v>
      </c>
      <c r="O49" s="34">
        <f>SUM(O16:O47)</f>
        <v>8116672.6899999995</v>
      </c>
    </row>
    <row r="51" spans="2:15" x14ac:dyDescent="0.2">
      <c r="E51" s="3"/>
      <c r="K51" s="5" t="s">
        <v>575</v>
      </c>
      <c r="L51" s="5"/>
    </row>
    <row r="52" spans="2:15" x14ac:dyDescent="0.2">
      <c r="B52" s="7">
        <v>10</v>
      </c>
      <c r="C52" s="7">
        <v>1935</v>
      </c>
      <c r="D52" s="2" t="s">
        <v>574</v>
      </c>
      <c r="E52" s="3"/>
      <c r="F52" s="581"/>
      <c r="K52" s="5" t="s">
        <v>574</v>
      </c>
      <c r="L52" s="5"/>
      <c r="M52" s="164">
        <f>'[1]FA Continuity 2010'!$J$52</f>
        <v>0</v>
      </c>
    </row>
    <row r="53" spans="2:15" x14ac:dyDescent="0.2">
      <c r="B53" s="7">
        <v>10</v>
      </c>
      <c r="C53" s="7">
        <v>1955</v>
      </c>
      <c r="D53" s="2" t="s">
        <v>749</v>
      </c>
      <c r="K53" s="5" t="s">
        <v>749</v>
      </c>
      <c r="L53" s="5"/>
      <c r="M53" s="165">
        <f>'[1]FA Continuity 2010'!$J$53</f>
        <v>0</v>
      </c>
    </row>
    <row r="54" spans="2:15" x14ac:dyDescent="0.2">
      <c r="K54" s="6" t="s">
        <v>576</v>
      </c>
      <c r="M54" s="29">
        <f>L49-M52-M53</f>
        <v>824356.64</v>
      </c>
    </row>
    <row r="56" spans="2:15" ht="14.25" x14ac:dyDescent="0.2">
      <c r="B56" s="661" t="s">
        <v>176</v>
      </c>
      <c r="C56" s="662"/>
      <c r="D56" s="662"/>
      <c r="E56" s="662"/>
      <c r="F56" s="662"/>
    </row>
    <row r="58" spans="2:15" x14ac:dyDescent="0.2">
      <c r="B58" s="412" t="s">
        <v>639</v>
      </c>
    </row>
    <row r="60" spans="2:15" x14ac:dyDescent="0.2">
      <c r="B60" s="1">
        <v>1</v>
      </c>
      <c r="C60" s="660" t="s">
        <v>434</v>
      </c>
      <c r="D60" s="660"/>
      <c r="E60" s="660"/>
      <c r="F60" s="660"/>
      <c r="G60" s="660"/>
      <c r="H60" s="660"/>
      <c r="I60" s="660"/>
      <c r="J60" s="660"/>
      <c r="K60" s="660"/>
      <c r="L60" s="660"/>
      <c r="M60" s="660"/>
      <c r="N60" s="660"/>
      <c r="O60" s="660"/>
    </row>
    <row r="61" spans="2:15" x14ac:dyDescent="0.2">
      <c r="C61" s="660"/>
      <c r="D61" s="660"/>
      <c r="E61" s="660"/>
      <c r="F61" s="660"/>
      <c r="G61" s="660"/>
      <c r="H61" s="660"/>
      <c r="I61" s="660"/>
      <c r="J61" s="660"/>
      <c r="K61" s="660"/>
      <c r="L61" s="660"/>
      <c r="M61" s="660"/>
      <c r="N61" s="660"/>
      <c r="O61" s="660"/>
    </row>
    <row r="63" spans="2:15" ht="12.75" customHeight="1" x14ac:dyDescent="0.2"/>
    <row r="64" spans="2:15" x14ac:dyDescent="0.2">
      <c r="B64" s="1">
        <v>2</v>
      </c>
      <c r="C64" s="667" t="s">
        <v>99</v>
      </c>
      <c r="D64" s="667"/>
      <c r="E64" s="667"/>
      <c r="F64" s="667"/>
      <c r="G64" s="667"/>
      <c r="H64" s="667"/>
      <c r="I64" s="667"/>
      <c r="J64" s="667"/>
      <c r="K64" s="667"/>
      <c r="L64" s="667"/>
      <c r="M64" s="667"/>
      <c r="N64" s="667"/>
      <c r="O64" s="667"/>
    </row>
    <row r="65" spans="2:15" x14ac:dyDescent="0.2">
      <c r="C65" s="667"/>
      <c r="D65" s="667"/>
      <c r="E65" s="667"/>
      <c r="F65" s="667"/>
      <c r="G65" s="667"/>
      <c r="H65" s="667"/>
      <c r="I65" s="667"/>
      <c r="J65" s="667"/>
      <c r="K65" s="667"/>
      <c r="L65" s="667"/>
      <c r="M65" s="667"/>
      <c r="N65" s="667"/>
      <c r="O65" s="667"/>
    </row>
    <row r="67" spans="2:15" x14ac:dyDescent="0.2">
      <c r="B67" s="1">
        <v>3</v>
      </c>
      <c r="C67" s="657" t="s">
        <v>435</v>
      </c>
      <c r="D67" s="657"/>
      <c r="E67" s="657"/>
      <c r="F67" s="657"/>
      <c r="G67" s="657"/>
      <c r="H67" s="657"/>
      <c r="I67" s="657"/>
      <c r="J67" s="657"/>
      <c r="K67" s="657"/>
      <c r="L67" s="657"/>
      <c r="M67" s="657"/>
      <c r="N67" s="657"/>
      <c r="O67" s="657"/>
    </row>
  </sheetData>
  <mergeCells count="8">
    <mergeCell ref="C64:O65"/>
    <mergeCell ref="C67:O67"/>
    <mergeCell ref="F9:I9"/>
    <mergeCell ref="F10:J10"/>
    <mergeCell ref="G12:H12"/>
    <mergeCell ref="F14:I14"/>
    <mergeCell ref="B56:F56"/>
    <mergeCell ref="C60:O61"/>
  </mergeCells>
  <dataValidations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O67"/>
  <sheetViews>
    <sheetView showGridLines="0" topLeftCell="B40" zoomScaleNormal="100" workbookViewId="0">
      <selection activeCell="M54" sqref="M54"/>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2011</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Rates'!$C$16:$E$51,3,$C$16:$C$51)</f>
        <v>0</v>
      </c>
      <c r="F16" s="580">
        <f>VLOOKUP(C16,'[1]FA Continuity 2011'!$B$10:$M$46,3,$C$16:$C$48)</f>
        <v>2112</v>
      </c>
      <c r="G16" s="580">
        <f>VLOOKUP(C16,'[1]FA Continuity 2011'!$B$10:$M$46,4,$C$16:$C$48)</f>
        <v>0</v>
      </c>
      <c r="H16" s="580">
        <f>-VLOOKUP(C16,'[1]FA Continuity 2011'!$B$10:$M$46,5,$C$16:$C$48)</f>
        <v>0</v>
      </c>
      <c r="I16" s="27">
        <f>F16+G16+H16</f>
        <v>2112</v>
      </c>
      <c r="J16" s="4"/>
      <c r="K16" s="580">
        <f>VLOOKUP(C16,'[1]FA Continuity 2011'!$B$10:$M$46,8,$C$16:$C$48)</f>
        <v>0</v>
      </c>
      <c r="L16" s="580">
        <f>VLOOKUP(C16,'[1]FA Continuity 2011'!$B$10:$M$46,9,$C$16:$C$48)</f>
        <v>0</v>
      </c>
      <c r="M16" s="580">
        <f>-VLOOKUP(C16,'[1]FA Continuity 2011'!$B$10:$M$46,10,$C$16:$C$48)</f>
        <v>0</v>
      </c>
      <c r="N16" s="27">
        <f>K16+L16+M16</f>
        <v>0</v>
      </c>
      <c r="O16" s="28">
        <f>I16-N16</f>
        <v>2112</v>
      </c>
    </row>
    <row r="17" spans="2:15" x14ac:dyDescent="0.2">
      <c r="B17" s="7">
        <v>47</v>
      </c>
      <c r="C17" s="7">
        <v>1808</v>
      </c>
      <c r="D17" s="2" t="s">
        <v>537</v>
      </c>
      <c r="E17" s="582"/>
      <c r="F17" s="580">
        <f>VLOOKUP(C17,'[1]FA Continuity 2011'!$B$10:$M$46,3,$C$16:$C$48)</f>
        <v>0</v>
      </c>
      <c r="G17" s="580">
        <f>VLOOKUP(C17,'[1]FA Continuity 2011'!$B$10:$M$46,4,$C$16:$C$48)</f>
        <v>0</v>
      </c>
      <c r="H17" s="580">
        <f>-VLOOKUP(C17,'[1]FA Continuity 2011'!$B$10:$M$46,5,$C$16:$C$48)</f>
        <v>0</v>
      </c>
      <c r="I17" s="27">
        <f t="shared" ref="I17:I47" si="0">F17+G17+H17</f>
        <v>0</v>
      </c>
      <c r="J17" s="4"/>
      <c r="K17" s="580">
        <f>VLOOKUP(C17,'[1]FA Continuity 2011'!$B$10:$M$46,8,$C$16:$C$48)</f>
        <v>0</v>
      </c>
      <c r="L17" s="580">
        <f>VLOOKUP(C17,'[1]FA Continuity 2011'!$B$10:$M$46,9,$C$16:$C$48)</f>
        <v>0</v>
      </c>
      <c r="M17" s="580">
        <f>-VLOOKUP(C17,'[1]FA Continuity 2011'!$B$10:$M$46,10,$C$16:$C$48)</f>
        <v>0</v>
      </c>
      <c r="N17" s="27">
        <f t="shared" ref="N17:N47" si="1">K17+L17+M17</f>
        <v>0</v>
      </c>
      <c r="O17" s="28">
        <f t="shared" ref="O17:O48" si="2">I17-N17</f>
        <v>0</v>
      </c>
    </row>
    <row r="18" spans="2:15" x14ac:dyDescent="0.2">
      <c r="B18" s="7">
        <v>13</v>
      </c>
      <c r="C18" s="7">
        <v>1810</v>
      </c>
      <c r="D18" s="2" t="s">
        <v>579</v>
      </c>
      <c r="E18" s="582"/>
      <c r="F18" s="580">
        <f>VLOOKUP(C18,'[1]FA Continuity 2011'!$B$10:$M$46,3,$C$16:$C$48)</f>
        <v>0</v>
      </c>
      <c r="G18" s="580">
        <f>VLOOKUP(C18,'[1]FA Continuity 2011'!$B$10:$M$46,4,$C$16:$C$48)</f>
        <v>0</v>
      </c>
      <c r="H18" s="580">
        <f>-VLOOKUP(C18,'[1]FA Continuity 2011'!$B$10:$M$46,5,$C$16:$C$48)</f>
        <v>0</v>
      </c>
      <c r="I18" s="27">
        <f t="shared" si="0"/>
        <v>0</v>
      </c>
      <c r="J18" s="4"/>
      <c r="K18" s="580">
        <f>VLOOKUP(C18,'[1]FA Continuity 2011'!$B$10:$M$46,8,$C$16:$C$48)</f>
        <v>0</v>
      </c>
      <c r="L18" s="580">
        <f>VLOOKUP(C18,'[1]FA Continuity 2011'!$B$10:$M$46,9,$C$16:$C$48)</f>
        <v>0</v>
      </c>
      <c r="M18" s="580">
        <f>-VLOOKUP(C18,'[1]FA Continuity 2011'!$B$10:$M$46,10,$C$16:$C$48)</f>
        <v>0</v>
      </c>
      <c r="N18" s="27">
        <f t="shared" si="1"/>
        <v>0</v>
      </c>
      <c r="O18" s="28">
        <f t="shared" si="2"/>
        <v>0</v>
      </c>
    </row>
    <row r="19" spans="2:15" x14ac:dyDescent="0.2">
      <c r="B19" s="7">
        <v>47</v>
      </c>
      <c r="C19" s="7">
        <v>1815</v>
      </c>
      <c r="D19" s="2" t="s">
        <v>538</v>
      </c>
      <c r="E19" s="582"/>
      <c r="F19" s="580">
        <f>VLOOKUP(C19,'[1]FA Continuity 2011'!$B$10:$M$46,3,$C$16:$C$48)</f>
        <v>0</v>
      </c>
      <c r="G19" s="580">
        <f>VLOOKUP(C19,'[1]FA Continuity 2011'!$B$10:$M$46,4,$C$16:$C$48)</f>
        <v>0</v>
      </c>
      <c r="H19" s="580">
        <f>-VLOOKUP(C19,'[1]FA Continuity 2011'!$B$10:$M$46,5,$C$16:$C$48)</f>
        <v>0</v>
      </c>
      <c r="I19" s="27">
        <f t="shared" si="0"/>
        <v>0</v>
      </c>
      <c r="J19" s="4"/>
      <c r="K19" s="580">
        <f>VLOOKUP(C19,'[1]FA Continuity 2011'!$B$10:$M$46,8,$C$16:$C$48)</f>
        <v>0</v>
      </c>
      <c r="L19" s="580">
        <f>VLOOKUP(C19,'[1]FA Continuity 2011'!$B$10:$M$46,9,$C$16:$C$48)</f>
        <v>0</v>
      </c>
      <c r="M19" s="580">
        <f>-VLOOKUP(C19,'[1]FA Continuity 2011'!$B$10:$M$46,10,$C$16:$C$48)</f>
        <v>0</v>
      </c>
      <c r="N19" s="27">
        <f t="shared" si="1"/>
        <v>0</v>
      </c>
      <c r="O19" s="28">
        <f t="shared" si="2"/>
        <v>0</v>
      </c>
    </row>
    <row r="20" spans="2:15" x14ac:dyDescent="0.2">
      <c r="B20" s="7">
        <v>47</v>
      </c>
      <c r="C20" s="7">
        <v>1820</v>
      </c>
      <c r="D20" s="456" t="s">
        <v>462</v>
      </c>
      <c r="E20" s="582">
        <f>VLOOKUP(C20,'App.2-B1_Depr Rates'!$C$16:$E$51,3,$C$16:$C$51)</f>
        <v>0.04</v>
      </c>
      <c r="F20" s="580">
        <f>VLOOKUP(C20,'[1]FA Continuity 2011'!$B$10:$M$46,3,$C$16:$C$48)</f>
        <v>142098.48000000001</v>
      </c>
      <c r="G20" s="580">
        <f>VLOOKUP(C20,'[1]FA Continuity 2011'!$B$10:$M$46,4,$C$16:$C$48)</f>
        <v>0</v>
      </c>
      <c r="H20" s="580">
        <f>-VLOOKUP(C20,'[1]FA Continuity 2011'!$B$10:$M$46,5,$C$16:$C$48)</f>
        <v>0</v>
      </c>
      <c r="I20" s="27">
        <f t="shared" si="0"/>
        <v>142098.48000000001</v>
      </c>
      <c r="J20" s="4"/>
      <c r="K20" s="580">
        <f>VLOOKUP(C20,'[1]FA Continuity 2011'!$B$10:$M$46,8,$C$16:$C$48)</f>
        <v>140890.36000000002</v>
      </c>
      <c r="L20" s="580">
        <f>VLOOKUP(C20,'[1]FA Continuity 2011'!$B$10:$M$46,9,$C$16:$C$48)</f>
        <v>61.97</v>
      </c>
      <c r="M20" s="580">
        <f>-VLOOKUP(C20,'[1]FA Continuity 2011'!$B$10:$M$46,10,$C$16:$C$48)</f>
        <v>0</v>
      </c>
      <c r="N20" s="27">
        <f t="shared" si="1"/>
        <v>140952.33000000002</v>
      </c>
      <c r="O20" s="28">
        <f t="shared" si="2"/>
        <v>1146.1499999999942</v>
      </c>
    </row>
    <row r="21" spans="2:15" x14ac:dyDescent="0.2">
      <c r="B21" s="7">
        <v>47</v>
      </c>
      <c r="C21" s="7">
        <v>1825</v>
      </c>
      <c r="D21" s="2" t="s">
        <v>539</v>
      </c>
      <c r="E21" s="582"/>
      <c r="F21" s="580">
        <f>VLOOKUP(C21,'[1]FA Continuity 2011'!$B$10:$M$46,3,$C$16:$C$48)</f>
        <v>0</v>
      </c>
      <c r="G21" s="580">
        <f>VLOOKUP(C21,'[1]FA Continuity 2011'!$B$10:$M$46,4,$C$16:$C$48)</f>
        <v>0</v>
      </c>
      <c r="H21" s="580">
        <f>-VLOOKUP(C21,'[1]FA Continuity 2011'!$B$10:$M$46,5,$C$16:$C$48)</f>
        <v>0</v>
      </c>
      <c r="I21" s="27">
        <f t="shared" si="0"/>
        <v>0</v>
      </c>
      <c r="J21" s="4"/>
      <c r="K21" s="580">
        <f>VLOOKUP(C21,'[1]FA Continuity 2011'!$B$10:$M$46,8,$C$16:$C$48)</f>
        <v>0</v>
      </c>
      <c r="L21" s="580">
        <f>VLOOKUP(C21,'[1]FA Continuity 2011'!$B$10:$M$46,9,$C$16:$C$48)</f>
        <v>0</v>
      </c>
      <c r="M21" s="580">
        <f>-VLOOKUP(C21,'[1]FA Continuity 2011'!$B$10:$M$46,10,$C$16:$C$48)</f>
        <v>0</v>
      </c>
      <c r="N21" s="27">
        <f t="shared" si="1"/>
        <v>0</v>
      </c>
      <c r="O21" s="28">
        <f t="shared" si="2"/>
        <v>0</v>
      </c>
    </row>
    <row r="22" spans="2:15" x14ac:dyDescent="0.2">
      <c r="B22" s="7">
        <v>47</v>
      </c>
      <c r="C22" s="7">
        <v>1830</v>
      </c>
      <c r="D22" s="2" t="s">
        <v>540</v>
      </c>
      <c r="E22" s="582">
        <f>VLOOKUP(C22,'App.2-B1_Depr Rates'!$C$16:$E$51,3,$C$16:$C$51)</f>
        <v>0.04</v>
      </c>
      <c r="F22" s="580">
        <f>VLOOKUP(C22,'[1]FA Continuity 2011'!$B$10:$M$46,3,$C$16:$C$48)</f>
        <v>837724.18</v>
      </c>
      <c r="G22" s="580">
        <f>VLOOKUP(C22,'[1]FA Continuity 2011'!$B$10:$M$46,4,$C$16:$C$48)</f>
        <v>51131.49</v>
      </c>
      <c r="H22" s="580">
        <f>-VLOOKUP(C22,'[1]FA Continuity 2011'!$B$10:$M$46,5,$C$16:$C$48)</f>
        <v>0</v>
      </c>
      <c r="I22" s="27">
        <f t="shared" si="0"/>
        <v>888855.67</v>
      </c>
      <c r="J22" s="4"/>
      <c r="K22" s="580">
        <f>VLOOKUP(C22,'[1]FA Continuity 2011'!$B$10:$M$46,8,$C$16:$C$48)</f>
        <v>163068.13999999998</v>
      </c>
      <c r="L22" s="580">
        <f>VLOOKUP(C22,'[1]FA Continuity 2011'!$B$10:$M$46,9,$C$16:$C$48)</f>
        <v>34541.58</v>
      </c>
      <c r="M22" s="580">
        <f>-VLOOKUP(C22,'[1]FA Continuity 2011'!$B$10:$M$46,10,$C$16:$C$48)</f>
        <v>0</v>
      </c>
      <c r="N22" s="27">
        <f t="shared" si="1"/>
        <v>197609.71999999997</v>
      </c>
      <c r="O22" s="28">
        <f t="shared" si="2"/>
        <v>691245.95000000007</v>
      </c>
    </row>
    <row r="23" spans="2:15" x14ac:dyDescent="0.2">
      <c r="B23" s="7">
        <v>47</v>
      </c>
      <c r="C23" s="7">
        <v>1835</v>
      </c>
      <c r="D23" s="2" t="s">
        <v>463</v>
      </c>
      <c r="E23" s="582">
        <f>VLOOKUP(C23,'App.2-B1_Depr Rates'!$C$16:$E$51,3,$C$16:$C$51)</f>
        <v>0.04</v>
      </c>
      <c r="F23" s="580">
        <f>VLOOKUP(C23,'[1]FA Continuity 2011'!$B$10:$M$46,3,$C$16:$C$48)</f>
        <v>6088865.1500000004</v>
      </c>
      <c r="G23" s="580">
        <f>VLOOKUP(C23,'[1]FA Continuity 2011'!$B$10:$M$46,4,$C$16:$C$48)</f>
        <v>186167.25</v>
      </c>
      <c r="H23" s="580">
        <f>-VLOOKUP(C23,'[1]FA Continuity 2011'!$B$10:$M$46,5,$C$16:$C$48)</f>
        <v>0</v>
      </c>
      <c r="I23" s="27">
        <f t="shared" si="0"/>
        <v>6275032.4000000004</v>
      </c>
      <c r="J23" s="4"/>
      <c r="K23" s="580">
        <f>VLOOKUP(C23,'[1]FA Continuity 2011'!$B$10:$M$46,8,$C$16:$C$48)</f>
        <v>4064254.14</v>
      </c>
      <c r="L23" s="580">
        <f>VLOOKUP(C23,'[1]FA Continuity 2011'!$B$10:$M$46,9,$C$16:$C$48)</f>
        <v>242161.68</v>
      </c>
      <c r="M23" s="580">
        <f>-VLOOKUP(C23,'[1]FA Continuity 2011'!$B$10:$M$46,10,$C$16:$C$48)</f>
        <v>0</v>
      </c>
      <c r="N23" s="27">
        <f t="shared" si="1"/>
        <v>4306415.82</v>
      </c>
      <c r="O23" s="28">
        <f t="shared" si="2"/>
        <v>1968616.58</v>
      </c>
    </row>
    <row r="24" spans="2:15" x14ac:dyDescent="0.2">
      <c r="B24" s="7">
        <v>47</v>
      </c>
      <c r="C24" s="7">
        <v>1840</v>
      </c>
      <c r="D24" s="2" t="s">
        <v>464</v>
      </c>
      <c r="E24" s="582">
        <f>VLOOKUP(C24,'App.2-B1_Depr Rates'!$C$16:$E$51,3,$C$16:$C$51)</f>
        <v>0.04</v>
      </c>
      <c r="F24" s="580">
        <f>VLOOKUP(C24,'[1]FA Continuity 2011'!$B$10:$M$46,3,$C$16:$C$48)</f>
        <v>1168907.5199999998</v>
      </c>
      <c r="G24" s="580">
        <f>VLOOKUP(C24,'[1]FA Continuity 2011'!$B$10:$M$46,4,$C$16:$C$48)</f>
        <v>82633.440000000002</v>
      </c>
      <c r="H24" s="580">
        <f>-VLOOKUP(C24,'[1]FA Continuity 2011'!$B$10:$M$46,5,$C$16:$C$48)</f>
        <v>0</v>
      </c>
      <c r="I24" s="27">
        <f t="shared" si="0"/>
        <v>1251540.9599999997</v>
      </c>
      <c r="J24" s="4"/>
      <c r="K24" s="580">
        <f>VLOOKUP(C24,'[1]FA Continuity 2011'!$B$10:$M$46,8,$C$16:$C$48)</f>
        <v>195515.44</v>
      </c>
      <c r="L24" s="580">
        <f>VLOOKUP(C24,'[1]FA Continuity 2011'!$B$10:$M$46,9,$C$16:$C$48)</f>
        <v>48414.15</v>
      </c>
      <c r="M24" s="580">
        <f>-VLOOKUP(C24,'[1]FA Continuity 2011'!$B$10:$M$46,10,$C$16:$C$48)</f>
        <v>0</v>
      </c>
      <c r="N24" s="27">
        <f t="shared" si="1"/>
        <v>243929.59</v>
      </c>
      <c r="O24" s="28">
        <f t="shared" si="2"/>
        <v>1007611.3699999998</v>
      </c>
    </row>
    <row r="25" spans="2:15" x14ac:dyDescent="0.2">
      <c r="B25" s="7">
        <v>47</v>
      </c>
      <c r="C25" s="7">
        <v>1845</v>
      </c>
      <c r="D25" s="2" t="s">
        <v>465</v>
      </c>
      <c r="E25" s="582">
        <f>VLOOKUP(C25,'App.2-B1_Depr Rates'!$C$16:$E$51,3,$C$16:$C$51)</f>
        <v>0.04</v>
      </c>
      <c r="F25" s="580">
        <f>VLOOKUP(C25,'[1]FA Continuity 2011'!$B$10:$M$46,3,$C$16:$C$48)</f>
        <v>7076329.1400000006</v>
      </c>
      <c r="G25" s="580">
        <f>VLOOKUP(C25,'[1]FA Continuity 2011'!$B$10:$M$46,4,$C$16:$C$48)</f>
        <v>170663.44</v>
      </c>
      <c r="H25" s="580">
        <f>-VLOOKUP(C25,'[1]FA Continuity 2011'!$B$10:$M$46,5,$C$16:$C$48)</f>
        <v>0</v>
      </c>
      <c r="I25" s="27">
        <f t="shared" si="0"/>
        <v>7246992.580000001</v>
      </c>
      <c r="J25" s="4"/>
      <c r="K25" s="580">
        <f>VLOOKUP(C25,'[1]FA Continuity 2011'!$B$10:$M$46,8,$C$16:$C$48)</f>
        <v>4268394.3900000006</v>
      </c>
      <c r="L25" s="580">
        <f>VLOOKUP(C25,'[1]FA Continuity 2011'!$B$10:$M$46,9,$C$16:$C$48)</f>
        <v>269278.55</v>
      </c>
      <c r="M25" s="580">
        <f>-VLOOKUP(C25,'[1]FA Continuity 2011'!$B$10:$M$46,10,$C$16:$C$48)</f>
        <v>0</v>
      </c>
      <c r="N25" s="27">
        <f t="shared" si="1"/>
        <v>4537672.9400000004</v>
      </c>
      <c r="O25" s="28">
        <f t="shared" si="2"/>
        <v>2709319.6400000006</v>
      </c>
    </row>
    <row r="26" spans="2:15" x14ac:dyDescent="0.2">
      <c r="B26" s="7">
        <v>47</v>
      </c>
      <c r="C26" s="7">
        <v>1850</v>
      </c>
      <c r="D26" s="2" t="s">
        <v>541</v>
      </c>
      <c r="E26" s="582">
        <f>VLOOKUP(C26,'App.2-B1_Depr Rates'!$C$16:$E$51,3,$C$16:$C$51)</f>
        <v>0.04</v>
      </c>
      <c r="F26" s="580">
        <f>VLOOKUP(C26,'[1]FA Continuity 2011'!$B$10:$M$46,3,$C$16:$C$48)</f>
        <v>5425507.6399999997</v>
      </c>
      <c r="G26" s="580">
        <f>VLOOKUP(C26,'[1]FA Continuity 2011'!$B$10:$M$46,4,$C$16:$C$48)</f>
        <v>85816.41</v>
      </c>
      <c r="H26" s="580">
        <f>-VLOOKUP(C26,'[1]FA Continuity 2011'!$B$10:$M$46,5,$C$16:$C$48)</f>
        <v>0</v>
      </c>
      <c r="I26" s="27">
        <f t="shared" si="0"/>
        <v>5511324.0499999998</v>
      </c>
      <c r="J26" s="4"/>
      <c r="K26" s="580">
        <f>VLOOKUP(C26,'[1]FA Continuity 2011'!$B$10:$M$46,8,$C$16:$C$48)</f>
        <v>3141323.02</v>
      </c>
      <c r="L26" s="580">
        <f>VLOOKUP(C26,'[1]FA Continuity 2011'!$B$10:$M$46,9,$C$16:$C$48)</f>
        <v>189997.22</v>
      </c>
      <c r="M26" s="580">
        <f>-VLOOKUP(C26,'[1]FA Continuity 2011'!$B$10:$M$46,10,$C$16:$C$48)</f>
        <v>0</v>
      </c>
      <c r="N26" s="27">
        <f t="shared" si="1"/>
        <v>3331320.24</v>
      </c>
      <c r="O26" s="28">
        <f t="shared" si="2"/>
        <v>2180003.8099999996</v>
      </c>
    </row>
    <row r="27" spans="2:15" x14ac:dyDescent="0.2">
      <c r="B27" s="7">
        <v>47</v>
      </c>
      <c r="C27" s="7">
        <v>1855</v>
      </c>
      <c r="D27" s="2" t="s">
        <v>466</v>
      </c>
      <c r="E27" s="582">
        <f>VLOOKUP(C27,'App.2-B1_Depr Rates'!$C$16:$E$51,3,$C$16:$C$51)</f>
        <v>0.04</v>
      </c>
      <c r="F27" s="580">
        <f>VLOOKUP(C27,'[1]FA Continuity 2011'!$B$10:$M$46,3,$C$16:$C$48)</f>
        <v>629776.87999999989</v>
      </c>
      <c r="G27" s="580">
        <f>VLOOKUP(C27,'[1]FA Continuity 2011'!$B$10:$M$46,4,$C$16:$C$48)</f>
        <v>70050.679999999993</v>
      </c>
      <c r="H27" s="580">
        <f>-VLOOKUP(C27,'[1]FA Continuity 2011'!$B$10:$M$46,5,$C$16:$C$48)</f>
        <v>0</v>
      </c>
      <c r="I27" s="27">
        <f t="shared" si="0"/>
        <v>699827.55999999982</v>
      </c>
      <c r="J27" s="4"/>
      <c r="K27" s="580">
        <f>VLOOKUP(C27,'[1]FA Continuity 2011'!$B$10:$M$46,8,$C$16:$C$48)</f>
        <v>111301.18</v>
      </c>
      <c r="L27" s="580">
        <f>VLOOKUP(C27,'[1]FA Continuity 2011'!$B$10:$M$46,9,$C$16:$C$48)</f>
        <v>26601.3</v>
      </c>
      <c r="M27" s="580">
        <f>-VLOOKUP(C27,'[1]FA Continuity 2011'!$B$10:$M$46,10,$C$16:$C$48)</f>
        <v>0</v>
      </c>
      <c r="N27" s="27">
        <f t="shared" si="1"/>
        <v>137902.47999999998</v>
      </c>
      <c r="O27" s="28">
        <f t="shared" si="2"/>
        <v>561925.07999999984</v>
      </c>
    </row>
    <row r="28" spans="2:15" x14ac:dyDescent="0.2">
      <c r="B28" s="7">
        <v>47</v>
      </c>
      <c r="C28" s="7">
        <v>1860</v>
      </c>
      <c r="D28" s="2" t="s">
        <v>542</v>
      </c>
      <c r="E28" s="582">
        <f>'App.2-B1_Depr Rates'!E28</f>
        <v>0.04</v>
      </c>
      <c r="F28" s="580">
        <f>'[1]FA Continuity 2011'!$D$23</f>
        <v>509802.08000000031</v>
      </c>
      <c r="G28" s="580">
        <f>'[1]FA Continuity 2011'!$E$23</f>
        <v>4458.92</v>
      </c>
      <c r="H28" s="580">
        <f>-VLOOKUP(C28,'[1]FA Continuity 2011'!$B$10:$M$46,5,$C$16:$C$48)</f>
        <v>0</v>
      </c>
      <c r="I28" s="27">
        <f t="shared" si="0"/>
        <v>514261.00000000029</v>
      </c>
      <c r="J28" s="4"/>
      <c r="K28" s="580">
        <f>'[1]FA Continuity 2011'!$I$23</f>
        <v>58086.189999999944</v>
      </c>
      <c r="L28" s="580">
        <f>'[1]FA Continuity 2011'!$J$23</f>
        <v>9120.36</v>
      </c>
      <c r="M28" s="580">
        <f>-VLOOKUP(C28,'[1]FA Continuity 2011'!$B$10:$M$46,10,$C$16:$C$48)</f>
        <v>0</v>
      </c>
      <c r="N28" s="27">
        <f t="shared" si="1"/>
        <v>67206.549999999945</v>
      </c>
      <c r="O28" s="28">
        <f t="shared" si="2"/>
        <v>447054.45000000036</v>
      </c>
    </row>
    <row r="29" spans="2:15" x14ac:dyDescent="0.2">
      <c r="B29" s="7" t="s">
        <v>535</v>
      </c>
      <c r="C29" s="7">
        <v>1905</v>
      </c>
      <c r="D29" s="2" t="s">
        <v>536</v>
      </c>
      <c r="E29" s="582">
        <f>VLOOKUP(C29,'App.2-B1_Depr Rates'!$C$16:$E$51,3,$C$16:$C$51)</f>
        <v>0</v>
      </c>
      <c r="F29" s="580">
        <f>VLOOKUP(C29,'[1]FA Continuity 2011'!$B$10:$M$46,3,$C$16:$C$48)</f>
        <v>171765.02</v>
      </c>
      <c r="G29" s="580">
        <f>VLOOKUP(C29,'[1]FA Continuity 2011'!$B$10:$M$46,4,$C$16:$C$48)</f>
        <v>0</v>
      </c>
      <c r="H29" s="580">
        <f>-VLOOKUP(C29,'[1]FA Continuity 2011'!$B$10:$M$46,5,$C$16:$C$48)</f>
        <v>0</v>
      </c>
      <c r="I29" s="27">
        <f t="shared" si="0"/>
        <v>171765.02</v>
      </c>
      <c r="J29" s="4"/>
      <c r="K29" s="580">
        <f>VLOOKUP(C29,'[1]FA Continuity 2011'!$B$10:$M$46,8,$C$16:$C$48)</f>
        <v>0</v>
      </c>
      <c r="L29" s="580">
        <f>VLOOKUP(C29,'[1]FA Continuity 2011'!$B$10:$M$46,9,$C$16:$C$48)</f>
        <v>0</v>
      </c>
      <c r="M29" s="580">
        <f>-VLOOKUP(C29,'[1]FA Continuity 2011'!$B$10:$M$46,10,$C$16:$C$48)</f>
        <v>0</v>
      </c>
      <c r="N29" s="27">
        <f t="shared" si="1"/>
        <v>0</v>
      </c>
      <c r="O29" s="28">
        <f t="shared" si="2"/>
        <v>171765.02</v>
      </c>
    </row>
    <row r="30" spans="2:15" x14ac:dyDescent="0.2">
      <c r="B30" s="7" t="s">
        <v>544</v>
      </c>
      <c r="C30" s="7">
        <v>1906</v>
      </c>
      <c r="D30" s="2" t="s">
        <v>545</v>
      </c>
      <c r="E30" s="582">
        <f>VLOOKUP(C30,'App.2-B1_Depr Rates'!$C$16:$E$51,3,$C$16:$C$51)</f>
        <v>0.02</v>
      </c>
      <c r="F30" s="580">
        <f>VLOOKUP(C30,'[1]FA Continuity 2011'!$B$10:$M$46,3,$C$16:$C$48)</f>
        <v>2944.73</v>
      </c>
      <c r="G30" s="580">
        <f>VLOOKUP(C30,'[1]FA Continuity 2011'!$B$10:$M$46,4,$C$16:$C$48)</f>
        <v>0</v>
      </c>
      <c r="H30" s="580">
        <f>-VLOOKUP(C30,'[1]FA Continuity 2011'!$B$10:$M$46,5,$C$16:$C$48)</f>
        <v>0</v>
      </c>
      <c r="I30" s="27">
        <f t="shared" si="0"/>
        <v>2944.73</v>
      </c>
      <c r="J30" s="4"/>
      <c r="K30" s="580">
        <f>VLOOKUP(C30,'[1]FA Continuity 2011'!$B$10:$M$46,8,$C$16:$C$48)</f>
        <v>2724.73</v>
      </c>
      <c r="L30" s="580">
        <f>VLOOKUP(C30,'[1]FA Continuity 2011'!$B$10:$M$46,9,$C$16:$C$48)</f>
        <v>0</v>
      </c>
      <c r="M30" s="580">
        <f>-VLOOKUP(C30,'[1]FA Continuity 2011'!$B$10:$M$46,10,$C$16:$C$48)</f>
        <v>0</v>
      </c>
      <c r="N30" s="27">
        <f t="shared" si="1"/>
        <v>2724.73</v>
      </c>
      <c r="O30" s="28">
        <f t="shared" si="2"/>
        <v>220</v>
      </c>
    </row>
    <row r="31" spans="2:15" x14ac:dyDescent="0.2">
      <c r="B31" s="7">
        <v>47</v>
      </c>
      <c r="C31" s="7">
        <v>1908</v>
      </c>
      <c r="D31" s="2" t="s">
        <v>546</v>
      </c>
      <c r="E31" s="582">
        <f>VLOOKUP(C31,'App.2-B1_Depr Rates'!$C$16:$E$51,3,$C$16:$C$51)</f>
        <v>0.1</v>
      </c>
      <c r="F31" s="580">
        <f>VLOOKUP(C31,'[1]FA Continuity 2011'!$B$10:$M$46,3,$C$16:$C$48)</f>
        <v>658959.77</v>
      </c>
      <c r="G31" s="580">
        <f>VLOOKUP(C31,'[1]FA Continuity 2011'!$B$10:$M$46,4,$C$16:$C$48)</f>
        <v>2880</v>
      </c>
      <c r="H31" s="580">
        <f>-VLOOKUP(C31,'[1]FA Continuity 2011'!$B$10:$M$46,5,$C$16:$C$48)</f>
        <v>0</v>
      </c>
      <c r="I31" s="27">
        <f t="shared" si="0"/>
        <v>661839.77</v>
      </c>
      <c r="J31" s="4"/>
      <c r="K31" s="580">
        <f>VLOOKUP(C31,'[1]FA Continuity 2011'!$B$10:$M$46,8,$C$16:$C$48)</f>
        <v>317718.26999999996</v>
      </c>
      <c r="L31" s="580">
        <f>VLOOKUP(C31,'[1]FA Continuity 2011'!$B$10:$M$46,9,$C$16:$C$48)</f>
        <v>14399.31</v>
      </c>
      <c r="M31" s="580">
        <f>-VLOOKUP(C31,'[1]FA Continuity 2011'!$B$10:$M$46,10,$C$16:$C$48)</f>
        <v>0</v>
      </c>
      <c r="N31" s="27">
        <f t="shared" si="1"/>
        <v>332117.57999999996</v>
      </c>
      <c r="O31" s="28">
        <f t="shared" si="2"/>
        <v>329722.19000000006</v>
      </c>
    </row>
    <row r="32" spans="2:15" x14ac:dyDescent="0.2">
      <c r="B32" s="7">
        <v>13</v>
      </c>
      <c r="C32" s="7">
        <v>1910</v>
      </c>
      <c r="D32" s="2" t="s">
        <v>579</v>
      </c>
      <c r="E32" s="582"/>
      <c r="F32" s="580">
        <f>VLOOKUP(C32,'[1]FA Continuity 2011'!$B$10:$M$46,3,$C$16:$C$48)</f>
        <v>0</v>
      </c>
      <c r="G32" s="580">
        <f>VLOOKUP(C32,'[1]FA Continuity 2011'!$B$10:$M$46,4,$C$16:$C$48)</f>
        <v>0</v>
      </c>
      <c r="H32" s="580">
        <f>-VLOOKUP(C32,'[1]FA Continuity 2011'!$B$10:$M$46,5,$C$16:$C$48)</f>
        <v>0</v>
      </c>
      <c r="I32" s="27">
        <f t="shared" si="0"/>
        <v>0</v>
      </c>
      <c r="J32" s="4"/>
      <c r="K32" s="580">
        <f>VLOOKUP(C32,'[1]FA Continuity 2011'!$B$10:$M$46,8,$C$16:$C$48)</f>
        <v>0</v>
      </c>
      <c r="L32" s="580">
        <f>VLOOKUP(C32,'[1]FA Continuity 2011'!$B$10:$M$46,9,$C$16:$C$48)</f>
        <v>0</v>
      </c>
      <c r="M32" s="580">
        <f>-VLOOKUP(C32,'[1]FA Continuity 2011'!$B$10:$M$46,10,$C$16:$C$48)</f>
        <v>0</v>
      </c>
      <c r="N32" s="27">
        <f t="shared" si="1"/>
        <v>0</v>
      </c>
      <c r="O32" s="28">
        <f t="shared" si="2"/>
        <v>0</v>
      </c>
    </row>
    <row r="33" spans="2:15" x14ac:dyDescent="0.2">
      <c r="B33" s="7">
        <v>8</v>
      </c>
      <c r="C33" s="7">
        <v>1915</v>
      </c>
      <c r="D33" s="2" t="s">
        <v>750</v>
      </c>
      <c r="E33" s="582">
        <f>E31</f>
        <v>0.1</v>
      </c>
      <c r="F33" s="580">
        <f>VLOOKUP(C33,'[1]FA Continuity 2011'!$B$10:$M$46,3,$C$16:$C$48)</f>
        <v>242909.09</v>
      </c>
      <c r="G33" s="580">
        <f>VLOOKUP(C33,'[1]FA Continuity 2011'!$B$10:$M$46,4,$C$16:$C$48)</f>
        <v>0</v>
      </c>
      <c r="H33" s="580">
        <f>-VLOOKUP(C33,'[1]FA Continuity 2011'!$B$10:$M$46,5,$C$16:$C$48)</f>
        <v>0</v>
      </c>
      <c r="I33" s="27">
        <f t="shared" si="0"/>
        <v>242909.09</v>
      </c>
      <c r="J33" s="4"/>
      <c r="K33" s="580">
        <f>VLOOKUP(C33,'[1]FA Continuity 2011'!$B$10:$M$46,8,$C$16:$C$48)</f>
        <v>196124.93</v>
      </c>
      <c r="L33" s="580">
        <f>VLOOKUP(C33,'[1]FA Continuity 2011'!$B$10:$M$46,9,$C$16:$C$48)</f>
        <v>8449.9500000000007</v>
      </c>
      <c r="M33" s="580">
        <f>-VLOOKUP(C33,'[1]FA Continuity 2011'!$B$10:$M$46,10,$C$16:$C$48)</f>
        <v>0</v>
      </c>
      <c r="N33" s="27">
        <f t="shared" si="1"/>
        <v>204574.88</v>
      </c>
      <c r="O33" s="28">
        <f t="shared" si="2"/>
        <v>38334.209999999992</v>
      </c>
    </row>
    <row r="34" spans="2:15" x14ac:dyDescent="0.2">
      <c r="B34" s="7">
        <v>45</v>
      </c>
      <c r="C34" s="457">
        <v>1920</v>
      </c>
      <c r="D34" s="583" t="s">
        <v>756</v>
      </c>
      <c r="E34" s="582">
        <f>VLOOKUP(C34,'App.2-B1_Depr Rates'!$C$16:$E$51,3,$C$16:$C$51)</f>
        <v>0.2</v>
      </c>
      <c r="F34" s="580">
        <f>VLOOKUP(C34,'[1]FA Continuity 2011'!$B$10:$M$46,3,$C$16:$C$48)</f>
        <v>357976.31</v>
      </c>
      <c r="G34" s="580">
        <f>VLOOKUP(C34,'[1]FA Continuity 2011'!$B$10:$M$46,4,$C$16:$C$48)</f>
        <v>2992</v>
      </c>
      <c r="H34" s="580">
        <f>-VLOOKUP(C34,'[1]FA Continuity 2011'!$B$10:$M$46,5,$C$16:$C$48)</f>
        <v>0</v>
      </c>
      <c r="I34" s="27">
        <f t="shared" si="0"/>
        <v>360968.31</v>
      </c>
      <c r="J34" s="4"/>
      <c r="K34" s="580">
        <f>VLOOKUP(C34,'[1]FA Continuity 2011'!$B$10:$M$46,8,$C$16:$C$48)</f>
        <v>331320.53999999998</v>
      </c>
      <c r="L34" s="580">
        <f>VLOOKUP(C34,'[1]FA Continuity 2011'!$B$10:$M$46,9,$C$16:$C$48)</f>
        <v>16000.98</v>
      </c>
      <c r="M34" s="580">
        <f>-VLOOKUP(C34,'[1]FA Continuity 2011'!$B$10:$M$46,10,$C$16:$C$48)</f>
        <v>0</v>
      </c>
      <c r="N34" s="27">
        <f t="shared" si="1"/>
        <v>347321.51999999996</v>
      </c>
      <c r="O34" s="28">
        <f t="shared" si="2"/>
        <v>13646.790000000037</v>
      </c>
    </row>
    <row r="35" spans="2:15" x14ac:dyDescent="0.2">
      <c r="B35" s="7">
        <v>12</v>
      </c>
      <c r="C35" s="7">
        <v>1925</v>
      </c>
      <c r="D35" s="2" t="s">
        <v>563</v>
      </c>
      <c r="E35" s="582">
        <f>VLOOKUP(C35,'App.2-B1_Depr Rates'!$C$16:$E$51,3,$C$16:$C$51)</f>
        <v>0.2</v>
      </c>
      <c r="F35" s="580">
        <f>VLOOKUP(C35,'[1]FA Continuity 2011'!$B$10:$M$46,3,$C$16:$C$48)</f>
        <v>239726.86999999997</v>
      </c>
      <c r="G35" s="580">
        <f>VLOOKUP(C35,'[1]FA Continuity 2011'!$B$10:$M$46,4,$C$16:$C$48)</f>
        <v>0</v>
      </c>
      <c r="H35" s="580">
        <f>-VLOOKUP(C35,'[1]FA Continuity 2011'!$B$10:$M$46,5,$C$16:$C$48)</f>
        <v>0</v>
      </c>
      <c r="I35" s="27">
        <f t="shared" si="0"/>
        <v>239726.86999999997</v>
      </c>
      <c r="J35" s="4"/>
      <c r="K35" s="580">
        <f>VLOOKUP(C35,'[1]FA Continuity 2011'!$B$10:$M$46,8,$C$16:$C$48)</f>
        <v>157956.21000000002</v>
      </c>
      <c r="L35" s="580">
        <f>VLOOKUP(C35,'[1]FA Continuity 2011'!$B$10:$M$46,9,$C$16:$C$48)</f>
        <v>36405.47</v>
      </c>
      <c r="M35" s="580">
        <f>-VLOOKUP(C35,'[1]FA Continuity 2011'!$B$10:$M$46,10,$C$16:$C$48)</f>
        <v>0</v>
      </c>
      <c r="N35" s="27">
        <f t="shared" si="1"/>
        <v>194361.68000000002</v>
      </c>
      <c r="O35" s="28">
        <f t="shared" si="2"/>
        <v>45365.189999999944</v>
      </c>
    </row>
    <row r="36" spans="2:15" x14ac:dyDescent="0.2">
      <c r="B36" s="7">
        <v>10</v>
      </c>
      <c r="C36" s="7">
        <v>1930</v>
      </c>
      <c r="D36" s="2" t="s">
        <v>564</v>
      </c>
      <c r="E36" s="582">
        <f>VLOOKUP(C36,'App.2-B1_Depr Rates'!$C$16:$E$51,3,$C$16:$C$51)</f>
        <v>0.125</v>
      </c>
      <c r="F36" s="580">
        <f>VLOOKUP(C36,'[1]FA Continuity 2011'!$B$10:$M$46,3,$C$16:$C$48)</f>
        <v>1872447.45</v>
      </c>
      <c r="G36" s="580">
        <f>VLOOKUP(C36,'[1]FA Continuity 2011'!$B$10:$M$46,4,$C$16:$C$48)</f>
        <v>14618</v>
      </c>
      <c r="H36" s="580">
        <f>-VLOOKUP(C36,'[1]FA Continuity 2011'!$B$10:$M$46,5,$C$16:$C$48)</f>
        <v>-500</v>
      </c>
      <c r="I36" s="27">
        <f t="shared" si="0"/>
        <v>1886565.45</v>
      </c>
      <c r="J36" s="4"/>
      <c r="K36" s="580">
        <f>VLOOKUP(C36,'[1]FA Continuity 2011'!$B$10:$M$46,8,$C$16:$C$48)</f>
        <v>1479958.5300000003</v>
      </c>
      <c r="L36" s="580">
        <f>VLOOKUP(C36,'[1]FA Continuity 2011'!$B$10:$M$46,9,$C$16:$C$48)</f>
        <v>82285.210000000006</v>
      </c>
      <c r="M36" s="580">
        <f>-VLOOKUP(C36,'[1]FA Continuity 2011'!$B$10:$M$46,10,$C$16:$C$48)</f>
        <v>0</v>
      </c>
      <c r="N36" s="27">
        <f t="shared" si="1"/>
        <v>1562243.7400000002</v>
      </c>
      <c r="O36" s="28">
        <f t="shared" si="2"/>
        <v>324321.70999999973</v>
      </c>
    </row>
    <row r="37" spans="2:15" x14ac:dyDescent="0.2">
      <c r="B37" s="7">
        <v>8</v>
      </c>
      <c r="C37" s="7">
        <v>1935</v>
      </c>
      <c r="D37" s="2" t="s">
        <v>565</v>
      </c>
      <c r="E37" s="582"/>
      <c r="F37" s="580">
        <f>VLOOKUP(C37,'[1]FA Continuity 2011'!$B$10:$M$46,3,$C$16:$C$48)</f>
        <v>0</v>
      </c>
      <c r="G37" s="580">
        <f>VLOOKUP(C37,'[1]FA Continuity 2011'!$B$10:$M$46,4,$C$16:$C$48)</f>
        <v>0</v>
      </c>
      <c r="H37" s="580">
        <f>-VLOOKUP(C37,'[1]FA Continuity 2011'!$B$10:$M$46,5,$C$16:$C$48)</f>
        <v>0</v>
      </c>
      <c r="I37" s="27">
        <f t="shared" si="0"/>
        <v>0</v>
      </c>
      <c r="J37" s="4"/>
      <c r="K37" s="580">
        <f>VLOOKUP(C37,'[1]FA Continuity 2011'!$B$10:$M$46,8,$C$16:$C$48)</f>
        <v>0</v>
      </c>
      <c r="L37" s="580">
        <f>VLOOKUP(C37,'[1]FA Continuity 2011'!$B$10:$M$46,9,$C$16:$C$48)</f>
        <v>0</v>
      </c>
      <c r="M37" s="580">
        <f>-VLOOKUP(C37,'[1]FA Continuity 2011'!$B$10:$M$46,10,$C$16:$C$48)</f>
        <v>0</v>
      </c>
      <c r="N37" s="27">
        <f t="shared" si="1"/>
        <v>0</v>
      </c>
      <c r="O37" s="28">
        <f t="shared" si="2"/>
        <v>0</v>
      </c>
    </row>
    <row r="38" spans="2:15" x14ac:dyDescent="0.2">
      <c r="B38" s="7">
        <v>8</v>
      </c>
      <c r="C38" s="7">
        <v>1940</v>
      </c>
      <c r="D38" s="2" t="s">
        <v>566</v>
      </c>
      <c r="E38" s="582">
        <f>VLOOKUP(C38,'App.2-B1_Depr Rates'!$C$16:$E$51,3,$C$16:$C$51)</f>
        <v>0.1</v>
      </c>
      <c r="F38" s="580">
        <f>VLOOKUP(C38,'[1]FA Continuity 2011'!$B$10:$M$46,3,$C$16:$C$48)</f>
        <v>364753.38000000006</v>
      </c>
      <c r="G38" s="580">
        <f>VLOOKUP(C38,'[1]FA Continuity 2011'!$B$10:$M$46,4,$C$16:$C$48)</f>
        <v>563.55999999999995</v>
      </c>
      <c r="H38" s="580">
        <f>-VLOOKUP(C38,'[1]FA Continuity 2011'!$B$10:$M$46,5,$C$16:$C$48)</f>
        <v>0</v>
      </c>
      <c r="I38" s="27">
        <f t="shared" si="0"/>
        <v>365316.94000000006</v>
      </c>
      <c r="J38" s="4"/>
      <c r="K38" s="580">
        <f>VLOOKUP(C38,'[1]FA Continuity 2011'!$B$10:$M$46,8,$C$16:$C$48)</f>
        <v>293757.83999999997</v>
      </c>
      <c r="L38" s="580">
        <f>VLOOKUP(C38,'[1]FA Continuity 2011'!$B$10:$M$46,9,$C$16:$C$48)</f>
        <v>12685.02</v>
      </c>
      <c r="M38" s="580">
        <f>-VLOOKUP(C38,'[1]FA Continuity 2011'!$B$10:$M$46,10,$C$16:$C$48)</f>
        <v>0</v>
      </c>
      <c r="N38" s="27">
        <f t="shared" si="1"/>
        <v>306442.86</v>
      </c>
      <c r="O38" s="28">
        <f t="shared" si="2"/>
        <v>58874.080000000075</v>
      </c>
    </row>
    <row r="39" spans="2:15" x14ac:dyDescent="0.2">
      <c r="B39" s="7">
        <v>8</v>
      </c>
      <c r="C39" s="7">
        <v>1945</v>
      </c>
      <c r="D39" s="2" t="s">
        <v>567</v>
      </c>
      <c r="E39" s="582"/>
      <c r="F39" s="580">
        <f>VLOOKUP(C39,'[1]FA Continuity 2011'!$B$10:$M$46,3,$C$16:$C$48)</f>
        <v>0</v>
      </c>
      <c r="G39" s="580">
        <f>VLOOKUP(C39,'[1]FA Continuity 2011'!$B$10:$M$46,4,$C$16:$C$48)</f>
        <v>0</v>
      </c>
      <c r="H39" s="580">
        <f>-VLOOKUP(C39,'[1]FA Continuity 2011'!$B$10:$M$46,5,$C$16:$C$48)</f>
        <v>0</v>
      </c>
      <c r="I39" s="27">
        <f t="shared" si="0"/>
        <v>0</v>
      </c>
      <c r="J39" s="4"/>
      <c r="K39" s="580">
        <f>VLOOKUP(C39,'[1]FA Continuity 2011'!$B$10:$M$46,8,$C$16:$C$48)</f>
        <v>0</v>
      </c>
      <c r="L39" s="580">
        <f>VLOOKUP(C39,'[1]FA Continuity 2011'!$B$10:$M$46,9,$C$16:$C$48)</f>
        <v>0</v>
      </c>
      <c r="M39" s="580">
        <f>-VLOOKUP(C39,'[1]FA Continuity 2011'!$B$10:$M$46,10,$C$16:$C$48)</f>
        <v>0</v>
      </c>
      <c r="N39" s="27">
        <f t="shared" si="1"/>
        <v>0</v>
      </c>
      <c r="O39" s="28">
        <f t="shared" si="2"/>
        <v>0</v>
      </c>
    </row>
    <row r="40" spans="2:15" x14ac:dyDescent="0.2">
      <c r="B40" s="7">
        <v>8</v>
      </c>
      <c r="C40" s="7">
        <v>1950</v>
      </c>
      <c r="D40" s="2" t="s">
        <v>473</v>
      </c>
      <c r="E40" s="582"/>
      <c r="F40" s="580">
        <f>VLOOKUP(C40,'[1]FA Continuity 2011'!$B$10:$M$46,3,$C$16:$C$48)</f>
        <v>0</v>
      </c>
      <c r="G40" s="580">
        <f>VLOOKUP(C40,'[1]FA Continuity 2011'!$B$10:$M$46,4,$C$16:$C$48)</f>
        <v>0</v>
      </c>
      <c r="H40" s="580">
        <f>-VLOOKUP(C40,'[1]FA Continuity 2011'!$B$10:$M$46,5,$C$16:$C$48)</f>
        <v>0</v>
      </c>
      <c r="I40" s="27">
        <f t="shared" si="0"/>
        <v>0</v>
      </c>
      <c r="J40" s="4"/>
      <c r="K40" s="580">
        <f>VLOOKUP(C40,'[1]FA Continuity 2011'!$B$10:$M$46,8,$C$16:$C$48)</f>
        <v>0</v>
      </c>
      <c r="L40" s="580">
        <f>VLOOKUP(C40,'[1]FA Continuity 2011'!$B$10:$M$46,9,$C$16:$C$48)</f>
        <v>0</v>
      </c>
      <c r="M40" s="580">
        <f>-VLOOKUP(C40,'[1]FA Continuity 2011'!$B$10:$M$46,10,$C$16:$C$48)</f>
        <v>0</v>
      </c>
      <c r="N40" s="27">
        <f t="shared" si="1"/>
        <v>0</v>
      </c>
      <c r="O40" s="28">
        <f t="shared" si="2"/>
        <v>0</v>
      </c>
    </row>
    <row r="41" spans="2:15" x14ac:dyDescent="0.2">
      <c r="B41" s="7">
        <v>8</v>
      </c>
      <c r="C41" s="7">
        <v>1955</v>
      </c>
      <c r="D41" s="2" t="s">
        <v>568</v>
      </c>
      <c r="E41" s="582">
        <f>'App.2-B1_Depr Rates'!E45</f>
        <v>0.1</v>
      </c>
      <c r="F41" s="580">
        <f>'[1]FA Continuity 2011'!$D$38</f>
        <v>35830.6</v>
      </c>
      <c r="G41" s="580">
        <f>VLOOKUP(C41,'[1]FA Continuity 2011'!$B$10:$M$46,4,$C$16:$C$48)</f>
        <v>0</v>
      </c>
      <c r="H41" s="580">
        <f>-VLOOKUP(C41,'[1]FA Continuity 2011'!$B$10:$M$46,5,$C$16:$C$48)</f>
        <v>0</v>
      </c>
      <c r="I41" s="27">
        <f t="shared" si="0"/>
        <v>35830.6</v>
      </c>
      <c r="J41" s="4"/>
      <c r="K41" s="580">
        <f>'[1]FA Continuity 2011'!$I$38</f>
        <v>21226.3</v>
      </c>
      <c r="L41" s="580">
        <f>'[1]FA Continuity 2011'!$J$38</f>
        <v>1972.45</v>
      </c>
      <c r="M41" s="580">
        <f>-VLOOKUP(C41,'[1]FA Continuity 2011'!$B$10:$M$46,10,$C$16:$C$48)</f>
        <v>0</v>
      </c>
      <c r="N41" s="27">
        <f t="shared" si="1"/>
        <v>23198.75</v>
      </c>
      <c r="O41" s="28">
        <f t="shared" si="2"/>
        <v>12631.849999999999</v>
      </c>
    </row>
    <row r="42" spans="2:15" x14ac:dyDescent="0.2">
      <c r="B42" s="457">
        <v>8</v>
      </c>
      <c r="C42" s="457">
        <v>1960</v>
      </c>
      <c r="D42" s="456" t="s">
        <v>475</v>
      </c>
      <c r="E42" s="582"/>
      <c r="F42" s="580">
        <f>VLOOKUP(C42,'[1]FA Continuity 2011'!$B$10:$M$46,3,$C$16:$C$48)</f>
        <v>0</v>
      </c>
      <c r="G42" s="580">
        <f>VLOOKUP(C42,'[1]FA Continuity 2011'!$B$10:$M$46,4,$C$16:$C$48)</f>
        <v>0</v>
      </c>
      <c r="H42" s="580">
        <f>-VLOOKUP(C42,'[1]FA Continuity 2011'!$B$10:$M$46,5,$C$16:$C$48)</f>
        <v>0</v>
      </c>
      <c r="I42" s="27">
        <f t="shared" si="0"/>
        <v>0</v>
      </c>
      <c r="J42" s="4"/>
      <c r="K42" s="580">
        <f>VLOOKUP(C42,'[1]FA Continuity 2011'!$B$10:$M$46,8,$C$16:$C$48)</f>
        <v>0</v>
      </c>
      <c r="L42" s="580">
        <f>VLOOKUP(C42,'[1]FA Continuity 2011'!$B$10:$M$46,9,$C$16:$C$48)</f>
        <v>0</v>
      </c>
      <c r="M42" s="580">
        <f>-VLOOKUP(C42,'[1]FA Continuity 2011'!$B$10:$M$46,10,$C$16:$C$48)</f>
        <v>0</v>
      </c>
      <c r="N42" s="27">
        <f t="shared" si="1"/>
        <v>0</v>
      </c>
      <c r="O42" s="28">
        <f t="shared" si="2"/>
        <v>0</v>
      </c>
    </row>
    <row r="43" spans="2:15" x14ac:dyDescent="0.2">
      <c r="B43" s="7">
        <v>47</v>
      </c>
      <c r="C43" s="7">
        <v>1975</v>
      </c>
      <c r="D43" s="2" t="s">
        <v>569</v>
      </c>
      <c r="E43" s="582"/>
      <c r="F43" s="580">
        <f>VLOOKUP(C43,'[1]FA Continuity 2011'!$B$10:$M$46,3,$C$16:$C$48)</f>
        <v>0</v>
      </c>
      <c r="G43" s="580">
        <f>VLOOKUP(C43,'[1]FA Continuity 2011'!$B$10:$M$46,4,$C$16:$C$48)</f>
        <v>0</v>
      </c>
      <c r="H43" s="580">
        <f>-VLOOKUP(C43,'[1]FA Continuity 2011'!$B$10:$M$46,5,$C$16:$C$48)</f>
        <v>0</v>
      </c>
      <c r="I43" s="27">
        <f t="shared" si="0"/>
        <v>0</v>
      </c>
      <c r="J43" s="4"/>
      <c r="K43" s="580">
        <f>VLOOKUP(C43,'[1]FA Continuity 2011'!$B$10:$M$46,8,$C$16:$C$48)</f>
        <v>0</v>
      </c>
      <c r="L43" s="580">
        <f>VLOOKUP(C43,'[1]FA Continuity 2011'!$B$10:$M$46,9,$C$16:$C$48)</f>
        <v>0</v>
      </c>
      <c r="M43" s="580">
        <f>-VLOOKUP(C43,'[1]FA Continuity 2011'!$B$10:$M$46,10,$C$16:$C$48)</f>
        <v>0</v>
      </c>
      <c r="N43" s="27">
        <f t="shared" si="1"/>
        <v>0</v>
      </c>
      <c r="O43" s="28">
        <f t="shared" si="2"/>
        <v>0</v>
      </c>
    </row>
    <row r="44" spans="2:15" x14ac:dyDescent="0.2">
      <c r="B44" s="7">
        <v>47</v>
      </c>
      <c r="C44" s="7">
        <v>1980</v>
      </c>
      <c r="D44" s="2" t="s">
        <v>570</v>
      </c>
      <c r="E44" s="582"/>
      <c r="F44" s="580">
        <f>VLOOKUP(C44,'[1]FA Continuity 2011'!$B$10:$M$46,3,$C$16:$C$48)</f>
        <v>0</v>
      </c>
      <c r="G44" s="580">
        <f>VLOOKUP(C44,'[1]FA Continuity 2011'!$B$10:$M$46,4,$C$16:$C$48)</f>
        <v>0</v>
      </c>
      <c r="H44" s="580">
        <f>-VLOOKUP(C44,'[1]FA Continuity 2011'!$B$10:$M$46,5,$C$16:$C$48)</f>
        <v>0</v>
      </c>
      <c r="I44" s="27">
        <f t="shared" si="0"/>
        <v>0</v>
      </c>
      <c r="J44" s="4"/>
      <c r="K44" s="580">
        <f>VLOOKUP(C44,'[1]FA Continuity 2011'!$B$10:$M$46,8,$C$16:$C$48)</f>
        <v>0</v>
      </c>
      <c r="L44" s="580">
        <f>VLOOKUP(C44,'[1]FA Continuity 2011'!$B$10:$M$46,9,$C$16:$C$48)</f>
        <v>0</v>
      </c>
      <c r="M44" s="580">
        <f>-VLOOKUP(C44,'[1]FA Continuity 2011'!$B$10:$M$46,10,$C$16:$C$48)</f>
        <v>0</v>
      </c>
      <c r="N44" s="27">
        <f t="shared" si="1"/>
        <v>0</v>
      </c>
      <c r="O44" s="28">
        <f t="shared" si="2"/>
        <v>0</v>
      </c>
    </row>
    <row r="45" spans="2:15" x14ac:dyDescent="0.2">
      <c r="B45" s="7">
        <v>47</v>
      </c>
      <c r="C45" s="7">
        <v>1985</v>
      </c>
      <c r="D45" s="2" t="s">
        <v>571</v>
      </c>
      <c r="E45" s="582">
        <f>VLOOKUP(C45,'App.2-B1_Depr Rates'!$C$16:$E$51,3,$C$16:$C$51)</f>
        <v>0.1</v>
      </c>
      <c r="F45" s="580">
        <f>VLOOKUP(C45,'[1]FA Continuity 2011'!$B$10:$M$46,3,$C$16:$C$48)</f>
        <v>0</v>
      </c>
      <c r="G45" s="580">
        <f>VLOOKUP(C45,'[1]FA Continuity 2011'!$B$10:$M$46,4,$C$16:$C$48)</f>
        <v>0</v>
      </c>
      <c r="H45" s="580">
        <f>-VLOOKUP(C45,'[1]FA Continuity 2011'!$B$10:$M$46,5,$C$16:$C$48)</f>
        <v>0</v>
      </c>
      <c r="I45" s="27">
        <f t="shared" si="0"/>
        <v>0</v>
      </c>
      <c r="J45" s="4"/>
      <c r="K45" s="580">
        <f>VLOOKUP(C45,'[1]FA Continuity 2011'!$B$10:$M$46,8,$C$16:$C$48)</f>
        <v>0</v>
      </c>
      <c r="L45" s="580">
        <f>VLOOKUP(C45,'[1]FA Continuity 2011'!$B$10:$M$46,9,$C$16:$C$48)</f>
        <v>0</v>
      </c>
      <c r="M45" s="580">
        <f>-VLOOKUP(C45,'[1]FA Continuity 2011'!$B$10:$M$46,10,$C$16:$C$48)</f>
        <v>0</v>
      </c>
      <c r="N45" s="27">
        <f t="shared" si="1"/>
        <v>0</v>
      </c>
      <c r="O45" s="28">
        <f t="shared" si="2"/>
        <v>0</v>
      </c>
    </row>
    <row r="46" spans="2:15" x14ac:dyDescent="0.2">
      <c r="B46" s="7">
        <v>47</v>
      </c>
      <c r="C46" s="7">
        <v>1995</v>
      </c>
      <c r="D46" s="2" t="s">
        <v>572</v>
      </c>
      <c r="E46" s="582">
        <f>VLOOKUP(C46,'App.2-B1_Depr Rates'!$C$16:$E$51,3,$C$16:$C$51)</f>
        <v>0.04</v>
      </c>
      <c r="F46" s="580">
        <f>VLOOKUP(C46,'[1]FA Continuity 2011'!$B$10:$M$46,3,$C$16:$C$48)</f>
        <v>-3679777.0500000003</v>
      </c>
      <c r="G46" s="580">
        <f>VLOOKUP(C46,'[1]FA Continuity 2011'!$B$10:$M$46,4,$C$16:$C$48)</f>
        <v>-191644.07</v>
      </c>
      <c r="H46" s="580">
        <f>-VLOOKUP(C46,'[1]FA Continuity 2011'!$B$10:$M$46,5,$C$16:$C$48)</f>
        <v>0</v>
      </c>
      <c r="I46" s="27">
        <f t="shared" si="0"/>
        <v>-3871421.12</v>
      </c>
      <c r="J46" s="4"/>
      <c r="K46" s="580">
        <f>VLOOKUP(C46,'[1]FA Continuity 2011'!$B$10:$M$46,8,$C$16:$C$48)</f>
        <v>-911633.66</v>
      </c>
      <c r="L46" s="580">
        <f>VLOOKUP(C46,'[1]FA Continuity 2011'!$B$10:$M$46,9,$C$16:$C$48)</f>
        <v>-152576.10999999999</v>
      </c>
      <c r="M46" s="580">
        <f>-VLOOKUP(C46,'[1]FA Continuity 2011'!$B$10:$M$46,10,$C$16:$C$48)</f>
        <v>0</v>
      </c>
      <c r="N46" s="27">
        <f t="shared" si="1"/>
        <v>-1064209.77</v>
      </c>
      <c r="O46" s="28">
        <f t="shared" si="2"/>
        <v>-2807211.35</v>
      </c>
    </row>
    <row r="47" spans="2:15" x14ac:dyDescent="0.2">
      <c r="B47" s="7"/>
      <c r="C47" s="7" t="s">
        <v>636</v>
      </c>
      <c r="D47" s="2"/>
      <c r="E47" s="473"/>
      <c r="F47" s="580"/>
      <c r="G47" s="580"/>
      <c r="H47" s="580"/>
      <c r="I47" s="27">
        <f t="shared" si="0"/>
        <v>0</v>
      </c>
      <c r="K47" s="580"/>
      <c r="L47" s="580"/>
      <c r="M47" s="580"/>
      <c r="N47" s="27">
        <f t="shared" si="1"/>
        <v>0</v>
      </c>
      <c r="O47" s="28">
        <f t="shared" si="2"/>
        <v>0</v>
      </c>
    </row>
    <row r="48" spans="2:15" x14ac:dyDescent="0.2">
      <c r="B48" s="7"/>
      <c r="C48" s="7"/>
      <c r="D48" s="2"/>
      <c r="E48" s="473"/>
      <c r="F48" s="580"/>
      <c r="G48" s="580"/>
      <c r="H48" s="580"/>
      <c r="I48" s="2"/>
      <c r="K48" s="580"/>
      <c r="L48" s="580"/>
      <c r="M48" s="580"/>
      <c r="N48" s="2"/>
      <c r="O48" s="28">
        <f t="shared" si="2"/>
        <v>0</v>
      </c>
    </row>
    <row r="49" spans="2:15" x14ac:dyDescent="0.2">
      <c r="B49" s="7"/>
      <c r="C49" s="7"/>
      <c r="D49" s="26" t="s">
        <v>573</v>
      </c>
      <c r="E49" s="26"/>
      <c r="F49" s="32">
        <f>SUM(F16:F47)</f>
        <v>22148659.239999998</v>
      </c>
      <c r="G49" s="32">
        <f>SUM(G16:G47)</f>
        <v>480331.12000000005</v>
      </c>
      <c r="H49" s="32">
        <f>SUM(H16:H47)</f>
        <v>-500</v>
      </c>
      <c r="I49" s="32">
        <f>SUM(I16:I47)</f>
        <v>22628490.359999999</v>
      </c>
      <c r="J49" s="33"/>
      <c r="K49" s="34">
        <f>SUM(K16:K47)</f>
        <v>14031986.550000001</v>
      </c>
      <c r="L49" s="34">
        <f>SUM(L16:L47)</f>
        <v>839799.08999999985</v>
      </c>
      <c r="M49" s="34">
        <f>SUM(M16:M47)</f>
        <v>0</v>
      </c>
      <c r="N49" s="34">
        <f>SUM(N16:N47)</f>
        <v>14871785.640000002</v>
      </c>
      <c r="O49" s="34">
        <f>SUM(O16:O47)</f>
        <v>7756704.7200000007</v>
      </c>
    </row>
    <row r="51" spans="2:15" x14ac:dyDescent="0.2">
      <c r="E51" s="3"/>
      <c r="K51" s="5" t="s">
        <v>575</v>
      </c>
      <c r="L51" s="5"/>
    </row>
    <row r="52" spans="2:15" x14ac:dyDescent="0.2">
      <c r="B52" s="7">
        <v>10</v>
      </c>
      <c r="C52" s="7">
        <v>1935</v>
      </c>
      <c r="D52" s="2" t="s">
        <v>574</v>
      </c>
      <c r="E52" s="3"/>
      <c r="F52" s="581"/>
      <c r="K52" s="5" t="s">
        <v>574</v>
      </c>
      <c r="L52" s="5"/>
      <c r="M52" s="164">
        <f>'[1]FA Continuity 2011'!$J$52</f>
        <v>0</v>
      </c>
    </row>
    <row r="53" spans="2:15" x14ac:dyDescent="0.2">
      <c r="B53" s="7">
        <v>10</v>
      </c>
      <c r="C53" s="7">
        <v>1955</v>
      </c>
      <c r="D53" s="2" t="s">
        <v>749</v>
      </c>
      <c r="K53" s="5" t="s">
        <v>749</v>
      </c>
      <c r="L53" s="5"/>
      <c r="M53" s="165">
        <f>'[1]FA Continuity 2011'!$J$53</f>
        <v>0</v>
      </c>
    </row>
    <row r="54" spans="2:15" x14ac:dyDescent="0.2">
      <c r="K54" s="6" t="s">
        <v>576</v>
      </c>
      <c r="M54" s="29">
        <f>L49-M52-M53</f>
        <v>839799.08999999985</v>
      </c>
    </row>
    <row r="56" spans="2:15" ht="14.25" x14ac:dyDescent="0.2">
      <c r="B56" s="661" t="s">
        <v>176</v>
      </c>
      <c r="C56" s="662"/>
      <c r="D56" s="662"/>
      <c r="E56" s="662"/>
      <c r="F56" s="662"/>
    </row>
    <row r="58" spans="2:15" x14ac:dyDescent="0.2">
      <c r="B58" s="412" t="s">
        <v>639</v>
      </c>
    </row>
    <row r="60" spans="2:15" x14ac:dyDescent="0.2">
      <c r="B60" s="1">
        <v>1</v>
      </c>
      <c r="C60" s="660" t="s">
        <v>434</v>
      </c>
      <c r="D60" s="660"/>
      <c r="E60" s="660"/>
      <c r="F60" s="660"/>
      <c r="G60" s="660"/>
      <c r="H60" s="660"/>
      <c r="I60" s="660"/>
      <c r="J60" s="660"/>
      <c r="K60" s="660"/>
      <c r="L60" s="660"/>
      <c r="M60" s="660"/>
      <c r="N60" s="660"/>
      <c r="O60" s="660"/>
    </row>
    <row r="61" spans="2:15" x14ac:dyDescent="0.2">
      <c r="C61" s="660"/>
      <c r="D61" s="660"/>
      <c r="E61" s="660"/>
      <c r="F61" s="660"/>
      <c r="G61" s="660"/>
      <c r="H61" s="660"/>
      <c r="I61" s="660"/>
      <c r="J61" s="660"/>
      <c r="K61" s="660"/>
      <c r="L61" s="660"/>
      <c r="M61" s="660"/>
      <c r="N61" s="660"/>
      <c r="O61" s="660"/>
    </row>
    <row r="63" spans="2:15" ht="12.75" customHeight="1" x14ac:dyDescent="0.2"/>
    <row r="64" spans="2:15" x14ac:dyDescent="0.2">
      <c r="B64" s="1">
        <v>2</v>
      </c>
      <c r="C64" s="667" t="s">
        <v>99</v>
      </c>
      <c r="D64" s="667"/>
      <c r="E64" s="667"/>
      <c r="F64" s="667"/>
      <c r="G64" s="667"/>
      <c r="H64" s="667"/>
      <c r="I64" s="667"/>
      <c r="J64" s="667"/>
      <c r="K64" s="667"/>
      <c r="L64" s="667"/>
      <c r="M64" s="667"/>
      <c r="N64" s="667"/>
      <c r="O64" s="667"/>
    </row>
    <row r="65" spans="2:15" x14ac:dyDescent="0.2">
      <c r="C65" s="667"/>
      <c r="D65" s="667"/>
      <c r="E65" s="667"/>
      <c r="F65" s="667"/>
      <c r="G65" s="667"/>
      <c r="H65" s="667"/>
      <c r="I65" s="667"/>
      <c r="J65" s="667"/>
      <c r="K65" s="667"/>
      <c r="L65" s="667"/>
      <c r="M65" s="667"/>
      <c r="N65" s="667"/>
      <c r="O65" s="667"/>
    </row>
    <row r="67" spans="2:15" x14ac:dyDescent="0.2">
      <c r="B67" s="1">
        <v>3</v>
      </c>
      <c r="C67" s="657" t="s">
        <v>435</v>
      </c>
      <c r="D67" s="657"/>
      <c r="E67" s="657"/>
      <c r="F67" s="657"/>
      <c r="G67" s="657"/>
      <c r="H67" s="657"/>
      <c r="I67" s="657"/>
      <c r="J67" s="657"/>
      <c r="K67" s="657"/>
      <c r="L67" s="657"/>
      <c r="M67" s="657"/>
      <c r="N67" s="657"/>
      <c r="O67" s="657"/>
    </row>
  </sheetData>
  <mergeCells count="8">
    <mergeCell ref="C64:O65"/>
    <mergeCell ref="C67:O67"/>
    <mergeCell ref="F9:I9"/>
    <mergeCell ref="F10:J10"/>
    <mergeCell ref="G12:H12"/>
    <mergeCell ref="F14:I14"/>
    <mergeCell ref="B56:F56"/>
    <mergeCell ref="C60:O61"/>
  </mergeCells>
  <dataValidations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O68"/>
  <sheetViews>
    <sheetView showGridLines="0" topLeftCell="A31" zoomScaleNormal="100" workbookViewId="0">
      <selection activeCell="G42" sqref="G42"/>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customWidth="1"/>
    <col min="6" max="6" width="14.42578125" customWidth="1"/>
    <col min="7" max="7" width="13" customWidth="1"/>
    <col min="8" max="8" width="11.7109375" customWidth="1"/>
    <col min="9" max="9" width="13.5703125" customWidth="1"/>
    <col min="10" max="10" width="1.7109375" style="3" customWidth="1"/>
    <col min="11" max="11" width="14.28515625" customWidth="1"/>
    <col min="12" max="12" width="13.42578125" customWidth="1"/>
    <col min="13" max="13" width="11.85546875" customWidth="1"/>
    <col min="14" max="14" width="14.5703125" bestFit="1" customWidth="1"/>
    <col min="15" max="15" width="14.140625" bestFit="1" customWidth="1"/>
  </cols>
  <sheetData>
    <row r="1" spans="2:15" x14ac:dyDescent="0.2">
      <c r="N1" s="52" t="s">
        <v>581</v>
      </c>
      <c r="O1" s="151" t="s">
        <v>170</v>
      </c>
    </row>
    <row r="2" spans="2:15" x14ac:dyDescent="0.2">
      <c r="N2" s="52" t="s">
        <v>582</v>
      </c>
      <c r="O2" s="151" t="s">
        <v>587</v>
      </c>
    </row>
    <row r="3" spans="2:15" x14ac:dyDescent="0.2">
      <c r="N3" s="52" t="s">
        <v>583</v>
      </c>
      <c r="O3" s="151" t="s">
        <v>588</v>
      </c>
    </row>
    <row r="4" spans="2:15" x14ac:dyDescent="0.2">
      <c r="N4" s="52" t="s">
        <v>584</v>
      </c>
      <c r="O4" s="151" t="s">
        <v>589</v>
      </c>
    </row>
    <row r="5" spans="2:15" x14ac:dyDescent="0.2">
      <c r="N5" s="52" t="s">
        <v>585</v>
      </c>
      <c r="O5" s="151" t="s">
        <v>590</v>
      </c>
    </row>
    <row r="6" spans="2:15" ht="9" customHeight="1" x14ac:dyDescent="0.2">
      <c r="N6" s="52"/>
    </row>
    <row r="7" spans="2:15" x14ac:dyDescent="0.2">
      <c r="N7" s="52" t="s">
        <v>586</v>
      </c>
      <c r="O7" s="472"/>
    </row>
    <row r="8" spans="2:15" ht="9" customHeight="1" x14ac:dyDescent="0.2"/>
    <row r="9" spans="2:15" ht="20.25" customHeight="1" x14ac:dyDescent="0.25">
      <c r="F9" s="659" t="s">
        <v>31</v>
      </c>
      <c r="G9" s="659"/>
      <c r="H9" s="659"/>
      <c r="I9" s="659"/>
    </row>
    <row r="10" spans="2:15" ht="18" x14ac:dyDescent="0.25">
      <c r="F10" s="659" t="s">
        <v>578</v>
      </c>
      <c r="G10" s="659"/>
      <c r="H10" s="659"/>
      <c r="I10" s="659"/>
      <c r="J10" s="659"/>
    </row>
    <row r="12" spans="2:15" ht="15" x14ac:dyDescent="0.25">
      <c r="F12" s="403" t="s">
        <v>175</v>
      </c>
      <c r="G12" s="663">
        <v>2012</v>
      </c>
      <c r="H12" s="663"/>
      <c r="I12" s="8"/>
    </row>
    <row r="14" spans="2:15" x14ac:dyDescent="0.2">
      <c r="E14" s="51"/>
      <c r="F14" s="664" t="s">
        <v>533</v>
      </c>
      <c r="G14" s="665"/>
      <c r="H14" s="665"/>
      <c r="I14" s="666"/>
      <c r="K14" s="496"/>
      <c r="L14" s="495" t="s">
        <v>534</v>
      </c>
      <c r="M14" s="495"/>
      <c r="N14" s="497"/>
      <c r="O14" s="3"/>
    </row>
    <row r="15" spans="2:15" ht="25.5" x14ac:dyDescent="0.2">
      <c r="B15" s="488" t="s">
        <v>526</v>
      </c>
      <c r="C15" s="489" t="s">
        <v>527</v>
      </c>
      <c r="D15" s="490" t="s">
        <v>528</v>
      </c>
      <c r="E15" s="488" t="s">
        <v>577</v>
      </c>
      <c r="F15" s="488" t="s">
        <v>529</v>
      </c>
      <c r="G15" s="489" t="s">
        <v>530</v>
      </c>
      <c r="H15" s="489" t="s">
        <v>531</v>
      </c>
      <c r="I15" s="488" t="s">
        <v>532</v>
      </c>
      <c r="J15" s="491"/>
      <c r="K15" s="492" t="s">
        <v>529</v>
      </c>
      <c r="L15" s="493" t="s">
        <v>530</v>
      </c>
      <c r="M15" s="493" t="s">
        <v>531</v>
      </c>
      <c r="N15" s="494" t="s">
        <v>532</v>
      </c>
      <c r="O15" s="488" t="s">
        <v>580</v>
      </c>
    </row>
    <row r="16" spans="2:15" x14ac:dyDescent="0.2">
      <c r="B16" s="7" t="s">
        <v>535</v>
      </c>
      <c r="C16" s="7">
        <v>1805</v>
      </c>
      <c r="D16" s="2" t="s">
        <v>536</v>
      </c>
      <c r="E16" s="582">
        <f>VLOOKUP(C16,'App.2-B1_Depr Rates'!$C$16:$E$51,3,$C$16:$C$47)</f>
        <v>0</v>
      </c>
      <c r="F16" s="580">
        <f>VLOOKUP(C16,'[1]FA Continuity 2012'!$B$10:$M$46,3,$C$16:$C$47)</f>
        <v>2112</v>
      </c>
      <c r="G16" s="580">
        <f>VLOOKUP(C16,'[1]FA Continuity 2012'!$B$10:$M$46,4,$C$16:$C$47)</f>
        <v>0</v>
      </c>
      <c r="H16" s="580">
        <f>VLOOKUP(C16,'[1]FA Continuity 2012'!$B$10:$M$46,5,$C$16:$C$47)</f>
        <v>0</v>
      </c>
      <c r="I16" s="31">
        <f t="shared" ref="I16:I48" si="0">F16+G16+H16</f>
        <v>2112</v>
      </c>
      <c r="J16" s="4"/>
      <c r="K16" s="580">
        <f>VLOOKUP(C16,'[1]FA Continuity 2012'!$B$10:$M$46,8,$C$16:$C$47)</f>
        <v>0</v>
      </c>
      <c r="L16" s="580">
        <f>VLOOKUP(C16,'[1]FA Continuity 2012'!$B$10:$M$46,9,$C$16:$C$47)</f>
        <v>0</v>
      </c>
      <c r="M16" s="580">
        <f>VLOOKUP(C16,'[1]FA Continuity 2012'!$B$10:$M$46,10,$C$16:$C$47)</f>
        <v>0</v>
      </c>
      <c r="N16" s="31">
        <f t="shared" ref="N16:N48" si="1">K16+L16+M16</f>
        <v>0</v>
      </c>
      <c r="O16" s="28">
        <f>I16-N16</f>
        <v>2112</v>
      </c>
    </row>
    <row r="17" spans="2:15" x14ac:dyDescent="0.2">
      <c r="B17" s="7">
        <v>47</v>
      </c>
      <c r="C17" s="7">
        <v>1808</v>
      </c>
      <c r="D17" s="2" t="s">
        <v>537</v>
      </c>
      <c r="E17" s="582"/>
      <c r="F17" s="580">
        <f>VLOOKUP(C17,'[1]FA Continuity 2012'!$B$10:$M$46,3,$C$16:$C$47)</f>
        <v>0</v>
      </c>
      <c r="G17" s="580">
        <f>VLOOKUP(C17,'[1]FA Continuity 2012'!$B$10:$M$46,4,$C$16:$C$47)</f>
        <v>0</v>
      </c>
      <c r="H17" s="580">
        <f>VLOOKUP(C17,'[1]FA Continuity 2012'!$B$10:$M$46,5,$C$16:$C$47)</f>
        <v>0</v>
      </c>
      <c r="I17" s="31">
        <f t="shared" si="0"/>
        <v>0</v>
      </c>
      <c r="J17" s="4"/>
      <c r="K17" s="580">
        <f>VLOOKUP(C17,'[1]FA Continuity 2012'!$B$10:$M$46,8,$C$16:$C$47)</f>
        <v>0</v>
      </c>
      <c r="L17" s="580">
        <f>VLOOKUP(C17,'[1]FA Continuity 2012'!$B$10:$M$46,9,$C$16:$C$47)</f>
        <v>0</v>
      </c>
      <c r="M17" s="580">
        <f>VLOOKUP(C17,'[1]FA Continuity 2012'!$B$10:$M$46,10,$C$16:$C$47)</f>
        <v>0</v>
      </c>
      <c r="N17" s="31">
        <f t="shared" si="1"/>
        <v>0</v>
      </c>
      <c r="O17" s="28">
        <f t="shared" ref="O17:O47" si="2">I17-N17</f>
        <v>0</v>
      </c>
    </row>
    <row r="18" spans="2:15" x14ac:dyDescent="0.2">
      <c r="B18" s="7">
        <v>13</v>
      </c>
      <c r="C18" s="7">
        <v>1810</v>
      </c>
      <c r="D18" s="2" t="s">
        <v>579</v>
      </c>
      <c r="E18" s="582"/>
      <c r="F18" s="580">
        <f>VLOOKUP(C18,'[1]FA Continuity 2012'!$B$10:$M$46,3,$C$16:$C$47)</f>
        <v>0</v>
      </c>
      <c r="G18" s="580">
        <f>VLOOKUP(C18,'[1]FA Continuity 2012'!$B$10:$M$46,4,$C$16:$C$47)</f>
        <v>0</v>
      </c>
      <c r="H18" s="580">
        <f>VLOOKUP(C18,'[1]FA Continuity 2012'!$B$10:$M$46,5,$C$16:$C$47)</f>
        <v>0</v>
      </c>
      <c r="I18" s="31">
        <f t="shared" si="0"/>
        <v>0</v>
      </c>
      <c r="J18" s="4"/>
      <c r="K18" s="580">
        <f>VLOOKUP(C18,'[1]FA Continuity 2012'!$B$10:$M$46,8,$C$16:$C$47)</f>
        <v>0</v>
      </c>
      <c r="L18" s="580">
        <f>VLOOKUP(C18,'[1]FA Continuity 2012'!$B$10:$M$46,9,$C$16:$C$47)</f>
        <v>0</v>
      </c>
      <c r="M18" s="580">
        <f>VLOOKUP(C18,'[1]FA Continuity 2012'!$B$10:$M$46,10,$C$16:$C$47)</f>
        <v>0</v>
      </c>
      <c r="N18" s="31">
        <f t="shared" si="1"/>
        <v>0</v>
      </c>
      <c r="O18" s="28">
        <f t="shared" si="2"/>
        <v>0</v>
      </c>
    </row>
    <row r="19" spans="2:15" x14ac:dyDescent="0.2">
      <c r="B19" s="7">
        <v>47</v>
      </c>
      <c r="C19" s="7">
        <v>1815</v>
      </c>
      <c r="D19" s="2" t="s">
        <v>538</v>
      </c>
      <c r="E19" s="582"/>
      <c r="F19" s="580">
        <f>VLOOKUP(C19,'[1]FA Continuity 2012'!$B$10:$M$46,3,$C$16:$C$47)</f>
        <v>0</v>
      </c>
      <c r="G19" s="580">
        <f>VLOOKUP(C19,'[1]FA Continuity 2012'!$B$10:$M$46,4,$C$16:$C$47)</f>
        <v>0</v>
      </c>
      <c r="H19" s="580">
        <f>VLOOKUP(C19,'[1]FA Continuity 2012'!$B$10:$M$46,5,$C$16:$C$47)</f>
        <v>0</v>
      </c>
      <c r="I19" s="31">
        <f t="shared" si="0"/>
        <v>0</v>
      </c>
      <c r="J19" s="4"/>
      <c r="K19" s="580">
        <f>VLOOKUP(C19,'[1]FA Continuity 2012'!$B$10:$M$46,8,$C$16:$C$47)</f>
        <v>0</v>
      </c>
      <c r="L19" s="580">
        <f>VLOOKUP(C19,'[1]FA Continuity 2012'!$B$10:$M$46,9,$C$16:$C$47)</f>
        <v>0</v>
      </c>
      <c r="M19" s="580">
        <f>VLOOKUP(C19,'[1]FA Continuity 2012'!$B$10:$M$46,10,$C$16:$C$47)</f>
        <v>0</v>
      </c>
      <c r="N19" s="31">
        <f t="shared" si="1"/>
        <v>0</v>
      </c>
      <c r="O19" s="28">
        <f t="shared" si="2"/>
        <v>0</v>
      </c>
    </row>
    <row r="20" spans="2:15" x14ac:dyDescent="0.2">
      <c r="B20" s="7">
        <v>47</v>
      </c>
      <c r="C20" s="7">
        <v>1820</v>
      </c>
      <c r="D20" s="456" t="s">
        <v>462</v>
      </c>
      <c r="E20" s="582">
        <f>VLOOKUP(C20,'App.2-B1_Depr Rates'!$C$16:$E$51,3,$C$16:$C$47)</f>
        <v>0.04</v>
      </c>
      <c r="F20" s="580">
        <f>VLOOKUP(C20,'[1]FA Continuity 2012'!$B$10:$M$46,3,$C$16:$C$47)</f>
        <v>142098.48000000001</v>
      </c>
      <c r="G20" s="580">
        <f>VLOOKUP(C20,'[1]FA Continuity 2012'!$B$10:$M$46,4,$C$16:$C$47)</f>
        <v>0</v>
      </c>
      <c r="H20" s="580">
        <f>VLOOKUP(C20,'[1]FA Continuity 2012'!$B$10:$M$46,5,$C$16:$C$47)</f>
        <v>0</v>
      </c>
      <c r="I20" s="31">
        <f t="shared" si="0"/>
        <v>142098.48000000001</v>
      </c>
      <c r="J20" s="4"/>
      <c r="K20" s="580">
        <f>VLOOKUP(C20,'[1]FA Continuity 2012'!$B$10:$M$46,8,$C$16:$C$47)</f>
        <v>140952.33000000002</v>
      </c>
      <c r="L20" s="580">
        <f>VLOOKUP(C20,'[1]FA Continuity 2012'!$B$10:$M$46,9,$C$16:$C$47)</f>
        <v>61.97</v>
      </c>
      <c r="M20" s="580">
        <f>VLOOKUP(C20,'[1]FA Continuity 2012'!$B$10:$M$46,10,$C$16:$C$47)</f>
        <v>0</v>
      </c>
      <c r="N20" s="31">
        <f t="shared" si="1"/>
        <v>141014.30000000002</v>
      </c>
      <c r="O20" s="28">
        <f t="shared" si="2"/>
        <v>1084.179999999993</v>
      </c>
    </row>
    <row r="21" spans="2:15" x14ac:dyDescent="0.2">
      <c r="B21" s="7">
        <v>47</v>
      </c>
      <c r="C21" s="7">
        <v>1825</v>
      </c>
      <c r="D21" s="2" t="s">
        <v>539</v>
      </c>
      <c r="E21" s="582">
        <f>VLOOKUP(C21,'App.2-B1_Depr Rates'!$C$16:$E$51,3,$C$16:$C$47)</f>
        <v>0</v>
      </c>
      <c r="F21" s="580">
        <f>VLOOKUP(C21,'[1]FA Continuity 2012'!$B$10:$M$46,3,$C$16:$C$47)</f>
        <v>0</v>
      </c>
      <c r="G21" s="580">
        <f>VLOOKUP(C21,'[1]FA Continuity 2012'!$B$10:$M$46,4,$C$16:$C$47)</f>
        <v>0</v>
      </c>
      <c r="H21" s="580">
        <f>VLOOKUP(C21,'[1]FA Continuity 2012'!$B$10:$M$46,5,$C$16:$C$47)</f>
        <v>0</v>
      </c>
      <c r="I21" s="31">
        <f t="shared" si="0"/>
        <v>0</v>
      </c>
      <c r="J21" s="4"/>
      <c r="K21" s="580">
        <f>VLOOKUP(C21,'[1]FA Continuity 2012'!$B$10:$M$46,8,$C$16:$C$47)</f>
        <v>0</v>
      </c>
      <c r="L21" s="580">
        <f>VLOOKUP(C21,'[1]FA Continuity 2012'!$B$10:$M$46,9,$C$16:$C$47)</f>
        <v>0</v>
      </c>
      <c r="M21" s="580">
        <f>VLOOKUP(C21,'[1]FA Continuity 2012'!$B$10:$M$46,10,$C$16:$C$47)</f>
        <v>0</v>
      </c>
      <c r="N21" s="31">
        <f t="shared" si="1"/>
        <v>0</v>
      </c>
      <c r="O21" s="28">
        <f t="shared" si="2"/>
        <v>0</v>
      </c>
    </row>
    <row r="22" spans="2:15" x14ac:dyDescent="0.2">
      <c r="B22" s="7">
        <v>47</v>
      </c>
      <c r="C22" s="7">
        <v>1830</v>
      </c>
      <c r="D22" s="2" t="s">
        <v>540</v>
      </c>
      <c r="E22" s="582">
        <f>VLOOKUP(C22,'App.2-B1_Depr Rates'!$C$16:$E$51,3,$C$16:$C$47)</f>
        <v>0.04</v>
      </c>
      <c r="F22" s="580">
        <f>VLOOKUP(C22,'[1]FA Continuity 2012'!$B$10:$M$46,3,$C$16:$C$47)</f>
        <v>888855.67</v>
      </c>
      <c r="G22" s="580">
        <f>VLOOKUP(C22,'[1]FA Continuity 2012'!$B$10:$M$46,4,$C$16:$C$47)</f>
        <v>21000</v>
      </c>
      <c r="H22" s="580">
        <f>VLOOKUP(C22,'[1]FA Continuity 2012'!$B$10:$M$46,5,$C$16:$C$47)</f>
        <v>0</v>
      </c>
      <c r="I22" s="31">
        <f t="shared" si="0"/>
        <v>909855.67</v>
      </c>
      <c r="J22" s="4"/>
      <c r="K22" s="580">
        <f>VLOOKUP(C22,'[1]FA Continuity 2012'!$B$10:$M$46,8,$C$16:$C$47)</f>
        <v>197609.71999999997</v>
      </c>
      <c r="L22" s="580">
        <f>VLOOKUP(C22,'[1]FA Continuity 2012'!$B$10:$M$46,9,$C$16:$C$47)</f>
        <v>35984.21</v>
      </c>
      <c r="M22" s="580">
        <f>VLOOKUP(C22,'[1]FA Continuity 2012'!$B$10:$M$46,10,$C$16:$C$47)</f>
        <v>0</v>
      </c>
      <c r="N22" s="31">
        <f t="shared" si="1"/>
        <v>233593.92999999996</v>
      </c>
      <c r="O22" s="28">
        <f t="shared" si="2"/>
        <v>676261.74000000011</v>
      </c>
    </row>
    <row r="23" spans="2:15" x14ac:dyDescent="0.2">
      <c r="B23" s="7">
        <v>47</v>
      </c>
      <c r="C23" s="7">
        <v>1835</v>
      </c>
      <c r="D23" s="2" t="s">
        <v>463</v>
      </c>
      <c r="E23" s="582">
        <f>VLOOKUP(C23,'App.2-B1_Depr Rates'!$C$16:$E$51,3,$C$16:$C$47)</f>
        <v>0.04</v>
      </c>
      <c r="F23" s="580">
        <f>VLOOKUP(C23,'[1]FA Continuity 2012'!$B$10:$M$46,3,$C$16:$C$47)</f>
        <v>6275032.4000000004</v>
      </c>
      <c r="G23" s="580">
        <f>VLOOKUP(C23,'[1]FA Continuity 2012'!$B$10:$M$46,4,$C$16:$C$47)</f>
        <v>47000</v>
      </c>
      <c r="H23" s="580">
        <f>VLOOKUP(C23,'[1]FA Continuity 2012'!$B$10:$M$46,5,$C$16:$C$47)</f>
        <v>0</v>
      </c>
      <c r="I23" s="31">
        <f t="shared" si="0"/>
        <v>6322032.4000000004</v>
      </c>
      <c r="J23" s="4"/>
      <c r="K23" s="580">
        <f>VLOOKUP(C23,'[1]FA Continuity 2012'!$B$10:$M$46,8,$C$16:$C$47)</f>
        <v>4306415.82</v>
      </c>
      <c r="L23" s="580">
        <f>VLOOKUP(C23,'[1]FA Continuity 2012'!$B$10:$M$46,9,$C$16:$C$47)</f>
        <v>246825.02</v>
      </c>
      <c r="M23" s="580">
        <f>VLOOKUP(C23,'[1]FA Continuity 2012'!$B$10:$M$46,10,$C$16:$C$47)</f>
        <v>0</v>
      </c>
      <c r="N23" s="31">
        <f t="shared" si="1"/>
        <v>4553240.84</v>
      </c>
      <c r="O23" s="28">
        <f t="shared" si="2"/>
        <v>1768791.5600000005</v>
      </c>
    </row>
    <row r="24" spans="2:15" x14ac:dyDescent="0.2">
      <c r="B24" s="7">
        <v>47</v>
      </c>
      <c r="C24" s="7">
        <v>1840</v>
      </c>
      <c r="D24" s="2" t="s">
        <v>464</v>
      </c>
      <c r="E24" s="582">
        <f>VLOOKUP(C24,'App.2-B1_Depr Rates'!$C$16:$E$51,3,$C$16:$C$47)</f>
        <v>0.04</v>
      </c>
      <c r="F24" s="580">
        <f>VLOOKUP(C24,'[1]FA Continuity 2012'!$B$10:$M$46,3,$C$16:$C$47)</f>
        <v>1251540.9599999997</v>
      </c>
      <c r="G24" s="580">
        <f>VLOOKUP(C24,'[1]FA Continuity 2012'!$B$10:$M$46,4,$C$16:$C$47)</f>
        <v>200100</v>
      </c>
      <c r="H24" s="580">
        <f>VLOOKUP(C24,'[1]FA Continuity 2012'!$B$10:$M$46,5,$C$16:$C$47)</f>
        <v>0</v>
      </c>
      <c r="I24" s="31">
        <f t="shared" si="0"/>
        <v>1451640.9599999997</v>
      </c>
      <c r="J24" s="4"/>
      <c r="K24" s="580">
        <f>VLOOKUP(C24,'[1]FA Continuity 2012'!$B$10:$M$46,8,$C$16:$C$47)</f>
        <v>243929.59</v>
      </c>
      <c r="L24" s="580">
        <f>VLOOKUP(C24,'[1]FA Continuity 2012'!$B$10:$M$46,9,$C$16:$C$47)</f>
        <v>54068.82</v>
      </c>
      <c r="M24" s="580">
        <f>VLOOKUP(C24,'[1]FA Continuity 2012'!$B$10:$M$46,10,$C$16:$C$47)</f>
        <v>0</v>
      </c>
      <c r="N24" s="31">
        <f t="shared" si="1"/>
        <v>297998.40999999997</v>
      </c>
      <c r="O24" s="28">
        <f t="shared" si="2"/>
        <v>1153642.5499999998</v>
      </c>
    </row>
    <row r="25" spans="2:15" x14ac:dyDescent="0.2">
      <c r="B25" s="7">
        <v>47</v>
      </c>
      <c r="C25" s="7">
        <v>1845</v>
      </c>
      <c r="D25" s="2" t="s">
        <v>465</v>
      </c>
      <c r="E25" s="582">
        <f>VLOOKUP(C25,'App.2-B1_Depr Rates'!$C$16:$E$51,3,$C$16:$C$47)</f>
        <v>0.04</v>
      </c>
      <c r="F25" s="580">
        <f>VLOOKUP(C25,'[1]FA Continuity 2012'!$B$10:$M$46,3,$C$16:$C$47)</f>
        <v>7246992.580000001</v>
      </c>
      <c r="G25" s="580">
        <f>VLOOKUP(C25,'[1]FA Continuity 2012'!$B$10:$M$46,4,$C$16:$C$47)</f>
        <v>517100</v>
      </c>
      <c r="H25" s="580">
        <f>VLOOKUP(C25,'[1]FA Continuity 2012'!$B$10:$M$46,5,$C$16:$C$47)</f>
        <v>0</v>
      </c>
      <c r="I25" s="31">
        <f t="shared" si="0"/>
        <v>7764092.580000001</v>
      </c>
      <c r="J25" s="4"/>
      <c r="K25" s="580">
        <f>VLOOKUP(C25,'[1]FA Continuity 2012'!$B$10:$M$46,8,$C$16:$C$47)</f>
        <v>4537672.9400000004</v>
      </c>
      <c r="L25" s="580">
        <f>VLOOKUP(C25,'[1]FA Continuity 2012'!$B$10:$M$46,9,$C$16:$C$47)</f>
        <v>283033.82</v>
      </c>
      <c r="M25" s="580">
        <f>VLOOKUP(C25,'[1]FA Continuity 2012'!$B$10:$M$46,10,$C$16:$C$47)</f>
        <v>0</v>
      </c>
      <c r="N25" s="31">
        <f t="shared" si="1"/>
        <v>4820706.7600000007</v>
      </c>
      <c r="O25" s="28">
        <f t="shared" si="2"/>
        <v>2943385.8200000003</v>
      </c>
    </row>
    <row r="26" spans="2:15" x14ac:dyDescent="0.2">
      <c r="B26" s="7">
        <v>47</v>
      </c>
      <c r="C26" s="7">
        <v>1850</v>
      </c>
      <c r="D26" s="2" t="s">
        <v>541</v>
      </c>
      <c r="E26" s="582">
        <f>VLOOKUP(C26,'App.2-B1_Depr Rates'!$C$16:$E$51,3,$C$16:$C$47)</f>
        <v>0.04</v>
      </c>
      <c r="F26" s="580">
        <f>VLOOKUP(C26,'[1]FA Continuity 2012'!$B$10:$M$46,3,$C$16:$C$47)</f>
        <v>5511324.0499999998</v>
      </c>
      <c r="G26" s="580">
        <f>VLOOKUP(C26,'[1]FA Continuity 2012'!$B$10:$M$46,4,$C$16:$C$47)</f>
        <v>399590</v>
      </c>
      <c r="H26" s="580">
        <f>VLOOKUP(C26,'[1]FA Continuity 2012'!$B$10:$M$46,5,$C$16:$C$47)</f>
        <v>0</v>
      </c>
      <c r="I26" s="31">
        <f t="shared" si="0"/>
        <v>5910914.0499999998</v>
      </c>
      <c r="J26" s="4"/>
      <c r="K26" s="580">
        <f>VLOOKUP(C26,'[1]FA Continuity 2012'!$B$10:$M$46,8,$C$16:$C$47)</f>
        <v>3331320.24</v>
      </c>
      <c r="L26" s="580">
        <f>VLOOKUP(C26,'[1]FA Continuity 2012'!$B$10:$M$46,9,$C$16:$C$47)</f>
        <v>199705.35</v>
      </c>
      <c r="M26" s="580">
        <f>VLOOKUP(C26,'[1]FA Continuity 2012'!$B$10:$M$46,10,$C$16:$C$47)</f>
        <v>0</v>
      </c>
      <c r="N26" s="31">
        <f t="shared" si="1"/>
        <v>3531025.5900000003</v>
      </c>
      <c r="O26" s="28">
        <f t="shared" si="2"/>
        <v>2379888.4599999995</v>
      </c>
    </row>
    <row r="27" spans="2:15" x14ac:dyDescent="0.2">
      <c r="B27" s="7">
        <v>47</v>
      </c>
      <c r="C27" s="7">
        <v>1855</v>
      </c>
      <c r="D27" s="2" t="s">
        <v>466</v>
      </c>
      <c r="E27" s="582">
        <f>VLOOKUP(C27,'App.2-B1_Depr Rates'!$C$16:$E$51,3,$C$16:$C$47)</f>
        <v>0.04</v>
      </c>
      <c r="F27" s="580">
        <f>VLOOKUP(C27,'[1]FA Continuity 2012'!$B$10:$M$46,3,$C$16:$C$47)</f>
        <v>699827.55999999982</v>
      </c>
      <c r="G27" s="580">
        <f>VLOOKUP(C27,'[1]FA Continuity 2012'!$B$10:$M$46,4,$C$16:$C$47)</f>
        <v>88200</v>
      </c>
      <c r="H27" s="580">
        <f>VLOOKUP(C27,'[1]FA Continuity 2012'!$B$10:$M$46,5,$C$16:$C$47)</f>
        <v>0</v>
      </c>
      <c r="I27" s="31">
        <f t="shared" si="0"/>
        <v>788027.55999999982</v>
      </c>
      <c r="J27" s="4"/>
      <c r="K27" s="580">
        <f>VLOOKUP(C27,'[1]FA Continuity 2012'!$B$10:$M$46,8,$C$16:$C$47)</f>
        <v>137902.47999999998</v>
      </c>
      <c r="L27" s="580">
        <f>VLOOKUP(C27,'[1]FA Continuity 2012'!$B$10:$M$46,9,$C$16:$C$47)</f>
        <v>29766.32</v>
      </c>
      <c r="M27" s="580">
        <f>VLOOKUP(C27,'[1]FA Continuity 2012'!$B$10:$M$46,10,$C$16:$C$47)</f>
        <v>0</v>
      </c>
      <c r="N27" s="31">
        <f t="shared" si="1"/>
        <v>167668.79999999999</v>
      </c>
      <c r="O27" s="28">
        <f t="shared" si="2"/>
        <v>620358.75999999978</v>
      </c>
    </row>
    <row r="28" spans="2:15" x14ac:dyDescent="0.2">
      <c r="B28" s="7">
        <v>47</v>
      </c>
      <c r="C28" s="7">
        <v>1860</v>
      </c>
      <c r="D28" s="2" t="s">
        <v>542</v>
      </c>
      <c r="E28" s="582">
        <f>'App.2-B1_Depr Rates'!E28</f>
        <v>0.04</v>
      </c>
      <c r="F28" s="580">
        <f>'[1]FA Continuity 2012'!$D$23</f>
        <v>514261.00000000029</v>
      </c>
      <c r="G28" s="580">
        <f>'[1]FA Continuity 2012'!$E$23</f>
        <v>21260</v>
      </c>
      <c r="H28" s="580">
        <f>VLOOKUP(C28,'[1]FA Continuity 2012'!$B$10:$M$46,5,$C$16:$C$47)</f>
        <v>0</v>
      </c>
      <c r="I28" s="31">
        <f t="shared" si="0"/>
        <v>535521.00000000023</v>
      </c>
      <c r="J28" s="4"/>
      <c r="K28" s="580">
        <f>'[1]FA Continuity 2012'!$I$23</f>
        <v>67206.549999999945</v>
      </c>
      <c r="L28" s="580">
        <f>'[1]FA Continuity 2012'!$J$23</f>
        <v>9634.74</v>
      </c>
      <c r="M28" s="580">
        <f>VLOOKUP(C28,'[1]FA Continuity 2012'!$B$10:$M$46,10,$C$16:$C$47)</f>
        <v>0</v>
      </c>
      <c r="N28" s="31">
        <f t="shared" si="1"/>
        <v>76841.28999999995</v>
      </c>
      <c r="O28" s="28">
        <f t="shared" si="2"/>
        <v>458679.71000000031</v>
      </c>
    </row>
    <row r="29" spans="2:15" x14ac:dyDescent="0.2">
      <c r="B29" s="7">
        <v>47</v>
      </c>
      <c r="C29" s="7">
        <v>1860</v>
      </c>
      <c r="D29" s="2" t="s">
        <v>467</v>
      </c>
      <c r="E29" s="582">
        <f>100%/15</f>
        <v>6.6666666666666666E-2</v>
      </c>
      <c r="F29" s="580">
        <f>VLOOKUP(C29,'[1]FA Continuity 2012'!$B$10:$M$46,3,$C$16:$C$47)</f>
        <v>1574203.7499999998</v>
      </c>
      <c r="G29" s="580">
        <f>VLOOKUP(C29,'[1]FA Continuity 2012'!$B$10:$M$46,4,$C$16:$C$47)</f>
        <v>0</v>
      </c>
      <c r="H29" s="580">
        <f>VLOOKUP(C29,'[1]FA Continuity 2012'!$B$10:$M$46,5,$C$16:$C$47)</f>
        <v>0</v>
      </c>
      <c r="I29" s="31">
        <f t="shared" si="0"/>
        <v>1574203.7499999998</v>
      </c>
      <c r="J29" s="4"/>
      <c r="K29" s="580">
        <f>VLOOKUP(C29,'[1]FA Continuity 2012'!$B$10:$M$46,8,$C$16:$C$47)</f>
        <v>137875.34366666665</v>
      </c>
      <c r="L29" s="580">
        <f>VLOOKUP(C29,'[1]FA Continuity 2012'!$B$10:$M$46,9,$C$16:$C$47)</f>
        <v>105478.30933333332</v>
      </c>
      <c r="M29" s="580">
        <f>VLOOKUP(C29,'[1]FA Continuity 2012'!$B$10:$M$46,10,$C$16:$C$47)</f>
        <v>0</v>
      </c>
      <c r="N29" s="31">
        <f t="shared" si="1"/>
        <v>243353.65299999999</v>
      </c>
      <c r="O29" s="28">
        <f t="shared" si="2"/>
        <v>1330850.0969999998</v>
      </c>
    </row>
    <row r="30" spans="2:15" x14ac:dyDescent="0.2">
      <c r="B30" s="7" t="s">
        <v>535</v>
      </c>
      <c r="C30" s="7">
        <v>1905</v>
      </c>
      <c r="D30" s="2" t="s">
        <v>536</v>
      </c>
      <c r="E30" s="582">
        <f>VLOOKUP(C30,'App.2-B1_Depr Rates'!$C$16:$E$51,3,$C$16:$C$47)</f>
        <v>0</v>
      </c>
      <c r="F30" s="580">
        <f>VLOOKUP(C30,'[1]FA Continuity 2012'!$B$10:$M$46,3,$C$16:$C$47)</f>
        <v>171765.02</v>
      </c>
      <c r="G30" s="580">
        <f>VLOOKUP(C30,'[1]FA Continuity 2012'!$B$10:$M$46,4,$C$16:$C$47)</f>
        <v>0</v>
      </c>
      <c r="H30" s="580">
        <f>VLOOKUP(C30,'[1]FA Continuity 2012'!$B$10:$M$46,5,$C$16:$C$47)</f>
        <v>0</v>
      </c>
      <c r="I30" s="31">
        <f t="shared" si="0"/>
        <v>171765.02</v>
      </c>
      <c r="J30" s="4"/>
      <c r="K30" s="580">
        <f>VLOOKUP(C30,'[1]FA Continuity 2012'!$B$10:$M$46,8,$C$16:$C$47)</f>
        <v>0</v>
      </c>
      <c r="L30" s="580">
        <f>VLOOKUP(C30,'[1]FA Continuity 2012'!$B$10:$M$46,9,$C$16:$C$47)</f>
        <v>0</v>
      </c>
      <c r="M30" s="580">
        <f>VLOOKUP(C30,'[1]FA Continuity 2012'!$B$10:$M$46,10,$C$16:$C$47)</f>
        <v>0</v>
      </c>
      <c r="N30" s="31">
        <f t="shared" si="1"/>
        <v>0</v>
      </c>
      <c r="O30" s="28">
        <f t="shared" si="2"/>
        <v>171765.02</v>
      </c>
    </row>
    <row r="31" spans="2:15" x14ac:dyDescent="0.2">
      <c r="B31" s="7" t="s">
        <v>544</v>
      </c>
      <c r="C31" s="7">
        <v>1906</v>
      </c>
      <c r="D31" s="2" t="s">
        <v>545</v>
      </c>
      <c r="E31" s="582">
        <f>VLOOKUP(C31,'App.2-B1_Depr Rates'!$C$16:$E$51,3,$C$16:$C$47)</f>
        <v>0.02</v>
      </c>
      <c r="F31" s="580">
        <f>VLOOKUP(C31,'[1]FA Continuity 2012'!$B$10:$M$46,3,$C$16:$C$47)</f>
        <v>2944.73</v>
      </c>
      <c r="G31" s="580">
        <f>VLOOKUP(C31,'[1]FA Continuity 2012'!$B$10:$M$46,4,$C$16:$C$47)</f>
        <v>0</v>
      </c>
      <c r="H31" s="580">
        <f>VLOOKUP(C31,'[1]FA Continuity 2012'!$B$10:$M$46,5,$C$16:$C$47)</f>
        <v>0</v>
      </c>
      <c r="I31" s="31">
        <f t="shared" si="0"/>
        <v>2944.73</v>
      </c>
      <c r="J31" s="4"/>
      <c r="K31" s="580">
        <f>VLOOKUP(C31,'[1]FA Continuity 2012'!$B$10:$M$46,8,$C$16:$C$47)</f>
        <v>2724.73</v>
      </c>
      <c r="L31" s="580">
        <f>VLOOKUP(C31,'[1]FA Continuity 2012'!$B$10:$M$46,9,$C$16:$C$47)</f>
        <v>0</v>
      </c>
      <c r="M31" s="580">
        <f>VLOOKUP(C31,'[1]FA Continuity 2012'!$B$10:$M$46,10,$C$16:$C$47)</f>
        <v>0</v>
      </c>
      <c r="N31" s="31">
        <f t="shared" si="1"/>
        <v>2724.73</v>
      </c>
      <c r="O31" s="28">
        <f t="shared" si="2"/>
        <v>220</v>
      </c>
    </row>
    <row r="32" spans="2:15" x14ac:dyDescent="0.2">
      <c r="B32" s="7">
        <v>47</v>
      </c>
      <c r="C32" s="7">
        <v>1908</v>
      </c>
      <c r="D32" s="2" t="s">
        <v>546</v>
      </c>
      <c r="E32" s="582">
        <f>VLOOKUP(C32,'App.2-B1_Depr Rates'!$C$16:$E$51,3,$C$16:$C$47)</f>
        <v>0.1</v>
      </c>
      <c r="F32" s="580">
        <f>VLOOKUP(C32,'[1]FA Continuity 2012'!$B$10:$M$46,3,$C$16:$C$47)</f>
        <v>661839.77</v>
      </c>
      <c r="G32" s="580">
        <f>VLOOKUP(C32,'[1]FA Continuity 2012'!$B$10:$M$46,4,$C$16:$C$47)</f>
        <v>14500</v>
      </c>
      <c r="H32" s="580">
        <f>VLOOKUP(C32,'[1]FA Continuity 2012'!$B$10:$M$46,5,$C$16:$C$47)</f>
        <v>0</v>
      </c>
      <c r="I32" s="31">
        <f t="shared" si="0"/>
        <v>676339.77</v>
      </c>
      <c r="J32" s="4"/>
      <c r="K32" s="580">
        <f>VLOOKUP(C32,'[1]FA Continuity 2012'!$B$10:$M$46,8,$C$16:$C$47)</f>
        <v>332117.57999999996</v>
      </c>
      <c r="L32" s="580">
        <f>VLOOKUP(C32,'[1]FA Continuity 2012'!$B$10:$M$46,9,$C$16:$C$47)</f>
        <v>14573.91</v>
      </c>
      <c r="M32" s="580">
        <f>VLOOKUP(C32,'[1]FA Continuity 2012'!$B$10:$M$46,10,$C$16:$C$47)</f>
        <v>0</v>
      </c>
      <c r="N32" s="31">
        <f t="shared" si="1"/>
        <v>346691.48999999993</v>
      </c>
      <c r="O32" s="28">
        <f t="shared" si="2"/>
        <v>329648.28000000009</v>
      </c>
    </row>
    <row r="33" spans="2:15" x14ac:dyDescent="0.2">
      <c r="B33" s="7">
        <v>13</v>
      </c>
      <c r="C33" s="7">
        <v>1910</v>
      </c>
      <c r="D33" s="2" t="s">
        <v>579</v>
      </c>
      <c r="E33" s="582"/>
      <c r="F33" s="580">
        <f>VLOOKUP(C33,'[1]FA Continuity 2012'!$B$10:$M$46,3,$C$16:$C$47)</f>
        <v>0</v>
      </c>
      <c r="G33" s="580">
        <f>VLOOKUP(C33,'[1]FA Continuity 2012'!$B$10:$M$46,4,$C$16:$C$47)</f>
        <v>0</v>
      </c>
      <c r="H33" s="580">
        <f>VLOOKUP(C33,'[1]FA Continuity 2012'!$B$10:$M$46,5,$C$16:$C$47)</f>
        <v>0</v>
      </c>
      <c r="I33" s="31">
        <f t="shared" si="0"/>
        <v>0</v>
      </c>
      <c r="J33" s="4"/>
      <c r="K33" s="580">
        <f>VLOOKUP(C33,'[1]FA Continuity 2012'!$B$10:$M$46,8,$C$16:$C$47)</f>
        <v>0</v>
      </c>
      <c r="L33" s="580">
        <f>VLOOKUP(C33,'[1]FA Continuity 2012'!$B$10:$M$46,9,$C$16:$C$47)</f>
        <v>0</v>
      </c>
      <c r="M33" s="580">
        <f>VLOOKUP(C33,'[1]FA Continuity 2012'!$B$10:$M$46,10,$C$16:$C$47)</f>
        <v>0</v>
      </c>
      <c r="N33" s="31">
        <f t="shared" si="1"/>
        <v>0</v>
      </c>
      <c r="O33" s="28">
        <f t="shared" si="2"/>
        <v>0</v>
      </c>
    </row>
    <row r="34" spans="2:15" x14ac:dyDescent="0.2">
      <c r="B34" s="7">
        <v>8</v>
      </c>
      <c r="C34" s="7">
        <v>1915</v>
      </c>
      <c r="D34" s="2" t="s">
        <v>468</v>
      </c>
      <c r="E34" s="582">
        <f>E32</f>
        <v>0.1</v>
      </c>
      <c r="F34" s="580">
        <f>VLOOKUP(C34,'[1]FA Continuity 2012'!$B$10:$M$46,3,$C$16:$C$47)</f>
        <v>242909.09</v>
      </c>
      <c r="G34" s="580">
        <f>VLOOKUP(C34,'[1]FA Continuity 2012'!$B$10:$M$46,4,$C$16:$C$47)</f>
        <v>2500</v>
      </c>
      <c r="H34" s="580">
        <f>VLOOKUP(C34,'[1]FA Continuity 2012'!$B$10:$M$46,5,$C$16:$C$47)</f>
        <v>0</v>
      </c>
      <c r="I34" s="31">
        <f t="shared" si="0"/>
        <v>245409.09</v>
      </c>
      <c r="J34" s="4"/>
      <c r="K34" s="580">
        <f>VLOOKUP(C34,'[1]FA Continuity 2012'!$B$10:$M$46,8,$C$16:$C$47)</f>
        <v>204574.88</v>
      </c>
      <c r="L34" s="580">
        <f>VLOOKUP(C34,'[1]FA Continuity 2012'!$B$10:$M$46,9,$C$16:$C$47)</f>
        <v>7101.71</v>
      </c>
      <c r="M34" s="580">
        <f>VLOOKUP(C34,'[1]FA Continuity 2012'!$B$10:$M$46,10,$C$16:$C$47)</f>
        <v>0</v>
      </c>
      <c r="N34" s="31">
        <f t="shared" si="1"/>
        <v>211676.59</v>
      </c>
      <c r="O34" s="28">
        <f t="shared" si="2"/>
        <v>33732.5</v>
      </c>
    </row>
    <row r="35" spans="2:15" x14ac:dyDescent="0.2">
      <c r="B35" s="7">
        <v>45</v>
      </c>
      <c r="C35" s="457">
        <v>1920</v>
      </c>
      <c r="D35" s="583" t="s">
        <v>756</v>
      </c>
      <c r="E35" s="582">
        <v>0.2</v>
      </c>
      <c r="F35" s="580">
        <f>VLOOKUP(C35,'[1]FA Continuity 2012'!$B$10:$M$46,3,$C$16:$C$47)</f>
        <v>360968.31</v>
      </c>
      <c r="G35" s="580">
        <f>VLOOKUP(C35,'[1]FA Continuity 2012'!$B$10:$M$46,4,$C$16:$C$47)</f>
        <v>5000</v>
      </c>
      <c r="H35" s="580">
        <f>VLOOKUP(C35,'[1]FA Continuity 2012'!$B$10:$M$46,5,$C$16:$C$47)</f>
        <v>0</v>
      </c>
      <c r="I35" s="31">
        <f t="shared" si="0"/>
        <v>365968.31</v>
      </c>
      <c r="J35" s="4"/>
      <c r="K35" s="580">
        <f>VLOOKUP(C35,'[1]FA Continuity 2012'!$B$10:$M$46,8,$C$16:$C$47)</f>
        <v>347321.51999999996</v>
      </c>
      <c r="L35" s="580">
        <f>VLOOKUP(C35,'[1]FA Continuity 2012'!$B$10:$M$46,9,$C$16:$C$47)</f>
        <v>11688.14</v>
      </c>
      <c r="M35" s="580">
        <f>VLOOKUP(C35,'[1]FA Continuity 2012'!$B$10:$M$46,10,$C$16:$C$47)</f>
        <v>0</v>
      </c>
      <c r="N35" s="31">
        <f t="shared" si="1"/>
        <v>359009.66</v>
      </c>
      <c r="O35" s="28">
        <f t="shared" si="2"/>
        <v>6958.6500000000233</v>
      </c>
    </row>
    <row r="36" spans="2:15" x14ac:dyDescent="0.2">
      <c r="B36" s="7">
        <v>12</v>
      </c>
      <c r="C36" s="7">
        <v>1925</v>
      </c>
      <c r="D36" s="2" t="s">
        <v>563</v>
      </c>
      <c r="E36" s="582">
        <f>E35</f>
        <v>0.2</v>
      </c>
      <c r="F36" s="580">
        <f>VLOOKUP(C36,'[1]FA Continuity 2012'!$B$10:$M$46,3,$C$16:$C$47)</f>
        <v>265645.87</v>
      </c>
      <c r="G36" s="580">
        <f>VLOOKUP(C36,'[1]FA Continuity 2012'!$B$10:$M$46,4,$C$16:$C$47)</f>
        <v>19000</v>
      </c>
      <c r="H36" s="580">
        <f>VLOOKUP(C36,'[1]FA Continuity 2012'!$B$10:$M$46,5,$C$16:$C$47)</f>
        <v>0</v>
      </c>
      <c r="I36" s="31">
        <f t="shared" si="0"/>
        <v>284645.87</v>
      </c>
      <c r="J36" s="4"/>
      <c r="K36" s="580">
        <f>VLOOKUP(C36,'[1]FA Continuity 2012'!$B$10:$M$46,8,$C$16:$C$47)</f>
        <v>202137.38000000003</v>
      </c>
      <c r="L36" s="580">
        <f>VLOOKUP(C36,'[1]FA Continuity 2012'!$B$10:$M$46,9,$C$16:$C$47)</f>
        <v>43489.270000000004</v>
      </c>
      <c r="M36" s="580">
        <f>VLOOKUP(C36,'[1]FA Continuity 2012'!$B$10:$M$46,10,$C$16:$C$47)</f>
        <v>0</v>
      </c>
      <c r="N36" s="31">
        <f t="shared" si="1"/>
        <v>245626.65000000002</v>
      </c>
      <c r="O36" s="28">
        <f t="shared" si="2"/>
        <v>39019.219999999972</v>
      </c>
    </row>
    <row r="37" spans="2:15" x14ac:dyDescent="0.2">
      <c r="B37" s="7">
        <v>10</v>
      </c>
      <c r="C37" s="7">
        <v>1930</v>
      </c>
      <c r="D37" s="2" t="s">
        <v>564</v>
      </c>
      <c r="E37" s="582">
        <f>VLOOKUP(C37,'App.2-B1_Depr Rates'!$C$16:$E$51,3,$C$16:$C$47)</f>
        <v>0.125</v>
      </c>
      <c r="F37" s="580">
        <f>VLOOKUP(C37,'[1]FA Continuity 2012'!$B$10:$M$46,3,$C$16:$C$47)</f>
        <v>1886565.45</v>
      </c>
      <c r="G37" s="580">
        <f>VLOOKUP(C37,'[1]FA Continuity 2012'!$B$10:$M$46,4,$C$16:$C$47)</f>
        <v>89250</v>
      </c>
      <c r="H37" s="580">
        <f>VLOOKUP(C37,'[1]FA Continuity 2012'!$B$10:$M$46,5,$C$16:$C$47)</f>
        <v>0</v>
      </c>
      <c r="I37" s="31">
        <f t="shared" si="0"/>
        <v>1975815.45</v>
      </c>
      <c r="J37" s="4"/>
      <c r="K37" s="580">
        <f>VLOOKUP(C37,'[1]FA Continuity 2012'!$B$10:$M$46,8,$C$16:$C$47)</f>
        <v>1562243.7400000002</v>
      </c>
      <c r="L37" s="580">
        <f>VLOOKUP(C37,'[1]FA Continuity 2012'!$B$10:$M$46,9,$C$16:$C$47)</f>
        <v>88715.34</v>
      </c>
      <c r="M37" s="580">
        <f>VLOOKUP(C37,'[1]FA Continuity 2012'!$B$10:$M$46,10,$C$16:$C$47)</f>
        <v>0</v>
      </c>
      <c r="N37" s="31">
        <f t="shared" si="1"/>
        <v>1650959.0800000003</v>
      </c>
      <c r="O37" s="28">
        <f t="shared" si="2"/>
        <v>324856.36999999965</v>
      </c>
    </row>
    <row r="38" spans="2:15" x14ac:dyDescent="0.2">
      <c r="B38" s="7">
        <v>8</v>
      </c>
      <c r="C38" s="7">
        <v>1935</v>
      </c>
      <c r="D38" s="2" t="s">
        <v>565</v>
      </c>
      <c r="E38" s="582"/>
      <c r="F38" s="580">
        <f>VLOOKUP(C38,'[1]FA Continuity 2012'!$B$10:$M$46,3,$C$16:$C$47)</f>
        <v>0</v>
      </c>
      <c r="G38" s="580">
        <f>VLOOKUP(C38,'[1]FA Continuity 2012'!$B$10:$M$46,4,$C$16:$C$47)</f>
        <v>0</v>
      </c>
      <c r="H38" s="580">
        <f>VLOOKUP(C38,'[1]FA Continuity 2012'!$B$10:$M$46,5,$C$16:$C$47)</f>
        <v>0</v>
      </c>
      <c r="I38" s="31">
        <f t="shared" si="0"/>
        <v>0</v>
      </c>
      <c r="J38" s="4"/>
      <c r="K38" s="580">
        <f>VLOOKUP(C38,'[1]FA Continuity 2012'!$B$10:$M$46,8,$C$16:$C$47)</f>
        <v>0</v>
      </c>
      <c r="L38" s="580">
        <f>VLOOKUP(C38,'[1]FA Continuity 2012'!$B$10:$M$46,9,$C$16:$C$47)</f>
        <v>0</v>
      </c>
      <c r="M38" s="580">
        <f>VLOOKUP(C38,'[1]FA Continuity 2012'!$B$10:$M$46,10,$C$16:$C$47)</f>
        <v>0</v>
      </c>
      <c r="N38" s="31">
        <f t="shared" si="1"/>
        <v>0</v>
      </c>
      <c r="O38" s="28">
        <f t="shared" si="2"/>
        <v>0</v>
      </c>
    </row>
    <row r="39" spans="2:15" x14ac:dyDescent="0.2">
      <c r="B39" s="7">
        <v>8</v>
      </c>
      <c r="C39" s="7">
        <v>1940</v>
      </c>
      <c r="D39" s="2" t="s">
        <v>566</v>
      </c>
      <c r="E39" s="582">
        <f>'App.2-B1_Depr Rates'!E42</f>
        <v>0.1</v>
      </c>
      <c r="F39" s="580">
        <f>VLOOKUP(C39,'[1]FA Continuity 2012'!$B$10:$M$46,3,$C$16:$C$47)</f>
        <v>365316.94000000006</v>
      </c>
      <c r="G39" s="580">
        <f>VLOOKUP(C39,'[1]FA Continuity 2012'!$B$10:$M$46,4,$C$16:$C$47)</f>
        <v>25000</v>
      </c>
      <c r="H39" s="580">
        <f>VLOOKUP(C39,'[1]FA Continuity 2012'!$B$10:$M$46,5,$C$16:$C$47)</f>
        <v>0</v>
      </c>
      <c r="I39" s="31">
        <f t="shared" si="0"/>
        <v>390316.94000000006</v>
      </c>
      <c r="J39" s="4"/>
      <c r="K39" s="580">
        <f>VLOOKUP(C39,'[1]FA Continuity 2012'!$B$10:$M$46,8,$C$16:$C$47)</f>
        <v>306442.86</v>
      </c>
      <c r="L39" s="580">
        <f>VLOOKUP(C39,'[1]FA Continuity 2012'!$B$10:$M$46,9,$C$16:$C$47)</f>
        <v>13909.17</v>
      </c>
      <c r="M39" s="580">
        <f>VLOOKUP(C39,'[1]FA Continuity 2012'!$B$10:$M$46,10,$C$16:$C$47)</f>
        <v>0</v>
      </c>
      <c r="N39" s="31">
        <f t="shared" si="1"/>
        <v>320352.02999999997</v>
      </c>
      <c r="O39" s="28">
        <f t="shared" si="2"/>
        <v>69964.910000000091</v>
      </c>
    </row>
    <row r="40" spans="2:15" x14ac:dyDescent="0.2">
      <c r="B40" s="7">
        <v>8</v>
      </c>
      <c r="C40" s="7">
        <v>1945</v>
      </c>
      <c r="D40" s="2" t="s">
        <v>567</v>
      </c>
      <c r="E40" s="582"/>
      <c r="F40" s="580">
        <f>VLOOKUP(C40,'[1]FA Continuity 2012'!$B$10:$M$46,3,$C$16:$C$47)</f>
        <v>0</v>
      </c>
      <c r="G40" s="580">
        <f>VLOOKUP(C40,'[1]FA Continuity 2012'!$B$10:$M$46,4,$C$16:$C$47)</f>
        <v>0</v>
      </c>
      <c r="H40" s="580">
        <f>VLOOKUP(C40,'[1]FA Continuity 2012'!$B$10:$M$46,5,$C$16:$C$47)</f>
        <v>0</v>
      </c>
      <c r="I40" s="31">
        <f t="shared" si="0"/>
        <v>0</v>
      </c>
      <c r="J40" s="4"/>
      <c r="K40" s="580">
        <f>VLOOKUP(C40,'[1]FA Continuity 2012'!$B$10:$M$46,8,$C$16:$C$47)</f>
        <v>0</v>
      </c>
      <c r="L40" s="580">
        <f>VLOOKUP(C40,'[1]FA Continuity 2012'!$B$10:$M$46,9,$C$16:$C$47)</f>
        <v>0</v>
      </c>
      <c r="M40" s="580">
        <f>VLOOKUP(C40,'[1]FA Continuity 2012'!$B$10:$M$46,10,$C$16:$C$47)</f>
        <v>0</v>
      </c>
      <c r="N40" s="31">
        <f t="shared" si="1"/>
        <v>0</v>
      </c>
      <c r="O40" s="28">
        <f t="shared" si="2"/>
        <v>0</v>
      </c>
    </row>
    <row r="41" spans="2:15" x14ac:dyDescent="0.2">
      <c r="B41" s="7">
        <v>8</v>
      </c>
      <c r="C41" s="7">
        <v>1950</v>
      </c>
      <c r="D41" s="2" t="s">
        <v>473</v>
      </c>
      <c r="E41" s="582"/>
      <c r="F41" s="580">
        <f>VLOOKUP(C41,'[1]FA Continuity 2012'!$B$10:$M$46,3,$C$16:$C$47)</f>
        <v>0</v>
      </c>
      <c r="G41" s="580">
        <f>VLOOKUP(C41,'[1]FA Continuity 2012'!$B$10:$M$46,4,$C$16:$C$47)</f>
        <v>0</v>
      </c>
      <c r="H41" s="580">
        <f>VLOOKUP(C41,'[1]FA Continuity 2012'!$B$10:$M$46,5,$C$16:$C$47)</f>
        <v>0</v>
      </c>
      <c r="I41" s="31">
        <f t="shared" si="0"/>
        <v>0</v>
      </c>
      <c r="J41" s="4"/>
      <c r="K41" s="580">
        <f>VLOOKUP(C41,'[1]FA Continuity 2012'!$B$10:$M$46,8,$C$16:$C$47)</f>
        <v>0</v>
      </c>
      <c r="L41" s="580">
        <f>VLOOKUP(C41,'[1]FA Continuity 2012'!$B$10:$M$46,9,$C$16:$C$47)</f>
        <v>0</v>
      </c>
      <c r="M41" s="580">
        <f>VLOOKUP(C41,'[1]FA Continuity 2012'!$B$10:$M$46,10,$C$16:$C$47)</f>
        <v>0</v>
      </c>
      <c r="N41" s="31">
        <f t="shared" si="1"/>
        <v>0</v>
      </c>
      <c r="O41" s="28">
        <f t="shared" si="2"/>
        <v>0</v>
      </c>
    </row>
    <row r="42" spans="2:15" x14ac:dyDescent="0.2">
      <c r="B42" s="7">
        <v>8</v>
      </c>
      <c r="C42" s="7">
        <v>1955</v>
      </c>
      <c r="D42" s="2" t="s">
        <v>568</v>
      </c>
      <c r="E42" s="582">
        <f>VLOOKUP(C42,'App.2-B1_Depr Rates'!$C$16:$E$51,3,$C$16:$C$47)</f>
        <v>0.1</v>
      </c>
      <c r="F42" s="580">
        <f>'[1]FA Continuity 2012'!$D$38</f>
        <v>35830.6</v>
      </c>
      <c r="G42" s="580">
        <f>VLOOKUP(C42,'[1]FA Continuity 2012'!$B$10:$M$46,4,$C$16:$C$47)</f>
        <v>0</v>
      </c>
      <c r="H42" s="580">
        <f>VLOOKUP(C42,'[1]FA Continuity 2012'!$B$10:$M$46,5,$C$16:$C$47)</f>
        <v>0</v>
      </c>
      <c r="I42" s="31">
        <f t="shared" si="0"/>
        <v>35830.6</v>
      </c>
      <c r="J42" s="4"/>
      <c r="K42" s="580">
        <f>'[1]FA Continuity 2012'!$I$38</f>
        <v>23198.75</v>
      </c>
      <c r="L42" s="580">
        <f>'[1]FA Continuity 2012'!$J$38</f>
        <v>1545.35</v>
      </c>
      <c r="M42" s="580">
        <f>VLOOKUP(C42,'[1]FA Continuity 2012'!$B$10:$M$46,10,$C$16:$C$47)</f>
        <v>0</v>
      </c>
      <c r="N42" s="31">
        <f t="shared" si="1"/>
        <v>24744.1</v>
      </c>
      <c r="O42" s="28">
        <f t="shared" si="2"/>
        <v>11086.5</v>
      </c>
    </row>
    <row r="43" spans="2:15" x14ac:dyDescent="0.2">
      <c r="B43" s="457">
        <v>8</v>
      </c>
      <c r="C43" s="457">
        <v>1960</v>
      </c>
      <c r="D43" s="456" t="s">
        <v>475</v>
      </c>
      <c r="E43" s="582"/>
      <c r="F43" s="580">
        <f>VLOOKUP(C43,'[1]FA Continuity 2012'!$B$10:$M$46,3,$C$16:$C$47)</f>
        <v>0</v>
      </c>
      <c r="G43" s="580">
        <f>VLOOKUP(C43,'[1]FA Continuity 2012'!$B$10:$M$46,4,$C$16:$C$47)</f>
        <v>0</v>
      </c>
      <c r="H43" s="580">
        <f>VLOOKUP(C43,'[1]FA Continuity 2012'!$B$10:$M$46,5,$C$16:$C$47)</f>
        <v>0</v>
      </c>
      <c r="I43" s="31">
        <f t="shared" si="0"/>
        <v>0</v>
      </c>
      <c r="J43" s="4"/>
      <c r="K43" s="580">
        <f>VLOOKUP(C43,'[1]FA Continuity 2012'!$B$10:$M$46,8,$C$16:$C$47)</f>
        <v>0</v>
      </c>
      <c r="L43" s="580">
        <f>VLOOKUP(C43,'[1]FA Continuity 2012'!$B$10:$M$46,9,$C$16:$C$47)</f>
        <v>0</v>
      </c>
      <c r="M43" s="580">
        <f>VLOOKUP(C43,'[1]FA Continuity 2012'!$B$10:$M$46,10,$C$16:$C$47)</f>
        <v>0</v>
      </c>
      <c r="N43" s="31">
        <f t="shared" si="1"/>
        <v>0</v>
      </c>
      <c r="O43" s="28">
        <f t="shared" si="2"/>
        <v>0</v>
      </c>
    </row>
    <row r="44" spans="2:15" x14ac:dyDescent="0.2">
      <c r="B44" s="7">
        <v>47</v>
      </c>
      <c r="C44" s="7">
        <v>1975</v>
      </c>
      <c r="D44" s="2" t="s">
        <v>569</v>
      </c>
      <c r="E44" s="582"/>
      <c r="F44" s="580">
        <f>VLOOKUP(C44,'[1]FA Continuity 2012'!$B$10:$M$46,3,$C$16:$C$47)</f>
        <v>0</v>
      </c>
      <c r="G44" s="580">
        <f>VLOOKUP(C44,'[1]FA Continuity 2012'!$B$10:$M$46,4,$C$16:$C$47)</f>
        <v>0</v>
      </c>
      <c r="H44" s="580">
        <f>VLOOKUP(C44,'[1]FA Continuity 2012'!$B$10:$M$46,5,$C$16:$C$47)</f>
        <v>0</v>
      </c>
      <c r="I44" s="31">
        <f t="shared" si="0"/>
        <v>0</v>
      </c>
      <c r="J44" s="4"/>
      <c r="K44" s="580">
        <f>VLOOKUP(C44,'[1]FA Continuity 2012'!$B$10:$M$46,8,$C$16:$C$47)</f>
        <v>0</v>
      </c>
      <c r="L44" s="580">
        <f>VLOOKUP(C44,'[1]FA Continuity 2012'!$B$10:$M$46,9,$C$16:$C$47)</f>
        <v>0</v>
      </c>
      <c r="M44" s="580">
        <f>VLOOKUP(C44,'[1]FA Continuity 2012'!$B$10:$M$46,10,$C$16:$C$47)</f>
        <v>0</v>
      </c>
      <c r="N44" s="31">
        <f t="shared" si="1"/>
        <v>0</v>
      </c>
      <c r="O44" s="28">
        <f t="shared" si="2"/>
        <v>0</v>
      </c>
    </row>
    <row r="45" spans="2:15" x14ac:dyDescent="0.2">
      <c r="B45" s="7">
        <v>47</v>
      </c>
      <c r="C45" s="7">
        <v>1980</v>
      </c>
      <c r="D45" s="2" t="s">
        <v>570</v>
      </c>
      <c r="E45" s="582"/>
      <c r="F45" s="580">
        <f>VLOOKUP(C45,'[1]FA Continuity 2012'!$B$10:$M$46,3,$C$16:$C$47)</f>
        <v>0</v>
      </c>
      <c r="G45" s="580">
        <f>VLOOKUP(C45,'[1]FA Continuity 2012'!$B$10:$M$46,4,$C$16:$C$47)</f>
        <v>0</v>
      </c>
      <c r="H45" s="580">
        <f>VLOOKUP(C45,'[1]FA Continuity 2012'!$B$10:$M$46,5,$C$16:$C$47)</f>
        <v>0</v>
      </c>
      <c r="I45" s="31">
        <f t="shared" si="0"/>
        <v>0</v>
      </c>
      <c r="J45" s="4"/>
      <c r="K45" s="580">
        <f>VLOOKUP(C45,'[1]FA Continuity 2012'!$B$10:$M$46,8,$C$16:$C$47)</f>
        <v>0</v>
      </c>
      <c r="L45" s="580">
        <f>VLOOKUP(C45,'[1]FA Continuity 2012'!$B$10:$M$46,9,$C$16:$C$47)</f>
        <v>0</v>
      </c>
      <c r="M45" s="580">
        <f>VLOOKUP(C45,'[1]FA Continuity 2012'!$B$10:$M$46,10,$C$16:$C$47)</f>
        <v>0</v>
      </c>
      <c r="N45" s="31">
        <f t="shared" si="1"/>
        <v>0</v>
      </c>
      <c r="O45" s="28">
        <f t="shared" si="2"/>
        <v>0</v>
      </c>
    </row>
    <row r="46" spans="2:15" x14ac:dyDescent="0.2">
      <c r="B46" s="7">
        <v>47</v>
      </c>
      <c r="C46" s="7">
        <v>1985</v>
      </c>
      <c r="D46" s="2" t="s">
        <v>571</v>
      </c>
      <c r="E46" s="582">
        <f>VLOOKUP(C46,'App.2-B1_Depr Rates'!$C$16:$E$51,3,$C$16:$C$47)</f>
        <v>0.1</v>
      </c>
      <c r="F46" s="580">
        <f>VLOOKUP(C46,'[1]FA Continuity 2012'!$B$10:$M$46,3,$C$16:$C$47)</f>
        <v>0</v>
      </c>
      <c r="G46" s="580">
        <f>VLOOKUP(C46,'[1]FA Continuity 2012'!$B$10:$M$46,4,$C$16:$C$47)</f>
        <v>0</v>
      </c>
      <c r="H46" s="580">
        <f>VLOOKUP(C46,'[1]FA Continuity 2012'!$B$10:$M$46,5,$C$16:$C$47)</f>
        <v>0</v>
      </c>
      <c r="I46" s="31">
        <f t="shared" si="0"/>
        <v>0</v>
      </c>
      <c r="J46" s="4"/>
      <c r="K46" s="580">
        <f>VLOOKUP(C46,'[1]FA Continuity 2012'!$B$10:$M$46,8,$C$16:$C$47)</f>
        <v>0</v>
      </c>
      <c r="L46" s="580">
        <f>VLOOKUP(C46,'[1]FA Continuity 2012'!$B$10:$M$46,9,$C$16:$C$47)</f>
        <v>0</v>
      </c>
      <c r="M46" s="580">
        <f>VLOOKUP(C46,'[1]FA Continuity 2012'!$B$10:$M$46,10,$C$16:$C$47)</f>
        <v>0</v>
      </c>
      <c r="N46" s="31">
        <f t="shared" si="1"/>
        <v>0</v>
      </c>
      <c r="O46" s="28">
        <f>I46+N46</f>
        <v>0</v>
      </c>
    </row>
    <row r="47" spans="2:15" x14ac:dyDescent="0.2">
      <c r="B47" s="7">
        <v>47</v>
      </c>
      <c r="C47" s="7">
        <v>1995</v>
      </c>
      <c r="D47" s="2" t="s">
        <v>572</v>
      </c>
      <c r="E47" s="582">
        <f>VLOOKUP(C47,'App.2-B1_Depr Rates'!$C$16:$E$51,3,$C$16:$C$47)</f>
        <v>0.04</v>
      </c>
      <c r="F47" s="580">
        <f>VLOOKUP(C47,'[1]FA Continuity 2012'!$B$10:$M$46,3,$C$16:$C$47)</f>
        <v>-3871421.12</v>
      </c>
      <c r="G47" s="580">
        <f>VLOOKUP(C47,'[1]FA Continuity 2012'!$B$10:$M$46,4,$C$16:$C$47)</f>
        <v>-703250</v>
      </c>
      <c r="H47" s="580">
        <f>VLOOKUP(C47,'[1]FA Continuity 2012'!$B$10:$M$46,5,$C$16:$C$47)</f>
        <v>0</v>
      </c>
      <c r="I47" s="31">
        <f t="shared" si="0"/>
        <v>-4574671.12</v>
      </c>
      <c r="J47" s="4"/>
      <c r="K47" s="580">
        <f>VLOOKUP(C47,'[1]FA Continuity 2012'!$B$10:$M$46,8,$C$16:$C$47)</f>
        <v>-1064209.77</v>
      </c>
      <c r="L47" s="580">
        <f>VLOOKUP(C47,'[1]FA Continuity 2012'!$B$10:$M$46,9,$C$16:$C$47)</f>
        <v>-170474</v>
      </c>
      <c r="M47" s="580">
        <f>VLOOKUP(C47,'[1]FA Continuity 2012'!$B$10:$M$46,10,$C$16:$C$47)</f>
        <v>0</v>
      </c>
      <c r="N47" s="31">
        <f t="shared" si="1"/>
        <v>-1234683.77</v>
      </c>
      <c r="O47" s="28">
        <f t="shared" si="2"/>
        <v>-3339987.35</v>
      </c>
    </row>
    <row r="48" spans="2:15" x14ac:dyDescent="0.2">
      <c r="B48" s="7"/>
      <c r="C48" s="7" t="s">
        <v>636</v>
      </c>
      <c r="D48" s="2"/>
      <c r="E48" s="473"/>
      <c r="F48" s="173"/>
      <c r="G48" s="173"/>
      <c r="H48" s="173"/>
      <c r="I48" s="31">
        <f t="shared" si="0"/>
        <v>0</v>
      </c>
      <c r="K48" s="580"/>
      <c r="L48" s="580"/>
      <c r="M48" s="580"/>
      <c r="N48" s="31">
        <f t="shared" si="1"/>
        <v>0</v>
      </c>
      <c r="O48" s="28">
        <f>I48+N48</f>
        <v>0</v>
      </c>
    </row>
    <row r="49" spans="2:15" x14ac:dyDescent="0.2">
      <c r="B49" s="7"/>
      <c r="C49" s="7"/>
      <c r="D49" s="2"/>
      <c r="E49" s="473"/>
      <c r="F49" s="159"/>
      <c r="G49" s="159"/>
      <c r="H49" s="159"/>
      <c r="I49" s="2"/>
      <c r="K49" s="580"/>
      <c r="L49" s="580"/>
      <c r="M49" s="580"/>
      <c r="N49" s="2"/>
      <c r="O49" s="2"/>
    </row>
    <row r="50" spans="2:15" x14ac:dyDescent="0.2">
      <c r="B50" s="7"/>
      <c r="C50" s="7"/>
      <c r="D50" s="26" t="s">
        <v>573</v>
      </c>
      <c r="E50" s="26"/>
      <c r="F50" s="32">
        <f>SUM(F16:F48)</f>
        <v>24228613.109999999</v>
      </c>
      <c r="G50" s="32">
        <f>SUM(G16:G48)</f>
        <v>746250</v>
      </c>
      <c r="H50" s="32">
        <f>SUM(H16:H48)</f>
        <v>0</v>
      </c>
      <c r="I50" s="32">
        <f>SUM(I16:I48)</f>
        <v>24974863.109999999</v>
      </c>
      <c r="J50" s="33"/>
      <c r="K50" s="34">
        <f>SUM(K16:K48)</f>
        <v>15017436.683666671</v>
      </c>
      <c r="L50" s="34">
        <f>SUM(L16:L48)</f>
        <v>975107.44933333341</v>
      </c>
      <c r="M50" s="34">
        <f>SUM(M16:M48)</f>
        <v>0</v>
      </c>
      <c r="N50" s="34">
        <f>SUM(N16:N48)</f>
        <v>15992544.133000009</v>
      </c>
      <c r="O50" s="34">
        <f>SUM(O16:O48)</f>
        <v>8982318.977</v>
      </c>
    </row>
    <row r="52" spans="2:15" x14ac:dyDescent="0.2">
      <c r="E52" s="3"/>
      <c r="K52" s="5" t="s">
        <v>575</v>
      </c>
      <c r="L52" s="5"/>
    </row>
    <row r="53" spans="2:15" x14ac:dyDescent="0.2">
      <c r="B53" s="7">
        <v>10</v>
      </c>
      <c r="C53" s="7"/>
      <c r="D53" s="2" t="s">
        <v>574</v>
      </c>
      <c r="E53" s="3"/>
      <c r="K53" s="5" t="s">
        <v>574</v>
      </c>
      <c r="L53" s="5"/>
      <c r="M53" s="564"/>
    </row>
    <row r="54" spans="2:15" x14ac:dyDescent="0.2">
      <c r="B54" s="7">
        <v>8</v>
      </c>
      <c r="C54" s="7"/>
      <c r="D54" s="2" t="s">
        <v>565</v>
      </c>
      <c r="K54" s="5" t="s">
        <v>565</v>
      </c>
      <c r="L54" s="5"/>
      <c r="M54" s="565"/>
    </row>
    <row r="55" spans="2:15" x14ac:dyDescent="0.2">
      <c r="K55" s="6" t="s">
        <v>576</v>
      </c>
      <c r="M55" s="29">
        <f>L50-M53-M54</f>
        <v>975107.44933333341</v>
      </c>
    </row>
    <row r="57" spans="2:15" ht="14.25" x14ac:dyDescent="0.2">
      <c r="B57" s="661" t="s">
        <v>176</v>
      </c>
      <c r="C57" s="662"/>
      <c r="D57" s="662"/>
      <c r="E57" s="662"/>
      <c r="F57" s="662"/>
    </row>
    <row r="59" spans="2:15" x14ac:dyDescent="0.2">
      <c r="B59" s="412" t="s">
        <v>639</v>
      </c>
    </row>
    <row r="61" spans="2:15" x14ac:dyDescent="0.2">
      <c r="B61" s="1">
        <v>1</v>
      </c>
      <c r="C61" s="660" t="s">
        <v>138</v>
      </c>
      <c r="D61" s="660"/>
      <c r="E61" s="660"/>
      <c r="F61" s="660"/>
      <c r="G61" s="660"/>
      <c r="H61" s="660"/>
      <c r="I61" s="660"/>
      <c r="J61" s="660"/>
      <c r="K61" s="660"/>
      <c r="L61" s="660"/>
      <c r="M61" s="660"/>
      <c r="N61" s="660"/>
      <c r="O61" s="660"/>
    </row>
    <row r="62" spans="2:15" x14ac:dyDescent="0.2">
      <c r="C62" s="660"/>
      <c r="D62" s="660"/>
      <c r="E62" s="660"/>
      <c r="F62" s="660"/>
      <c r="G62" s="660"/>
      <c r="H62" s="660"/>
      <c r="I62" s="660"/>
      <c r="J62" s="660"/>
      <c r="K62" s="660"/>
      <c r="L62" s="660"/>
      <c r="M62" s="660"/>
      <c r="N62" s="660"/>
      <c r="O62" s="660"/>
    </row>
    <row r="64" spans="2:15" ht="12.75" customHeight="1" x14ac:dyDescent="0.2"/>
    <row r="65" spans="2:15" x14ac:dyDescent="0.2">
      <c r="B65" s="1">
        <v>2</v>
      </c>
      <c r="C65" s="667" t="s">
        <v>139</v>
      </c>
      <c r="D65" s="667"/>
      <c r="E65" s="667"/>
      <c r="F65" s="667"/>
      <c r="G65" s="667"/>
      <c r="H65" s="667"/>
      <c r="I65" s="667"/>
      <c r="J65" s="667"/>
      <c r="K65" s="667"/>
      <c r="L65" s="667"/>
      <c r="M65" s="667"/>
      <c r="N65" s="667"/>
      <c r="O65" s="667"/>
    </row>
    <row r="66" spans="2:15" x14ac:dyDescent="0.2">
      <c r="C66" s="667"/>
      <c r="D66" s="667"/>
      <c r="E66" s="667"/>
      <c r="F66" s="667"/>
      <c r="G66" s="667"/>
      <c r="H66" s="667"/>
      <c r="I66" s="667"/>
      <c r="J66" s="667"/>
      <c r="K66" s="667"/>
      <c r="L66" s="667"/>
      <c r="M66" s="667"/>
      <c r="N66" s="667"/>
      <c r="O66" s="667"/>
    </row>
    <row r="68" spans="2:15" x14ac:dyDescent="0.2">
      <c r="B68" s="1">
        <v>3</v>
      </c>
      <c r="C68" s="657" t="s">
        <v>435</v>
      </c>
      <c r="D68" s="657"/>
      <c r="E68" s="657"/>
      <c r="F68" s="657"/>
      <c r="G68" s="657"/>
      <c r="H68" s="657"/>
      <c r="I68" s="657"/>
      <c r="J68" s="657"/>
      <c r="K68" s="657"/>
      <c r="L68" s="657"/>
      <c r="M68" s="657"/>
      <c r="N68" s="657"/>
      <c r="O68" s="657"/>
    </row>
  </sheetData>
  <mergeCells count="8">
    <mergeCell ref="C61:O62"/>
    <mergeCell ref="C68:O68"/>
    <mergeCell ref="F9:I9"/>
    <mergeCell ref="F10:J10"/>
    <mergeCell ref="B57:F57"/>
    <mergeCell ref="G12:H12"/>
    <mergeCell ref="F14:I14"/>
    <mergeCell ref="C65:O66"/>
  </mergeCells>
  <phoneticPr fontId="3" type="noConversion"/>
  <dataValidations disablePrompts="1" count="1">
    <dataValidation allowBlank="1" showInputMessage="1" showErrorMessage="1" promptTitle="Date Format" prompt="E.g:  &quot;August 1, 2011&quot;" sqref="O7"/>
  </dataValidation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pageSetUpPr fitToPage="1"/>
  </sheetPr>
  <dimension ref="B1:J59"/>
  <sheetViews>
    <sheetView showGridLines="0" topLeftCell="A13" workbookViewId="0">
      <selection activeCell="L25" sqref="L25"/>
    </sheetView>
  </sheetViews>
  <sheetFormatPr defaultRowHeight="12.75" x14ac:dyDescent="0.2"/>
  <cols>
    <col min="1" max="1" width="2.85546875" customWidth="1"/>
    <col min="2" max="2" width="11.28515625" customWidth="1"/>
    <col min="3" max="3" width="37" customWidth="1"/>
    <col min="4" max="10" width="13.7109375" customWidth="1"/>
  </cols>
  <sheetData>
    <row r="1" spans="2:10" x14ac:dyDescent="0.2">
      <c r="I1" s="52" t="s">
        <v>581</v>
      </c>
      <c r="J1" s="151" t="s">
        <v>170</v>
      </c>
    </row>
    <row r="2" spans="2:10" x14ac:dyDescent="0.2">
      <c r="I2" s="52" t="s">
        <v>582</v>
      </c>
      <c r="J2" s="151" t="s">
        <v>587</v>
      </c>
    </row>
    <row r="3" spans="2:10" x14ac:dyDescent="0.2">
      <c r="I3" s="52" t="s">
        <v>583</v>
      </c>
      <c r="J3" s="151" t="s">
        <v>588</v>
      </c>
    </row>
    <row r="4" spans="2:10" x14ac:dyDescent="0.2">
      <c r="I4" s="52" t="s">
        <v>584</v>
      </c>
      <c r="J4" s="151" t="s">
        <v>589</v>
      </c>
    </row>
    <row r="5" spans="2:10" x14ac:dyDescent="0.2">
      <c r="I5" s="52" t="s">
        <v>585</v>
      </c>
      <c r="J5" s="151" t="s">
        <v>590</v>
      </c>
    </row>
    <row r="6" spans="2:10" x14ac:dyDescent="0.2">
      <c r="I6" s="52"/>
    </row>
    <row r="7" spans="2:10" x14ac:dyDescent="0.2">
      <c r="I7" s="52" t="s">
        <v>586</v>
      </c>
      <c r="J7" s="472"/>
    </row>
    <row r="9" spans="2:10" ht="18" x14ac:dyDescent="0.25">
      <c r="B9" s="659" t="s">
        <v>32</v>
      </c>
      <c r="C9" s="659"/>
      <c r="D9" s="659"/>
      <c r="E9" s="659"/>
      <c r="F9" s="659"/>
      <c r="G9" s="659"/>
      <c r="H9" s="659"/>
      <c r="I9" s="659"/>
      <c r="J9" s="659"/>
    </row>
    <row r="10" spans="2:10" ht="18" x14ac:dyDescent="0.25">
      <c r="B10" s="659" t="s">
        <v>33</v>
      </c>
      <c r="C10" s="659"/>
      <c r="D10" s="659"/>
      <c r="E10" s="659"/>
      <c r="F10" s="659"/>
      <c r="G10" s="659"/>
      <c r="H10" s="659"/>
      <c r="I10" s="659"/>
      <c r="J10" s="659"/>
    </row>
    <row r="11" spans="2:10" ht="13.5" thickBot="1" x14ac:dyDescent="0.25"/>
    <row r="12" spans="2:10" ht="25.5" x14ac:dyDescent="0.2">
      <c r="B12" s="155" t="s">
        <v>28</v>
      </c>
      <c r="C12" s="156" t="s">
        <v>174</v>
      </c>
      <c r="D12" s="166">
        <v>2006</v>
      </c>
      <c r="E12" s="166">
        <v>2007</v>
      </c>
      <c r="F12" s="166">
        <v>2008</v>
      </c>
      <c r="G12" s="166">
        <v>2009</v>
      </c>
      <c r="H12" s="166">
        <v>2010</v>
      </c>
      <c r="I12" s="166">
        <v>2011</v>
      </c>
      <c r="J12" s="394" t="s">
        <v>706</v>
      </c>
    </row>
    <row r="13" spans="2:10" x14ac:dyDescent="0.2">
      <c r="B13" s="570">
        <v>4082</v>
      </c>
      <c r="C13" s="571" t="s">
        <v>40</v>
      </c>
      <c r="D13" s="161">
        <f>17808.31+2300+13059</f>
        <v>33167.31</v>
      </c>
      <c r="E13" s="161">
        <f>6342.74+2520+14105</f>
        <v>22967.739999999998</v>
      </c>
      <c r="F13" s="161">
        <v>11745</v>
      </c>
      <c r="G13" s="161">
        <v>22650</v>
      </c>
      <c r="H13" s="161">
        <v>23637</v>
      </c>
      <c r="I13" s="161">
        <v>19799</v>
      </c>
      <c r="J13" s="169">
        <v>21718</v>
      </c>
    </row>
    <row r="14" spans="2:10" x14ac:dyDescent="0.2">
      <c r="B14" s="570">
        <v>4084</v>
      </c>
      <c r="C14" s="571" t="s">
        <v>707</v>
      </c>
      <c r="D14" s="161">
        <v>10832</v>
      </c>
      <c r="E14" s="621">
        <v>0</v>
      </c>
      <c r="F14" s="161">
        <v>18</v>
      </c>
      <c r="G14" s="161">
        <v>543</v>
      </c>
      <c r="H14" s="161">
        <v>708</v>
      </c>
      <c r="I14" s="161">
        <v>467</v>
      </c>
      <c r="J14" s="169">
        <v>587</v>
      </c>
    </row>
    <row r="15" spans="2:10" x14ac:dyDescent="0.2">
      <c r="B15" s="570">
        <v>4210</v>
      </c>
      <c r="C15" s="571" t="s">
        <v>708</v>
      </c>
      <c r="D15" s="161">
        <v>11419</v>
      </c>
      <c r="E15" s="621">
        <f>23880+28666.02+864.96</f>
        <v>53410.98</v>
      </c>
      <c r="F15" s="161">
        <v>46388</v>
      </c>
      <c r="G15" s="161">
        <v>-4448</v>
      </c>
      <c r="H15" s="161">
        <v>54708</v>
      </c>
      <c r="I15" s="161">
        <v>46423</v>
      </c>
      <c r="J15" s="169">
        <v>50000</v>
      </c>
    </row>
    <row r="16" spans="2:10" x14ac:dyDescent="0.2">
      <c r="B16" s="570">
        <v>4215</v>
      </c>
      <c r="C16" s="571" t="s">
        <v>709</v>
      </c>
      <c r="D16" s="161">
        <v>5972</v>
      </c>
      <c r="E16" s="621">
        <v>0</v>
      </c>
      <c r="F16" s="161">
        <v>0</v>
      </c>
      <c r="G16" s="161">
        <v>0</v>
      </c>
      <c r="H16" s="161">
        <v>0</v>
      </c>
      <c r="I16" s="161">
        <v>0</v>
      </c>
      <c r="J16" s="169">
        <v>0</v>
      </c>
    </row>
    <row r="17" spans="2:10" x14ac:dyDescent="0.2">
      <c r="B17" s="570">
        <v>4225</v>
      </c>
      <c r="C17" s="571" t="s">
        <v>39</v>
      </c>
      <c r="D17" s="161">
        <v>63348</v>
      </c>
      <c r="E17" s="621">
        <v>78293</v>
      </c>
      <c r="F17" s="161">
        <v>101445</v>
      </c>
      <c r="G17" s="161">
        <v>146753</v>
      </c>
      <c r="H17" s="161">
        <v>99989</v>
      </c>
      <c r="I17" s="161">
        <v>127882</v>
      </c>
      <c r="J17" s="169">
        <v>130000</v>
      </c>
    </row>
    <row r="18" spans="2:10" x14ac:dyDescent="0.2">
      <c r="B18" s="570">
        <v>4235</v>
      </c>
      <c r="C18" s="571" t="s">
        <v>711</v>
      </c>
      <c r="D18" s="161">
        <v>44778</v>
      </c>
      <c r="E18" s="621">
        <v>64739</v>
      </c>
      <c r="F18" s="161">
        <v>41352</v>
      </c>
      <c r="G18" s="161">
        <v>68261</v>
      </c>
      <c r="H18" s="161">
        <v>52826</v>
      </c>
      <c r="I18" s="161">
        <v>65524</v>
      </c>
      <c r="J18" s="169">
        <v>66000</v>
      </c>
    </row>
    <row r="19" spans="2:10" x14ac:dyDescent="0.2">
      <c r="B19" s="570">
        <v>4324</v>
      </c>
      <c r="C19" s="571" t="s">
        <v>718</v>
      </c>
      <c r="D19" s="161">
        <v>0</v>
      </c>
      <c r="E19" s="621">
        <v>0</v>
      </c>
      <c r="F19" s="161">
        <v>0</v>
      </c>
      <c r="G19" s="161">
        <v>0</v>
      </c>
      <c r="H19" s="161">
        <v>41626</v>
      </c>
      <c r="I19" s="161">
        <v>35213</v>
      </c>
      <c r="J19" s="169">
        <v>0</v>
      </c>
    </row>
    <row r="20" spans="2:10" x14ac:dyDescent="0.2">
      <c r="B20" s="570">
        <v>4325</v>
      </c>
      <c r="C20" s="571" t="s">
        <v>712</v>
      </c>
      <c r="D20" s="161">
        <v>103767</v>
      </c>
      <c r="E20" s="621">
        <v>40430</v>
      </c>
      <c r="F20" s="161">
        <v>101854</v>
      </c>
      <c r="G20" s="161">
        <v>8918</v>
      </c>
      <c r="H20" s="161">
        <v>0</v>
      </c>
      <c r="I20" s="161">
        <v>37</v>
      </c>
      <c r="J20" s="169">
        <v>0</v>
      </c>
    </row>
    <row r="21" spans="2:10" x14ac:dyDescent="0.2">
      <c r="B21" s="570">
        <v>4330</v>
      </c>
      <c r="C21" s="571" t="s">
        <v>713</v>
      </c>
      <c r="D21" s="161">
        <v>-60905</v>
      </c>
      <c r="E21" s="621">
        <v>-38274</v>
      </c>
      <c r="F21" s="161">
        <v>-269</v>
      </c>
      <c r="G21" s="161">
        <v>-11101</v>
      </c>
      <c r="H21" s="161">
        <v>-4935</v>
      </c>
      <c r="I21" s="161">
        <v>-7871</v>
      </c>
      <c r="J21" s="169">
        <v>-6500</v>
      </c>
    </row>
    <row r="22" spans="2:10" x14ac:dyDescent="0.2">
      <c r="B22" s="569">
        <v>4355</v>
      </c>
      <c r="C22" s="399" t="s">
        <v>714</v>
      </c>
      <c r="D22" s="161">
        <v>17820</v>
      </c>
      <c r="E22" s="621">
        <v>21200</v>
      </c>
      <c r="F22" s="161">
        <v>2007</v>
      </c>
      <c r="G22" s="161">
        <v>0</v>
      </c>
      <c r="H22" s="161">
        <v>55946</v>
      </c>
      <c r="I22" s="161">
        <v>0</v>
      </c>
      <c r="J22" s="169">
        <v>21000</v>
      </c>
    </row>
    <row r="23" spans="2:10" x14ac:dyDescent="0.2">
      <c r="B23" s="569">
        <v>4375</v>
      </c>
      <c r="C23" s="399" t="s">
        <v>715</v>
      </c>
      <c r="D23" s="161">
        <v>225656</v>
      </c>
      <c r="E23" s="621">
        <v>282995</v>
      </c>
      <c r="F23" s="161">
        <v>418773</v>
      </c>
      <c r="G23" s="161">
        <v>1045773</v>
      </c>
      <c r="H23" s="161">
        <v>541784</v>
      </c>
      <c r="I23" s="161">
        <f>573181+12872.46</f>
        <v>586053.46</v>
      </c>
      <c r="J23" s="169">
        <v>413000</v>
      </c>
    </row>
    <row r="24" spans="2:10" x14ac:dyDescent="0.2">
      <c r="B24" s="569">
        <v>4380</v>
      </c>
      <c r="C24" s="399" t="s">
        <v>716</v>
      </c>
      <c r="D24" s="161">
        <v>0</v>
      </c>
      <c r="E24" s="621">
        <f>-18537</f>
        <v>-18537</v>
      </c>
      <c r="F24" s="161">
        <f>-209496-40251</f>
        <v>-249747</v>
      </c>
      <c r="G24" s="161">
        <f>-568088+2672+427</f>
        <v>-564989</v>
      </c>
      <c r="H24" s="161">
        <v>-256889</v>
      </c>
      <c r="I24" s="161">
        <v>-166529</v>
      </c>
      <c r="J24" s="169">
        <v>-92750</v>
      </c>
    </row>
    <row r="25" spans="2:10" x14ac:dyDescent="0.2">
      <c r="B25" s="569">
        <v>4390</v>
      </c>
      <c r="C25" s="399" t="s">
        <v>717</v>
      </c>
      <c r="D25" s="161">
        <v>0</v>
      </c>
      <c r="E25" s="621">
        <v>371</v>
      </c>
      <c r="F25" s="161">
        <v>0</v>
      </c>
      <c r="G25" s="161">
        <v>0</v>
      </c>
      <c r="H25" s="161">
        <v>545</v>
      </c>
      <c r="I25" s="161">
        <v>0</v>
      </c>
      <c r="J25" s="169"/>
    </row>
    <row r="26" spans="2:10" x14ac:dyDescent="0.2">
      <c r="B26" s="569">
        <v>6300</v>
      </c>
      <c r="C26" s="399" t="s">
        <v>782</v>
      </c>
      <c r="D26" s="161"/>
      <c r="E26" s="621">
        <v>11845</v>
      </c>
      <c r="F26" s="161"/>
      <c r="G26" s="161"/>
      <c r="H26" s="161"/>
      <c r="I26" s="161">
        <v>-10914.16</v>
      </c>
      <c r="J26" s="169"/>
    </row>
    <row r="27" spans="2:10" x14ac:dyDescent="0.2">
      <c r="B27" s="569">
        <v>4405</v>
      </c>
      <c r="C27" s="399" t="s">
        <v>710</v>
      </c>
      <c r="D27" s="161">
        <f>-'[1]Trial Balance'!$D$262</f>
        <v>363445.22</v>
      </c>
      <c r="E27" s="621">
        <v>339612</v>
      </c>
      <c r="F27" s="161">
        <f>-'[1]Trial Balance'!$H$262</f>
        <v>222433.78</v>
      </c>
      <c r="G27" s="161">
        <f>-'[1]Trial Balance'!$J$262</f>
        <v>47399.839999999997</v>
      </c>
      <c r="H27" s="161">
        <f>-'[1]Trial Balance'!$L$262</f>
        <v>55154.1</v>
      </c>
      <c r="I27" s="161">
        <f>-'[1]Trial Balance'!$N$262</f>
        <v>77844.240000000005</v>
      </c>
      <c r="J27" s="169">
        <f>-'[1]Trial Balance'!$P$262</f>
        <v>77000</v>
      </c>
    </row>
    <row r="28" spans="2:10" ht="7.5" customHeight="1" x14ac:dyDescent="0.2">
      <c r="B28" s="686"/>
      <c r="C28" s="687"/>
      <c r="D28" s="687"/>
      <c r="E28" s="687"/>
      <c r="F28" s="687"/>
      <c r="G28" s="687"/>
      <c r="H28" s="687"/>
      <c r="I28" s="687"/>
      <c r="J28" s="688"/>
    </row>
    <row r="29" spans="2:10" x14ac:dyDescent="0.2">
      <c r="B29" s="689" t="s">
        <v>38</v>
      </c>
      <c r="C29" s="690"/>
      <c r="D29" s="605">
        <f>D18</f>
        <v>44778</v>
      </c>
      <c r="E29" s="605">
        <f t="shared" ref="E29:J29" si="0">E18</f>
        <v>64739</v>
      </c>
      <c r="F29" s="605">
        <f t="shared" si="0"/>
        <v>41352</v>
      </c>
      <c r="G29" s="605">
        <f t="shared" si="0"/>
        <v>68261</v>
      </c>
      <c r="H29" s="605">
        <f t="shared" si="0"/>
        <v>52826</v>
      </c>
      <c r="I29" s="605">
        <f t="shared" si="0"/>
        <v>65524</v>
      </c>
      <c r="J29" s="605">
        <f t="shared" si="0"/>
        <v>66000</v>
      </c>
    </row>
    <row r="30" spans="2:10" x14ac:dyDescent="0.2">
      <c r="B30" s="689" t="s">
        <v>39</v>
      </c>
      <c r="C30" s="690"/>
      <c r="D30" s="28">
        <f>D17</f>
        <v>63348</v>
      </c>
      <c r="E30" s="28">
        <f t="shared" ref="E30:J30" si="1">E17</f>
        <v>78293</v>
      </c>
      <c r="F30" s="28">
        <f t="shared" si="1"/>
        <v>101445</v>
      </c>
      <c r="G30" s="28">
        <f t="shared" si="1"/>
        <v>146753</v>
      </c>
      <c r="H30" s="28">
        <f t="shared" si="1"/>
        <v>99989</v>
      </c>
      <c r="I30" s="28">
        <f t="shared" si="1"/>
        <v>127882</v>
      </c>
      <c r="J30" s="28">
        <f t="shared" si="1"/>
        <v>130000</v>
      </c>
    </row>
    <row r="31" spans="2:10" x14ac:dyDescent="0.2">
      <c r="B31" s="689" t="s">
        <v>476</v>
      </c>
      <c r="C31" s="690"/>
      <c r="D31" s="605">
        <f t="shared" ref="D31:J31" si="2">D13+D14+D15+D16</f>
        <v>61390.31</v>
      </c>
      <c r="E31" s="605">
        <f t="shared" si="2"/>
        <v>76378.720000000001</v>
      </c>
      <c r="F31" s="605">
        <f t="shared" si="2"/>
        <v>58151</v>
      </c>
      <c r="G31" s="605">
        <f t="shared" si="2"/>
        <v>18745</v>
      </c>
      <c r="H31" s="605">
        <f t="shared" si="2"/>
        <v>79053</v>
      </c>
      <c r="I31" s="605">
        <f t="shared" si="2"/>
        <v>66689</v>
      </c>
      <c r="J31" s="605">
        <f t="shared" si="2"/>
        <v>72305</v>
      </c>
    </row>
    <row r="32" spans="2:10" ht="13.5" thickBot="1" x14ac:dyDescent="0.25">
      <c r="B32" s="682" t="s">
        <v>477</v>
      </c>
      <c r="C32" s="683"/>
      <c r="D32" s="606">
        <f t="shared" ref="D32:I32" si="3">D19+D20+D21+D22+D23+D24+D25++D26+D27</f>
        <v>649783.22</v>
      </c>
      <c r="E32" s="606">
        <f t="shared" si="3"/>
        <v>639642</v>
      </c>
      <c r="F32" s="606">
        <f t="shared" si="3"/>
        <v>495051.78</v>
      </c>
      <c r="G32" s="606">
        <f t="shared" si="3"/>
        <v>526000.84</v>
      </c>
      <c r="H32" s="606">
        <f t="shared" si="3"/>
        <v>433231.1</v>
      </c>
      <c r="I32" s="606">
        <f t="shared" si="3"/>
        <v>513833.54</v>
      </c>
      <c r="J32" s="606">
        <f>J19+J20+J21+J22+J23+J24+J25+J27</f>
        <v>411750</v>
      </c>
    </row>
    <row r="33" spans="2:10" ht="14.25" thickTop="1" thickBot="1" x14ac:dyDescent="0.25">
      <c r="B33" s="684" t="s">
        <v>573</v>
      </c>
      <c r="C33" s="685"/>
      <c r="D33" s="167">
        <f t="shared" ref="D33:J33" si="4">SUM(D29:D32)</f>
        <v>819299.53</v>
      </c>
      <c r="E33" s="167">
        <f t="shared" si="4"/>
        <v>859052.72</v>
      </c>
      <c r="F33" s="167">
        <f t="shared" si="4"/>
        <v>695999.78</v>
      </c>
      <c r="G33" s="167">
        <f t="shared" si="4"/>
        <v>759759.84</v>
      </c>
      <c r="H33" s="167">
        <f t="shared" si="4"/>
        <v>665099.1</v>
      </c>
      <c r="I33" s="167">
        <f t="shared" si="4"/>
        <v>773928.54</v>
      </c>
      <c r="J33" s="167">
        <f t="shared" si="4"/>
        <v>680055</v>
      </c>
    </row>
    <row r="36" spans="2:10" x14ac:dyDescent="0.2">
      <c r="B36" s="162" t="s">
        <v>528</v>
      </c>
      <c r="C36" s="52"/>
      <c r="D36" s="162" t="s">
        <v>231</v>
      </c>
    </row>
    <row r="37" spans="2:10" x14ac:dyDescent="0.2">
      <c r="B37" s="658" t="s">
        <v>230</v>
      </c>
      <c r="C37" s="658"/>
      <c r="D37" s="285">
        <v>4235</v>
      </c>
    </row>
    <row r="38" spans="2:10" x14ac:dyDescent="0.2">
      <c r="B38" s="658" t="s">
        <v>232</v>
      </c>
      <c r="C38" s="658"/>
      <c r="D38" s="285">
        <v>4225</v>
      </c>
    </row>
    <row r="39" spans="2:10" x14ac:dyDescent="0.2">
      <c r="B39" s="658" t="s">
        <v>233</v>
      </c>
      <c r="C39" s="658"/>
      <c r="D39" s="658" t="s">
        <v>408</v>
      </c>
      <c r="E39" s="658"/>
      <c r="F39" s="658"/>
      <c r="G39" s="658"/>
      <c r="H39" s="658"/>
      <c r="I39" s="658"/>
      <c r="J39" s="658"/>
    </row>
    <row r="40" spans="2:10" ht="12.75" customHeight="1" x14ac:dyDescent="0.2">
      <c r="B40" s="658" t="s">
        <v>234</v>
      </c>
      <c r="C40" s="658"/>
      <c r="D40" s="669" t="s">
        <v>136</v>
      </c>
      <c r="E40" s="669"/>
      <c r="F40" s="669"/>
      <c r="G40" s="669"/>
      <c r="H40" s="669"/>
      <c r="I40" s="669"/>
      <c r="J40" s="669"/>
    </row>
    <row r="41" spans="2:10" x14ac:dyDescent="0.2">
      <c r="D41" s="669"/>
      <c r="E41" s="669"/>
      <c r="F41" s="669"/>
      <c r="G41" s="669"/>
      <c r="H41" s="669"/>
      <c r="I41" s="669"/>
      <c r="J41" s="669"/>
    </row>
    <row r="43" spans="2:10" x14ac:dyDescent="0.2">
      <c r="B43" s="52" t="s">
        <v>478</v>
      </c>
      <c r="C43" s="460"/>
      <c r="D43" s="461"/>
      <c r="E43" s="461"/>
      <c r="F43" s="461"/>
      <c r="G43" s="461"/>
      <c r="H43" s="461"/>
      <c r="I43" s="461"/>
      <c r="J43" s="461"/>
    </row>
    <row r="44" spans="2:10" x14ac:dyDescent="0.2">
      <c r="B44" s="460"/>
      <c r="C44" s="460"/>
      <c r="D44" s="460"/>
      <c r="E44" s="460"/>
      <c r="F44" s="460"/>
      <c r="G44" s="460"/>
      <c r="H44" s="460"/>
      <c r="I44" s="460"/>
      <c r="J44" s="460"/>
    </row>
    <row r="45" spans="2:10" ht="12.75" customHeight="1" x14ac:dyDescent="0.2">
      <c r="B45" s="462" t="s">
        <v>479</v>
      </c>
      <c r="C45" s="463"/>
      <c r="D45" s="463"/>
      <c r="E45" s="463"/>
      <c r="F45" s="463"/>
      <c r="G45" s="463"/>
      <c r="H45" s="463"/>
      <c r="I45" s="463"/>
      <c r="J45" s="463"/>
    </row>
    <row r="46" spans="2:10" x14ac:dyDescent="0.2">
      <c r="B46" s="463"/>
      <c r="C46" s="463"/>
      <c r="D46" s="463"/>
      <c r="E46" s="463"/>
      <c r="F46" s="463"/>
      <c r="G46" s="463"/>
      <c r="H46" s="463"/>
      <c r="I46" s="463"/>
      <c r="J46" s="463"/>
    </row>
    <row r="47" spans="2:10" ht="12.75" customHeight="1" x14ac:dyDescent="0.2">
      <c r="B47" s="668" t="s">
        <v>480</v>
      </c>
      <c r="C47" s="668"/>
      <c r="D47" s="668"/>
      <c r="E47" s="668"/>
      <c r="F47" s="668"/>
      <c r="G47" s="668"/>
      <c r="H47" s="668"/>
      <c r="I47" s="668"/>
      <c r="J47" s="668"/>
    </row>
    <row r="48" spans="2:10" x14ac:dyDescent="0.2">
      <c r="B48" s="668"/>
      <c r="C48" s="668"/>
      <c r="D48" s="668"/>
      <c r="E48" s="668"/>
      <c r="F48" s="668"/>
      <c r="G48" s="668"/>
      <c r="H48" s="668"/>
      <c r="I48" s="668"/>
      <c r="J48" s="668"/>
    </row>
    <row r="50" spans="2:10" ht="13.5" thickBot="1" x14ac:dyDescent="0.25">
      <c r="B50" s="52" t="s">
        <v>235</v>
      </c>
    </row>
    <row r="51" spans="2:10" ht="25.5" x14ac:dyDescent="0.2">
      <c r="B51" s="288"/>
      <c r="C51" s="289"/>
      <c r="D51" s="166">
        <v>2006</v>
      </c>
      <c r="E51" s="166">
        <v>2007</v>
      </c>
      <c r="F51" s="166">
        <v>2008</v>
      </c>
      <c r="G51" s="166">
        <v>2009</v>
      </c>
      <c r="H51" s="166">
        <v>2010</v>
      </c>
      <c r="I51" s="166">
        <v>2011</v>
      </c>
      <c r="J51" s="394" t="s">
        <v>706</v>
      </c>
    </row>
    <row r="52" spans="2:10" x14ac:dyDescent="0.2">
      <c r="B52" s="680" t="s">
        <v>710</v>
      </c>
      <c r="C52" s="681"/>
      <c r="D52" s="290">
        <v>363445</v>
      </c>
      <c r="E52" s="290">
        <v>399613</v>
      </c>
      <c r="F52" s="290">
        <v>222434</v>
      </c>
      <c r="G52" s="290">
        <v>47400</v>
      </c>
      <c r="H52" s="290">
        <v>55154</v>
      </c>
      <c r="I52" s="290">
        <v>77844</v>
      </c>
      <c r="J52" s="291">
        <v>77000</v>
      </c>
    </row>
    <row r="53" spans="2:10" x14ac:dyDescent="0.2">
      <c r="B53" s="672"/>
      <c r="C53" s="673"/>
      <c r="D53" s="161"/>
      <c r="E53" s="161"/>
      <c r="F53" s="161"/>
      <c r="G53" s="161"/>
      <c r="H53" s="161"/>
      <c r="I53" s="161"/>
      <c r="J53" s="292"/>
    </row>
    <row r="54" spans="2:10" x14ac:dyDescent="0.2">
      <c r="B54" s="674"/>
      <c r="C54" s="675"/>
      <c r="D54" s="290"/>
      <c r="E54" s="290"/>
      <c r="F54" s="290"/>
      <c r="G54" s="290"/>
      <c r="H54" s="290"/>
      <c r="I54" s="290"/>
      <c r="J54" s="291"/>
    </row>
    <row r="55" spans="2:10" x14ac:dyDescent="0.2">
      <c r="B55" s="676"/>
      <c r="C55" s="677"/>
      <c r="D55" s="161"/>
      <c r="E55" s="161"/>
      <c r="F55" s="161"/>
      <c r="G55" s="161"/>
      <c r="H55" s="161"/>
      <c r="I55" s="161"/>
      <c r="J55" s="292"/>
    </row>
    <row r="56" spans="2:10" ht="13.5" thickBot="1" x14ac:dyDescent="0.25">
      <c r="B56" s="678"/>
      <c r="C56" s="679"/>
      <c r="D56" s="293"/>
      <c r="E56" s="293"/>
      <c r="F56" s="293"/>
      <c r="G56" s="293"/>
      <c r="H56" s="293"/>
      <c r="I56" s="293"/>
      <c r="J56" s="294"/>
    </row>
    <row r="57" spans="2:10" ht="14.25" thickTop="1" thickBot="1" x14ac:dyDescent="0.25">
      <c r="B57" s="670" t="s">
        <v>573</v>
      </c>
      <c r="C57" s="671"/>
      <c r="D57" s="167">
        <f>SUM(D52:D56)</f>
        <v>363445</v>
      </c>
      <c r="E57" s="167">
        <f t="shared" ref="E57:J57" si="5">SUM(E52:E56)</f>
        <v>399613</v>
      </c>
      <c r="F57" s="167">
        <f t="shared" si="5"/>
        <v>222434</v>
      </c>
      <c r="G57" s="167">
        <f t="shared" si="5"/>
        <v>47400</v>
      </c>
      <c r="H57" s="167">
        <f t="shared" si="5"/>
        <v>55154</v>
      </c>
      <c r="I57" s="167">
        <f t="shared" si="5"/>
        <v>77844</v>
      </c>
      <c r="J57" s="167">
        <f t="shared" si="5"/>
        <v>77000</v>
      </c>
    </row>
    <row r="59" spans="2:10" ht="14.25" x14ac:dyDescent="0.2">
      <c r="B59" s="503">
        <v>1</v>
      </c>
      <c r="C59" t="s">
        <v>236</v>
      </c>
    </row>
  </sheetData>
  <mergeCells count="21">
    <mergeCell ref="B31:C31"/>
    <mergeCell ref="B9:J9"/>
    <mergeCell ref="B10:J10"/>
    <mergeCell ref="B28:J28"/>
    <mergeCell ref="B29:C29"/>
    <mergeCell ref="B30:C30"/>
    <mergeCell ref="B37:C37"/>
    <mergeCell ref="B38:C38"/>
    <mergeCell ref="B39:C39"/>
    <mergeCell ref="B40:C40"/>
    <mergeCell ref="B32:C32"/>
    <mergeCell ref="B33:C33"/>
    <mergeCell ref="B47:J48"/>
    <mergeCell ref="D40:J41"/>
    <mergeCell ref="D39:J39"/>
    <mergeCell ref="B57:C57"/>
    <mergeCell ref="B53:C53"/>
    <mergeCell ref="B54:C54"/>
    <mergeCell ref="B55:C55"/>
    <mergeCell ref="B56:C56"/>
    <mergeCell ref="B52:C52"/>
  </mergeCells>
  <phoneticPr fontId="3" type="noConversion"/>
  <dataValidations count="1">
    <dataValidation allowBlank="1" showInputMessage="1" showErrorMessage="1" promptTitle="Date Format" prompt="E.g:  &quot;August 1, 2011&quot;" sqref="J7"/>
  </dataValidations>
  <pageMargins left="0.75" right="0.75" top="1" bottom="1" header="0.5" footer="0.5"/>
  <pageSetup scale="6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113"/>
  <sheetViews>
    <sheetView showGridLines="0" zoomScaleNormal="100" workbookViewId="0">
      <selection activeCell="A10" sqref="A10:I10"/>
    </sheetView>
  </sheetViews>
  <sheetFormatPr defaultRowHeight="12.75" x14ac:dyDescent="0.2"/>
  <cols>
    <col min="1" max="1" width="5.7109375" customWidth="1"/>
    <col min="8" max="8" width="12.7109375" bestFit="1" customWidth="1"/>
    <col min="9" max="9" width="13.7109375" customWidth="1"/>
  </cols>
  <sheetData>
    <row r="1" spans="1:9" x14ac:dyDescent="0.2">
      <c r="H1" s="52" t="s">
        <v>581</v>
      </c>
      <c r="I1" s="151" t="s">
        <v>170</v>
      </c>
    </row>
    <row r="2" spans="1:9" x14ac:dyDescent="0.2">
      <c r="H2" s="52" t="s">
        <v>582</v>
      </c>
      <c r="I2" s="151" t="s">
        <v>587</v>
      </c>
    </row>
    <row r="3" spans="1:9" x14ac:dyDescent="0.2">
      <c r="H3" s="52" t="s">
        <v>583</v>
      </c>
      <c r="I3" s="151" t="s">
        <v>588</v>
      </c>
    </row>
    <row r="4" spans="1:9" x14ac:dyDescent="0.2">
      <c r="H4" s="52" t="s">
        <v>584</v>
      </c>
      <c r="I4" s="151" t="s">
        <v>589</v>
      </c>
    </row>
    <row r="5" spans="1:9" x14ac:dyDescent="0.2">
      <c r="H5" s="52" t="s">
        <v>585</v>
      </c>
      <c r="I5" s="151" t="s">
        <v>590</v>
      </c>
    </row>
    <row r="6" spans="1:9" x14ac:dyDescent="0.2">
      <c r="H6" s="52"/>
    </row>
    <row r="7" spans="1:9" x14ac:dyDescent="0.2">
      <c r="H7" s="52" t="s">
        <v>586</v>
      </c>
      <c r="I7" s="472"/>
    </row>
    <row r="9" spans="1:9" ht="18" x14ac:dyDescent="0.25">
      <c r="A9" s="659" t="s">
        <v>125</v>
      </c>
      <c r="B9" s="659"/>
      <c r="C9" s="659"/>
      <c r="D9" s="659"/>
      <c r="E9" s="659"/>
      <c r="F9" s="659"/>
      <c r="G9" s="659"/>
      <c r="H9" s="659"/>
      <c r="I9" s="659"/>
    </row>
    <row r="10" spans="1:9" ht="18" x14ac:dyDescent="0.25">
      <c r="A10" s="659" t="s">
        <v>47</v>
      </c>
      <c r="B10" s="659"/>
      <c r="C10" s="659"/>
      <c r="D10" s="659"/>
      <c r="E10" s="659"/>
      <c r="F10" s="659"/>
      <c r="G10" s="659"/>
      <c r="H10" s="659"/>
      <c r="I10" s="659"/>
    </row>
    <row r="11" spans="1:9" ht="13.5" customHeight="1" x14ac:dyDescent="0.25">
      <c r="B11" s="284"/>
      <c r="C11" s="284"/>
      <c r="D11" s="284"/>
      <c r="E11" s="284"/>
      <c r="F11" s="284"/>
      <c r="G11" s="284"/>
      <c r="H11" s="284"/>
      <c r="I11" s="284"/>
    </row>
    <row r="13" spans="1:9" x14ac:dyDescent="0.2">
      <c r="B13" s="52" t="s">
        <v>126</v>
      </c>
    </row>
    <row r="15" spans="1:9" x14ac:dyDescent="0.2">
      <c r="B15" s="283" t="s">
        <v>625</v>
      </c>
      <c r="C15" s="283" t="s">
        <v>528</v>
      </c>
    </row>
    <row r="17" spans="2:9" x14ac:dyDescent="0.2">
      <c r="B17">
        <v>5005</v>
      </c>
      <c r="C17" s="658" t="s">
        <v>127</v>
      </c>
      <c r="D17" s="658"/>
      <c r="E17" s="658"/>
      <c r="F17" s="658"/>
      <c r="G17" s="658"/>
      <c r="H17" s="658"/>
      <c r="I17" s="658"/>
    </row>
    <row r="18" spans="2:9" x14ac:dyDescent="0.2">
      <c r="B18">
        <v>5010</v>
      </c>
      <c r="C18" s="658" t="s">
        <v>128</v>
      </c>
      <c r="D18" s="658"/>
      <c r="E18" s="658"/>
      <c r="F18" s="658"/>
      <c r="G18" s="658"/>
      <c r="H18" s="658"/>
      <c r="I18" s="658"/>
    </row>
    <row r="19" spans="2:9" x14ac:dyDescent="0.2">
      <c r="B19">
        <v>5012</v>
      </c>
      <c r="C19" s="658" t="s">
        <v>129</v>
      </c>
      <c r="D19" s="658"/>
      <c r="E19" s="658"/>
      <c r="F19" s="658"/>
      <c r="G19" s="658"/>
      <c r="H19" s="658"/>
      <c r="I19" s="658"/>
    </row>
    <row r="20" spans="2:9" x14ac:dyDescent="0.2">
      <c r="B20">
        <v>5014</v>
      </c>
      <c r="C20" s="658" t="s">
        <v>130</v>
      </c>
      <c r="D20" s="658"/>
      <c r="E20" s="658"/>
      <c r="F20" s="658"/>
      <c r="G20" s="658"/>
      <c r="H20" s="658"/>
      <c r="I20" s="658"/>
    </row>
    <row r="21" spans="2:9" x14ac:dyDescent="0.2">
      <c r="B21">
        <v>5015</v>
      </c>
      <c r="C21" s="658" t="s">
        <v>131</v>
      </c>
      <c r="D21" s="658"/>
      <c r="E21" s="658"/>
      <c r="F21" s="658"/>
      <c r="G21" s="658"/>
      <c r="H21" s="658"/>
      <c r="I21" s="658"/>
    </row>
    <row r="22" spans="2:9" x14ac:dyDescent="0.2">
      <c r="B22">
        <v>5016</v>
      </c>
      <c r="C22" s="658" t="s">
        <v>132</v>
      </c>
      <c r="D22" s="658"/>
      <c r="E22" s="658"/>
      <c r="F22" s="658"/>
      <c r="G22" s="658"/>
      <c r="H22" s="658"/>
      <c r="I22" s="658"/>
    </row>
    <row r="23" spans="2:9" x14ac:dyDescent="0.2">
      <c r="B23">
        <v>5017</v>
      </c>
      <c r="C23" s="658" t="s">
        <v>133</v>
      </c>
      <c r="D23" s="658"/>
      <c r="E23" s="658"/>
      <c r="F23" s="658"/>
      <c r="G23" s="658"/>
      <c r="H23" s="658"/>
      <c r="I23" s="658"/>
    </row>
    <row r="24" spans="2:9" x14ac:dyDescent="0.2">
      <c r="B24">
        <v>5020</v>
      </c>
      <c r="C24" s="658" t="s">
        <v>134</v>
      </c>
      <c r="D24" s="658"/>
      <c r="E24" s="658"/>
      <c r="F24" s="658"/>
      <c r="G24" s="658"/>
      <c r="H24" s="658"/>
      <c r="I24" s="658"/>
    </row>
    <row r="25" spans="2:9" x14ac:dyDescent="0.2">
      <c r="B25">
        <v>5025</v>
      </c>
      <c r="C25" s="658" t="s">
        <v>135</v>
      </c>
      <c r="D25" s="658"/>
      <c r="E25" s="658"/>
      <c r="F25" s="658"/>
      <c r="G25" s="658"/>
      <c r="H25" s="658"/>
      <c r="I25" s="658"/>
    </row>
    <row r="26" spans="2:9" x14ac:dyDescent="0.2">
      <c r="B26">
        <v>5030</v>
      </c>
      <c r="C26" s="658" t="s">
        <v>154</v>
      </c>
      <c r="D26" s="658"/>
      <c r="E26" s="658"/>
      <c r="F26" s="658"/>
      <c r="G26" s="658"/>
      <c r="H26" s="658"/>
      <c r="I26" s="658"/>
    </row>
    <row r="27" spans="2:9" x14ac:dyDescent="0.2">
      <c r="B27">
        <v>5035</v>
      </c>
      <c r="C27" s="658" t="s">
        <v>155</v>
      </c>
      <c r="D27" s="658"/>
      <c r="E27" s="658"/>
      <c r="F27" s="658"/>
      <c r="G27" s="658"/>
      <c r="H27" s="658"/>
      <c r="I27" s="658"/>
    </row>
    <row r="28" spans="2:9" x14ac:dyDescent="0.2">
      <c r="B28">
        <v>5040</v>
      </c>
      <c r="C28" s="658" t="s">
        <v>156</v>
      </c>
      <c r="D28" s="658"/>
      <c r="E28" s="658"/>
      <c r="F28" s="658"/>
      <c r="G28" s="658"/>
      <c r="H28" s="658"/>
      <c r="I28" s="658"/>
    </row>
    <row r="29" spans="2:9" x14ac:dyDescent="0.2">
      <c r="B29">
        <v>5045</v>
      </c>
      <c r="C29" s="658" t="s">
        <v>157</v>
      </c>
      <c r="D29" s="658"/>
      <c r="E29" s="658"/>
      <c r="F29" s="658"/>
      <c r="G29" s="658"/>
      <c r="H29" s="658"/>
      <c r="I29" s="658"/>
    </row>
    <row r="30" spans="2:9" x14ac:dyDescent="0.2">
      <c r="B30">
        <v>5050</v>
      </c>
      <c r="C30" s="658" t="s">
        <v>158</v>
      </c>
      <c r="D30" s="658"/>
      <c r="E30" s="658"/>
      <c r="F30" s="658"/>
      <c r="G30" s="658"/>
      <c r="H30" s="658"/>
      <c r="I30" s="658"/>
    </row>
    <row r="31" spans="2:9" x14ac:dyDescent="0.2">
      <c r="B31">
        <v>5055</v>
      </c>
      <c r="C31" s="658" t="s">
        <v>159</v>
      </c>
      <c r="D31" s="658"/>
      <c r="E31" s="658"/>
      <c r="F31" s="658"/>
      <c r="G31" s="658"/>
      <c r="H31" s="658"/>
      <c r="I31" s="658"/>
    </row>
    <row r="32" spans="2:9" x14ac:dyDescent="0.2">
      <c r="B32">
        <v>5060</v>
      </c>
      <c r="C32" s="658" t="s">
        <v>160</v>
      </c>
      <c r="D32" s="658"/>
      <c r="E32" s="658"/>
      <c r="F32" s="658"/>
      <c r="G32" s="658"/>
      <c r="H32" s="658"/>
      <c r="I32" s="658"/>
    </row>
    <row r="33" spans="2:9" x14ac:dyDescent="0.2">
      <c r="B33">
        <v>5065</v>
      </c>
      <c r="C33" s="658" t="s">
        <v>161</v>
      </c>
      <c r="D33" s="658"/>
      <c r="E33" s="658"/>
      <c r="F33" s="658"/>
      <c r="G33" s="658"/>
      <c r="H33" s="658"/>
      <c r="I33" s="658"/>
    </row>
    <row r="34" spans="2:9" x14ac:dyDescent="0.2">
      <c r="B34">
        <v>5070</v>
      </c>
      <c r="C34" s="658" t="s">
        <v>162</v>
      </c>
      <c r="D34" s="658"/>
      <c r="E34" s="658"/>
      <c r="F34" s="658"/>
      <c r="G34" s="658"/>
      <c r="H34" s="658"/>
      <c r="I34" s="658"/>
    </row>
    <row r="35" spans="2:9" x14ac:dyDescent="0.2">
      <c r="B35">
        <v>5075</v>
      </c>
      <c r="C35" s="658" t="s">
        <v>163</v>
      </c>
      <c r="D35" s="658"/>
      <c r="E35" s="658"/>
      <c r="F35" s="658"/>
      <c r="G35" s="658"/>
      <c r="H35" s="658"/>
      <c r="I35" s="658"/>
    </row>
    <row r="36" spans="2:9" x14ac:dyDescent="0.2">
      <c r="B36">
        <v>5085</v>
      </c>
      <c r="C36" s="658" t="s">
        <v>164</v>
      </c>
      <c r="D36" s="658"/>
      <c r="E36" s="658"/>
      <c r="F36" s="658"/>
      <c r="G36" s="658"/>
      <c r="H36" s="658"/>
      <c r="I36" s="658"/>
    </row>
    <row r="37" spans="2:9" x14ac:dyDescent="0.2">
      <c r="B37">
        <v>5090</v>
      </c>
      <c r="C37" s="658" t="s">
        <v>165</v>
      </c>
      <c r="D37" s="658"/>
      <c r="E37" s="658"/>
      <c r="F37" s="658"/>
      <c r="G37" s="658"/>
      <c r="H37" s="658"/>
      <c r="I37" s="658"/>
    </row>
    <row r="38" spans="2:9" x14ac:dyDescent="0.2">
      <c r="B38">
        <v>5095</v>
      </c>
      <c r="C38" s="658" t="s">
        <v>166</v>
      </c>
      <c r="D38" s="658"/>
      <c r="E38" s="658"/>
      <c r="F38" s="658"/>
      <c r="G38" s="658"/>
      <c r="H38" s="658"/>
      <c r="I38" s="658"/>
    </row>
    <row r="39" spans="2:9" x14ac:dyDescent="0.2">
      <c r="B39">
        <v>5096</v>
      </c>
      <c r="C39" s="658" t="s">
        <v>167</v>
      </c>
      <c r="D39" s="658"/>
      <c r="E39" s="658"/>
      <c r="F39" s="658"/>
      <c r="G39" s="658"/>
      <c r="H39" s="658"/>
      <c r="I39" s="658"/>
    </row>
    <row r="41" spans="2:9" x14ac:dyDescent="0.2">
      <c r="B41" s="52" t="s">
        <v>168</v>
      </c>
    </row>
    <row r="43" spans="2:9" x14ac:dyDescent="0.2">
      <c r="B43" s="283" t="s">
        <v>625</v>
      </c>
      <c r="C43" s="283" t="s">
        <v>528</v>
      </c>
    </row>
    <row r="45" spans="2:9" x14ac:dyDescent="0.2">
      <c r="B45">
        <v>5105</v>
      </c>
      <c r="C45" s="658" t="s">
        <v>169</v>
      </c>
      <c r="D45" s="658"/>
      <c r="E45" s="658"/>
      <c r="F45" s="658"/>
      <c r="G45" s="658"/>
      <c r="H45" s="658"/>
      <c r="I45" s="658"/>
    </row>
    <row r="46" spans="2:9" x14ac:dyDescent="0.2">
      <c r="B46">
        <v>5110</v>
      </c>
      <c r="C46" s="658" t="s">
        <v>201</v>
      </c>
      <c r="D46" s="658"/>
      <c r="E46" s="658"/>
      <c r="F46" s="658"/>
      <c r="G46" s="658"/>
      <c r="H46" s="658"/>
      <c r="I46" s="658"/>
    </row>
    <row r="47" spans="2:9" x14ac:dyDescent="0.2">
      <c r="B47">
        <v>5112</v>
      </c>
      <c r="C47" s="658" t="s">
        <v>202</v>
      </c>
      <c r="D47" s="658"/>
      <c r="E47" s="658"/>
      <c r="F47" s="658"/>
      <c r="G47" s="658"/>
      <c r="H47" s="658"/>
      <c r="I47" s="658"/>
    </row>
    <row r="48" spans="2:9" x14ac:dyDescent="0.2">
      <c r="B48">
        <v>5114</v>
      </c>
      <c r="C48" s="658" t="s">
        <v>204</v>
      </c>
      <c r="D48" s="658"/>
      <c r="E48" s="658"/>
      <c r="F48" s="658"/>
      <c r="G48" s="658"/>
      <c r="H48" s="658"/>
      <c r="I48" s="658"/>
    </row>
    <row r="49" spans="2:9" x14ac:dyDescent="0.2">
      <c r="B49">
        <v>5120</v>
      </c>
      <c r="C49" s="658" t="s">
        <v>203</v>
      </c>
      <c r="D49" s="658"/>
      <c r="E49" s="658"/>
      <c r="F49" s="658"/>
      <c r="G49" s="658"/>
      <c r="H49" s="658"/>
      <c r="I49" s="658"/>
    </row>
    <row r="50" spans="2:9" x14ac:dyDescent="0.2">
      <c r="B50">
        <v>5125</v>
      </c>
      <c r="C50" s="658" t="s">
        <v>205</v>
      </c>
      <c r="D50" s="658"/>
      <c r="E50" s="658"/>
      <c r="F50" s="658"/>
      <c r="G50" s="658"/>
      <c r="H50" s="658"/>
      <c r="I50" s="658"/>
    </row>
    <row r="51" spans="2:9" x14ac:dyDescent="0.2">
      <c r="B51">
        <v>5130</v>
      </c>
      <c r="C51" s="658" t="s">
        <v>206</v>
      </c>
      <c r="D51" s="658"/>
      <c r="E51" s="658"/>
      <c r="F51" s="658"/>
      <c r="G51" s="658"/>
      <c r="H51" s="658"/>
      <c r="I51" s="658"/>
    </row>
    <row r="52" spans="2:9" x14ac:dyDescent="0.2">
      <c r="B52">
        <v>5135</v>
      </c>
      <c r="C52" s="658" t="s">
        <v>207</v>
      </c>
      <c r="D52" s="658"/>
      <c r="E52" s="658"/>
      <c r="F52" s="658"/>
      <c r="G52" s="658"/>
      <c r="H52" s="658"/>
      <c r="I52" s="658"/>
    </row>
    <row r="53" spans="2:9" x14ac:dyDescent="0.2">
      <c r="B53">
        <v>5145</v>
      </c>
      <c r="C53" s="658" t="s">
        <v>208</v>
      </c>
      <c r="D53" s="658"/>
      <c r="E53" s="658"/>
      <c r="F53" s="658"/>
      <c r="G53" s="658"/>
      <c r="H53" s="658"/>
      <c r="I53" s="658"/>
    </row>
    <row r="54" spans="2:9" x14ac:dyDescent="0.2">
      <c r="B54">
        <v>5150</v>
      </c>
      <c r="C54" s="658" t="s">
        <v>209</v>
      </c>
      <c r="D54" s="658"/>
      <c r="E54" s="658"/>
      <c r="F54" s="658"/>
      <c r="G54" s="658"/>
      <c r="H54" s="658"/>
      <c r="I54" s="658"/>
    </row>
    <row r="55" spans="2:9" x14ac:dyDescent="0.2">
      <c r="B55">
        <v>5155</v>
      </c>
      <c r="C55" s="658" t="s">
        <v>210</v>
      </c>
      <c r="D55" s="658"/>
      <c r="E55" s="658"/>
      <c r="F55" s="658"/>
      <c r="G55" s="658"/>
      <c r="H55" s="658"/>
      <c r="I55" s="658"/>
    </row>
    <row r="56" spans="2:9" x14ac:dyDescent="0.2">
      <c r="B56">
        <v>5160</v>
      </c>
      <c r="C56" s="658" t="s">
        <v>211</v>
      </c>
      <c r="D56" s="658"/>
      <c r="E56" s="658"/>
      <c r="F56" s="658"/>
      <c r="G56" s="658"/>
      <c r="H56" s="658"/>
      <c r="I56" s="658"/>
    </row>
    <row r="57" spans="2:9" x14ac:dyDescent="0.2">
      <c r="B57">
        <v>5165</v>
      </c>
      <c r="C57" s="658" t="s">
        <v>212</v>
      </c>
      <c r="D57" s="658"/>
      <c r="E57" s="658"/>
      <c r="F57" s="658"/>
      <c r="G57" s="658"/>
      <c r="H57" s="658"/>
      <c r="I57" s="658"/>
    </row>
    <row r="58" spans="2:9" x14ac:dyDescent="0.2">
      <c r="B58">
        <v>5170</v>
      </c>
      <c r="C58" s="658" t="s">
        <v>213</v>
      </c>
      <c r="D58" s="658"/>
      <c r="E58" s="658"/>
      <c r="F58" s="658"/>
      <c r="G58" s="658"/>
      <c r="H58" s="658"/>
      <c r="I58" s="658"/>
    </row>
    <row r="59" spans="2:9" x14ac:dyDescent="0.2">
      <c r="B59">
        <v>5172</v>
      </c>
      <c r="C59" s="658" t="s">
        <v>214</v>
      </c>
      <c r="D59" s="658"/>
      <c r="E59" s="658"/>
      <c r="F59" s="658"/>
      <c r="G59" s="658"/>
      <c r="H59" s="658"/>
      <c r="I59" s="658"/>
    </row>
    <row r="60" spans="2:9" x14ac:dyDescent="0.2">
      <c r="B60">
        <v>5175</v>
      </c>
      <c r="C60" s="658" t="s">
        <v>215</v>
      </c>
      <c r="D60" s="658"/>
      <c r="E60" s="658"/>
      <c r="F60" s="658"/>
      <c r="G60" s="658"/>
      <c r="H60" s="658"/>
      <c r="I60" s="658"/>
    </row>
    <row r="61" spans="2:9" x14ac:dyDescent="0.2">
      <c r="B61">
        <v>5178</v>
      </c>
      <c r="C61" s="658" t="s">
        <v>216</v>
      </c>
      <c r="D61" s="658"/>
      <c r="E61" s="658"/>
      <c r="F61" s="658"/>
      <c r="G61" s="658"/>
      <c r="H61" s="658"/>
      <c r="I61" s="658"/>
    </row>
    <row r="62" spans="2:9" x14ac:dyDescent="0.2">
      <c r="B62">
        <v>5195</v>
      </c>
      <c r="C62" s="658" t="s">
        <v>246</v>
      </c>
      <c r="D62" s="658"/>
      <c r="E62" s="658"/>
      <c r="F62" s="658"/>
      <c r="G62" s="658"/>
      <c r="H62" s="658"/>
      <c r="I62" s="658"/>
    </row>
    <row r="64" spans="2:9" x14ac:dyDescent="0.2">
      <c r="B64" s="52" t="s">
        <v>217</v>
      </c>
    </row>
    <row r="66" spans="2:9" x14ac:dyDescent="0.2">
      <c r="B66" s="283" t="s">
        <v>625</v>
      </c>
      <c r="C66" s="283" t="s">
        <v>528</v>
      </c>
    </row>
    <row r="68" spans="2:9" x14ac:dyDescent="0.2">
      <c r="B68">
        <v>5305</v>
      </c>
      <c r="C68" s="658" t="s">
        <v>237</v>
      </c>
      <c r="D68" s="658"/>
      <c r="E68" s="658"/>
      <c r="F68" s="658"/>
      <c r="G68" s="658"/>
      <c r="H68" s="658"/>
      <c r="I68" s="658"/>
    </row>
    <row r="69" spans="2:9" x14ac:dyDescent="0.2">
      <c r="B69">
        <v>5310</v>
      </c>
      <c r="C69" s="658" t="s">
        <v>238</v>
      </c>
      <c r="D69" s="658"/>
      <c r="E69" s="658"/>
      <c r="F69" s="658"/>
      <c r="G69" s="658"/>
      <c r="H69" s="658"/>
      <c r="I69" s="658"/>
    </row>
    <row r="70" spans="2:9" x14ac:dyDescent="0.2">
      <c r="B70">
        <v>5315</v>
      </c>
      <c r="C70" s="658" t="s">
        <v>239</v>
      </c>
      <c r="D70" s="658"/>
      <c r="E70" s="658"/>
      <c r="F70" s="658"/>
      <c r="G70" s="658"/>
      <c r="H70" s="658"/>
      <c r="I70" s="658"/>
    </row>
    <row r="71" spans="2:9" x14ac:dyDescent="0.2">
      <c r="B71">
        <v>5320</v>
      </c>
      <c r="C71" s="658" t="s">
        <v>240</v>
      </c>
      <c r="D71" s="658"/>
      <c r="E71" s="658"/>
      <c r="F71" s="658"/>
      <c r="G71" s="658"/>
      <c r="H71" s="658"/>
      <c r="I71" s="658"/>
    </row>
    <row r="72" spans="2:9" x14ac:dyDescent="0.2">
      <c r="B72">
        <v>5325</v>
      </c>
      <c r="C72" s="658" t="s">
        <v>241</v>
      </c>
      <c r="D72" s="658"/>
      <c r="E72" s="658"/>
      <c r="F72" s="658"/>
      <c r="G72" s="658"/>
      <c r="H72" s="658"/>
      <c r="I72" s="658"/>
    </row>
    <row r="73" spans="2:9" x14ac:dyDescent="0.2">
      <c r="B73">
        <v>5330</v>
      </c>
      <c r="C73" s="658" t="s">
        <v>242</v>
      </c>
      <c r="D73" s="658"/>
      <c r="E73" s="658"/>
      <c r="F73" s="658"/>
      <c r="G73" s="658"/>
      <c r="H73" s="658"/>
      <c r="I73" s="658"/>
    </row>
    <row r="74" spans="2:9" x14ac:dyDescent="0.2">
      <c r="B74">
        <v>5335</v>
      </c>
      <c r="C74" s="658" t="s">
        <v>243</v>
      </c>
      <c r="D74" s="658"/>
      <c r="E74" s="658"/>
      <c r="F74" s="658"/>
      <c r="G74" s="658"/>
      <c r="H74" s="658"/>
      <c r="I74" s="658"/>
    </row>
    <row r="75" spans="2:9" x14ac:dyDescent="0.2">
      <c r="B75">
        <v>5340</v>
      </c>
      <c r="C75" s="658" t="s">
        <v>244</v>
      </c>
      <c r="D75" s="658"/>
      <c r="E75" s="658"/>
      <c r="F75" s="658"/>
      <c r="G75" s="658"/>
      <c r="H75" s="658"/>
      <c r="I75" s="658"/>
    </row>
    <row r="77" spans="2:9" x14ac:dyDescent="0.2">
      <c r="B77" s="52" t="s">
        <v>245</v>
      </c>
    </row>
    <row r="79" spans="2:9" x14ac:dyDescent="0.2">
      <c r="B79" s="283" t="s">
        <v>625</v>
      </c>
      <c r="C79" s="283" t="s">
        <v>528</v>
      </c>
    </row>
    <row r="81" spans="2:9" x14ac:dyDescent="0.2">
      <c r="B81">
        <v>5405</v>
      </c>
      <c r="C81" s="658" t="s">
        <v>237</v>
      </c>
      <c r="D81" s="658"/>
      <c r="E81" s="658"/>
      <c r="F81" s="658"/>
      <c r="G81" s="658"/>
      <c r="H81" s="658"/>
      <c r="I81" s="658"/>
    </row>
    <row r="82" spans="2:9" x14ac:dyDescent="0.2">
      <c r="B82">
        <v>5410</v>
      </c>
      <c r="C82" s="658" t="s">
        <v>247</v>
      </c>
      <c r="D82" s="658"/>
      <c r="E82" s="658"/>
      <c r="F82" s="658"/>
      <c r="G82" s="658"/>
      <c r="H82" s="658"/>
      <c r="I82" s="658"/>
    </row>
    <row r="83" spans="2:9" x14ac:dyDescent="0.2">
      <c r="B83">
        <v>5415</v>
      </c>
      <c r="C83" s="658" t="s">
        <v>249</v>
      </c>
      <c r="D83" s="658"/>
      <c r="E83" s="658"/>
      <c r="F83" s="658"/>
      <c r="G83" s="658"/>
      <c r="H83" s="658"/>
      <c r="I83" s="658"/>
    </row>
    <row r="84" spans="2:9" x14ac:dyDescent="0.2">
      <c r="B84">
        <v>5420</v>
      </c>
      <c r="C84" s="658" t="s">
        <v>250</v>
      </c>
      <c r="D84" s="658"/>
      <c r="E84" s="658"/>
      <c r="F84" s="658"/>
      <c r="G84" s="658"/>
      <c r="H84" s="658"/>
      <c r="I84" s="658"/>
    </row>
    <row r="85" spans="2:9" x14ac:dyDescent="0.2">
      <c r="B85">
        <v>5425</v>
      </c>
      <c r="C85" s="658" t="s">
        <v>251</v>
      </c>
      <c r="D85" s="658"/>
      <c r="E85" s="658"/>
      <c r="F85" s="658"/>
      <c r="G85" s="658"/>
      <c r="H85" s="658"/>
      <c r="I85" s="658"/>
    </row>
    <row r="86" spans="2:9" x14ac:dyDescent="0.2">
      <c r="B86">
        <v>5505</v>
      </c>
      <c r="C86" s="658" t="s">
        <v>237</v>
      </c>
      <c r="D86" s="658"/>
      <c r="E86" s="658"/>
      <c r="F86" s="658"/>
      <c r="G86" s="658"/>
      <c r="H86" s="658"/>
      <c r="I86" s="658"/>
    </row>
    <row r="87" spans="2:9" x14ac:dyDescent="0.2">
      <c r="B87">
        <v>5510</v>
      </c>
      <c r="C87" s="658" t="s">
        <v>252</v>
      </c>
      <c r="D87" s="658"/>
      <c r="E87" s="658"/>
      <c r="F87" s="658"/>
      <c r="G87" s="658"/>
      <c r="H87" s="658"/>
      <c r="I87" s="658"/>
    </row>
    <row r="88" spans="2:9" x14ac:dyDescent="0.2">
      <c r="B88">
        <v>5515</v>
      </c>
      <c r="C88" s="658" t="s">
        <v>253</v>
      </c>
      <c r="D88" s="658"/>
      <c r="E88" s="658"/>
      <c r="F88" s="658"/>
      <c r="G88" s="658"/>
      <c r="H88" s="658"/>
      <c r="I88" s="658"/>
    </row>
    <row r="89" spans="2:9" x14ac:dyDescent="0.2">
      <c r="B89">
        <v>5520</v>
      </c>
      <c r="C89" s="658" t="s">
        <v>254</v>
      </c>
      <c r="D89" s="658"/>
      <c r="E89" s="658"/>
      <c r="F89" s="658"/>
      <c r="G89" s="658"/>
      <c r="H89" s="658"/>
      <c r="I89" s="658"/>
    </row>
    <row r="91" spans="2:9" x14ac:dyDescent="0.2">
      <c r="B91" s="52" t="s">
        <v>255</v>
      </c>
    </row>
    <row r="93" spans="2:9" x14ac:dyDescent="0.2">
      <c r="B93" s="283" t="s">
        <v>625</v>
      </c>
      <c r="C93" s="283" t="s">
        <v>528</v>
      </c>
    </row>
    <row r="95" spans="2:9" x14ac:dyDescent="0.2">
      <c r="B95">
        <v>5605</v>
      </c>
      <c r="C95" s="658" t="s">
        <v>256</v>
      </c>
      <c r="D95" s="658"/>
      <c r="E95" s="658"/>
      <c r="F95" s="658"/>
      <c r="G95" s="658"/>
      <c r="H95" s="658"/>
      <c r="I95" s="658"/>
    </row>
    <row r="96" spans="2:9" x14ac:dyDescent="0.2">
      <c r="B96">
        <v>5610</v>
      </c>
      <c r="C96" s="658" t="s">
        <v>257</v>
      </c>
      <c r="D96" s="658"/>
      <c r="E96" s="658"/>
      <c r="F96" s="658"/>
      <c r="G96" s="658"/>
      <c r="H96" s="658"/>
      <c r="I96" s="658"/>
    </row>
    <row r="97" spans="2:9" x14ac:dyDescent="0.2">
      <c r="B97">
        <v>5615</v>
      </c>
      <c r="C97" s="658" t="s">
        <v>258</v>
      </c>
      <c r="D97" s="658"/>
      <c r="E97" s="658"/>
      <c r="F97" s="658"/>
      <c r="G97" s="658"/>
      <c r="H97" s="658"/>
      <c r="I97" s="658"/>
    </row>
    <row r="98" spans="2:9" x14ac:dyDescent="0.2">
      <c r="B98">
        <v>5620</v>
      </c>
      <c r="C98" s="658" t="s">
        <v>259</v>
      </c>
      <c r="D98" s="658"/>
      <c r="E98" s="658"/>
      <c r="F98" s="658"/>
      <c r="G98" s="658"/>
      <c r="H98" s="658"/>
      <c r="I98" s="658"/>
    </row>
    <row r="99" spans="2:9" x14ac:dyDescent="0.2">
      <c r="B99">
        <v>5625</v>
      </c>
      <c r="C99" s="658" t="s">
        <v>260</v>
      </c>
      <c r="D99" s="658"/>
      <c r="E99" s="658"/>
      <c r="F99" s="658"/>
      <c r="G99" s="658"/>
      <c r="H99" s="658"/>
      <c r="I99" s="658"/>
    </row>
    <row r="100" spans="2:9" x14ac:dyDescent="0.2">
      <c r="B100">
        <v>5630</v>
      </c>
      <c r="C100" s="658" t="s">
        <v>261</v>
      </c>
      <c r="D100" s="658"/>
      <c r="E100" s="658"/>
      <c r="F100" s="658"/>
      <c r="G100" s="658"/>
      <c r="H100" s="658"/>
      <c r="I100" s="658"/>
    </row>
    <row r="101" spans="2:9" x14ac:dyDescent="0.2">
      <c r="B101">
        <v>5635</v>
      </c>
      <c r="C101" s="658" t="s">
        <v>262</v>
      </c>
      <c r="D101" s="658"/>
      <c r="E101" s="658"/>
      <c r="F101" s="658"/>
      <c r="G101" s="658"/>
      <c r="H101" s="658"/>
      <c r="I101" s="658"/>
    </row>
    <row r="102" spans="2:9" x14ac:dyDescent="0.2">
      <c r="B102">
        <v>5640</v>
      </c>
      <c r="C102" s="658" t="s">
        <v>263</v>
      </c>
      <c r="D102" s="658"/>
      <c r="E102" s="658"/>
      <c r="F102" s="658"/>
      <c r="G102" s="658"/>
      <c r="H102" s="658"/>
      <c r="I102" s="658"/>
    </row>
    <row r="103" spans="2:9" x14ac:dyDescent="0.2">
      <c r="B103">
        <v>5645</v>
      </c>
      <c r="C103" s="658" t="s">
        <v>264</v>
      </c>
      <c r="D103" s="658"/>
      <c r="E103" s="658"/>
      <c r="F103" s="658"/>
      <c r="G103" s="658"/>
      <c r="H103" s="658"/>
      <c r="I103" s="658"/>
    </row>
    <row r="104" spans="2:9" x14ac:dyDescent="0.2">
      <c r="B104">
        <v>5650</v>
      </c>
      <c r="C104" s="658" t="s">
        <v>265</v>
      </c>
      <c r="D104" s="658"/>
      <c r="E104" s="658"/>
      <c r="F104" s="658"/>
      <c r="G104" s="658"/>
      <c r="H104" s="658"/>
      <c r="I104" s="658"/>
    </row>
    <row r="105" spans="2:9" x14ac:dyDescent="0.2">
      <c r="B105">
        <v>5655</v>
      </c>
      <c r="C105" s="658" t="s">
        <v>266</v>
      </c>
      <c r="D105" s="658"/>
      <c r="E105" s="658"/>
      <c r="F105" s="658"/>
      <c r="G105" s="658"/>
      <c r="H105" s="658"/>
      <c r="I105" s="658"/>
    </row>
    <row r="106" spans="2:9" x14ac:dyDescent="0.2">
      <c r="B106">
        <v>5660</v>
      </c>
      <c r="C106" s="658" t="s">
        <v>267</v>
      </c>
      <c r="D106" s="658"/>
      <c r="E106" s="658"/>
      <c r="F106" s="658"/>
      <c r="G106" s="658"/>
      <c r="H106" s="658"/>
      <c r="I106" s="658"/>
    </row>
    <row r="107" spans="2:9" x14ac:dyDescent="0.2">
      <c r="B107">
        <v>5665</v>
      </c>
      <c r="C107" s="658" t="s">
        <v>34</v>
      </c>
      <c r="D107" s="658"/>
      <c r="E107" s="658"/>
      <c r="F107" s="658"/>
      <c r="G107" s="658"/>
      <c r="H107" s="658"/>
      <c r="I107" s="658"/>
    </row>
    <row r="108" spans="2:9" x14ac:dyDescent="0.2">
      <c r="B108">
        <v>5670</v>
      </c>
      <c r="C108" s="658" t="s">
        <v>268</v>
      </c>
      <c r="D108" s="658"/>
      <c r="E108" s="658"/>
      <c r="F108" s="658"/>
      <c r="G108" s="658"/>
      <c r="H108" s="658"/>
      <c r="I108" s="658"/>
    </row>
    <row r="109" spans="2:9" x14ac:dyDescent="0.2">
      <c r="B109">
        <v>5675</v>
      </c>
      <c r="C109" s="658" t="s">
        <v>269</v>
      </c>
      <c r="D109" s="658"/>
      <c r="E109" s="658"/>
      <c r="F109" s="658"/>
      <c r="G109" s="658"/>
      <c r="H109" s="658"/>
      <c r="I109" s="658"/>
    </row>
    <row r="110" spans="2:9" x14ac:dyDescent="0.2">
      <c r="B110">
        <v>5680</v>
      </c>
      <c r="C110" s="658" t="s">
        <v>270</v>
      </c>
      <c r="D110" s="658"/>
      <c r="E110" s="658"/>
      <c r="F110" s="658"/>
      <c r="G110" s="658"/>
      <c r="H110" s="658"/>
      <c r="I110" s="658"/>
    </row>
    <row r="111" spans="2:9" x14ac:dyDescent="0.2">
      <c r="B111">
        <v>5685</v>
      </c>
      <c r="C111" s="658" t="s">
        <v>271</v>
      </c>
      <c r="D111" s="658"/>
      <c r="E111" s="658"/>
      <c r="F111" s="658"/>
      <c r="G111" s="658"/>
      <c r="H111" s="658"/>
      <c r="I111" s="658"/>
    </row>
    <row r="112" spans="2:9" x14ac:dyDescent="0.2">
      <c r="B112">
        <v>5695</v>
      </c>
      <c r="C112" s="658" t="s">
        <v>272</v>
      </c>
      <c r="D112" s="658"/>
      <c r="E112" s="658"/>
      <c r="F112" s="658"/>
      <c r="G112" s="658"/>
      <c r="H112" s="658"/>
      <c r="I112" s="658"/>
    </row>
    <row r="113" spans="2:9" x14ac:dyDescent="0.2">
      <c r="B113">
        <v>6205</v>
      </c>
      <c r="C113" s="658" t="s">
        <v>35</v>
      </c>
      <c r="D113" s="658"/>
      <c r="E113" s="658"/>
      <c r="F113" s="658"/>
      <c r="G113" s="658"/>
      <c r="H113" s="658"/>
      <c r="I113" s="658"/>
    </row>
  </sheetData>
  <mergeCells count="79">
    <mergeCell ref="C23:I23"/>
    <mergeCell ref="C24:I24"/>
    <mergeCell ref="C19:I19"/>
    <mergeCell ref="C20:I20"/>
    <mergeCell ref="C21:I21"/>
    <mergeCell ref="C22:I22"/>
    <mergeCell ref="A9:I9"/>
    <mergeCell ref="A10:I10"/>
    <mergeCell ref="C17:I17"/>
    <mergeCell ref="C18:I18"/>
    <mergeCell ref="C27:I27"/>
    <mergeCell ref="C28:I28"/>
    <mergeCell ref="C29:I29"/>
    <mergeCell ref="C30:I30"/>
    <mergeCell ref="C25:I25"/>
    <mergeCell ref="C26:I26"/>
    <mergeCell ref="C35:I35"/>
    <mergeCell ref="C36:I36"/>
    <mergeCell ref="C37:I37"/>
    <mergeCell ref="C38:I38"/>
    <mergeCell ref="C31:I31"/>
    <mergeCell ref="C32:I32"/>
    <mergeCell ref="C33:I33"/>
    <mergeCell ref="C34:I34"/>
    <mergeCell ref="C48:I48"/>
    <mergeCell ref="C49:I49"/>
    <mergeCell ref="C50:I50"/>
    <mergeCell ref="C51:I51"/>
    <mergeCell ref="C39:I39"/>
    <mergeCell ref="C45:I45"/>
    <mergeCell ref="C46:I46"/>
    <mergeCell ref="C47:I47"/>
    <mergeCell ref="C56:I56"/>
    <mergeCell ref="C57:I57"/>
    <mergeCell ref="C58:I58"/>
    <mergeCell ref="C59:I59"/>
    <mergeCell ref="C52:I52"/>
    <mergeCell ref="C53:I53"/>
    <mergeCell ref="C54:I54"/>
    <mergeCell ref="C55:I55"/>
    <mergeCell ref="C69:I69"/>
    <mergeCell ref="C70:I70"/>
    <mergeCell ref="C71:I71"/>
    <mergeCell ref="C72:I72"/>
    <mergeCell ref="C60:I60"/>
    <mergeCell ref="C61:I61"/>
    <mergeCell ref="C62:I62"/>
    <mergeCell ref="C68:I68"/>
    <mergeCell ref="C82:I82"/>
    <mergeCell ref="C83:I83"/>
    <mergeCell ref="C84:I84"/>
    <mergeCell ref="C85:I85"/>
    <mergeCell ref="C73:I73"/>
    <mergeCell ref="C74:I74"/>
    <mergeCell ref="C75:I75"/>
    <mergeCell ref="C81:I81"/>
    <mergeCell ref="C95:I95"/>
    <mergeCell ref="C96:I96"/>
    <mergeCell ref="C97:I97"/>
    <mergeCell ref="C98:I98"/>
    <mergeCell ref="C86:I86"/>
    <mergeCell ref="C87:I87"/>
    <mergeCell ref="C88:I88"/>
    <mergeCell ref="C89:I89"/>
    <mergeCell ref="C99:I99"/>
    <mergeCell ref="C100:I100"/>
    <mergeCell ref="C108:I108"/>
    <mergeCell ref="C101:I101"/>
    <mergeCell ref="C102:I102"/>
    <mergeCell ref="C103:I103"/>
    <mergeCell ref="C104:I104"/>
    <mergeCell ref="C105:I105"/>
    <mergeCell ref="C106:I106"/>
    <mergeCell ref="C107:I107"/>
    <mergeCell ref="C111:I111"/>
    <mergeCell ref="C112:I112"/>
    <mergeCell ref="C113:I113"/>
    <mergeCell ref="C109:I109"/>
    <mergeCell ref="C110:I110"/>
  </mergeCells>
  <phoneticPr fontId="3" type="noConversion"/>
  <dataValidations count="1">
    <dataValidation allowBlank="1" showInputMessage="1" showErrorMessage="1" promptTitle="Date Format" prompt="E.g:  &quot;August 1, 2011&quot;" sqref="I7"/>
  </dataValidations>
  <printOptions horizontalCentered="1"/>
  <pageMargins left="0.74803149606299213" right="0.74803149606299213" top="0.98425196850393704" bottom="0.98425196850393704" header="0.51181102362204722" footer="0.51181102362204722"/>
  <pageSetup scale="80" fitToHeight="0" orientation="portrait" r:id="rId1"/>
  <headerFooter alignWithMargins="0"/>
  <rowBreaks count="1" manualBreakCount="1">
    <brk id="62"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J112"/>
  <sheetViews>
    <sheetView showGridLines="0" workbookViewId="0">
      <selection activeCell="L98" sqref="L98"/>
    </sheetView>
  </sheetViews>
  <sheetFormatPr defaultRowHeight="12.75" x14ac:dyDescent="0.2"/>
  <cols>
    <col min="1" max="1" width="3" customWidth="1"/>
    <col min="2" max="2" width="7.42578125" customWidth="1"/>
    <col min="3" max="3" width="18.5703125" customWidth="1"/>
    <col min="4" max="4" width="16.7109375" customWidth="1"/>
    <col min="5" max="5" width="14" customWidth="1"/>
    <col min="6" max="6" width="12.85546875" customWidth="1"/>
    <col min="7" max="7" width="19" customWidth="1"/>
    <col min="8" max="8" width="11.5703125" customWidth="1"/>
    <col min="9" max="9" width="13.7109375" customWidth="1"/>
    <col min="10" max="10" width="11.28515625" bestFit="1" customWidth="1"/>
  </cols>
  <sheetData>
    <row r="1" spans="2:7" x14ac:dyDescent="0.2">
      <c r="F1" s="52" t="s">
        <v>581</v>
      </c>
      <c r="G1" s="151" t="s">
        <v>170</v>
      </c>
    </row>
    <row r="2" spans="2:7" x14ac:dyDescent="0.2">
      <c r="F2" s="52" t="s">
        <v>582</v>
      </c>
      <c r="G2" s="151" t="s">
        <v>587</v>
      </c>
    </row>
    <row r="3" spans="2:7" x14ac:dyDescent="0.2">
      <c r="F3" s="52" t="s">
        <v>583</v>
      </c>
      <c r="G3" s="151" t="s">
        <v>588</v>
      </c>
    </row>
    <row r="4" spans="2:7" x14ac:dyDescent="0.2">
      <c r="F4" s="52" t="s">
        <v>584</v>
      </c>
      <c r="G4" s="151" t="s">
        <v>589</v>
      </c>
    </row>
    <row r="5" spans="2:7" x14ac:dyDescent="0.2">
      <c r="F5" s="52" t="s">
        <v>585</v>
      </c>
      <c r="G5" s="151" t="s">
        <v>590</v>
      </c>
    </row>
    <row r="6" spans="2:7" x14ac:dyDescent="0.2">
      <c r="F6" s="52"/>
    </row>
    <row r="7" spans="2:7" x14ac:dyDescent="0.2">
      <c r="F7" s="52" t="s">
        <v>586</v>
      </c>
      <c r="G7" s="472"/>
    </row>
    <row r="9" spans="2:7" ht="18" x14ac:dyDescent="0.25">
      <c r="B9" s="659" t="s">
        <v>218</v>
      </c>
      <c r="C9" s="659"/>
      <c r="D9" s="659"/>
      <c r="E9" s="659"/>
      <c r="F9" s="659"/>
      <c r="G9" s="659"/>
    </row>
    <row r="10" spans="2:7" ht="18" x14ac:dyDescent="0.25">
      <c r="B10" s="659" t="s">
        <v>219</v>
      </c>
      <c r="C10" s="659"/>
      <c r="D10" s="659"/>
      <c r="E10" s="659"/>
      <c r="F10" s="659"/>
      <c r="G10" s="659"/>
    </row>
    <row r="12" spans="2:7" x14ac:dyDescent="0.2">
      <c r="B12" t="s">
        <v>343</v>
      </c>
    </row>
    <row r="14" spans="2:7" x14ac:dyDescent="0.2">
      <c r="B14" s="52" t="s">
        <v>344</v>
      </c>
      <c r="C14" s="52" t="s">
        <v>345</v>
      </c>
    </row>
    <row r="16" spans="2:7" x14ac:dyDescent="0.2">
      <c r="B16" t="s">
        <v>423</v>
      </c>
    </row>
    <row r="18" spans="2:7" x14ac:dyDescent="0.2">
      <c r="B18" s="419">
        <v>1</v>
      </c>
      <c r="C18" t="s">
        <v>360</v>
      </c>
    </row>
    <row r="19" spans="2:7" x14ac:dyDescent="0.2">
      <c r="B19" s="419">
        <v>2</v>
      </c>
      <c r="C19" t="s">
        <v>348</v>
      </c>
    </row>
    <row r="20" spans="2:7" x14ac:dyDescent="0.2">
      <c r="B20" s="419">
        <v>3</v>
      </c>
      <c r="C20" t="s">
        <v>346</v>
      </c>
    </row>
    <row r="21" spans="2:7" x14ac:dyDescent="0.2">
      <c r="B21" s="419">
        <v>4</v>
      </c>
      <c r="C21" t="s">
        <v>347</v>
      </c>
    </row>
    <row r="22" spans="2:7" x14ac:dyDescent="0.2">
      <c r="B22" s="419">
        <v>5</v>
      </c>
      <c r="C22" t="s">
        <v>349</v>
      </c>
    </row>
    <row r="23" spans="2:7" x14ac:dyDescent="0.2">
      <c r="B23" s="419">
        <v>6</v>
      </c>
      <c r="C23" t="s">
        <v>350</v>
      </c>
    </row>
    <row r="24" spans="2:7" ht="13.5" thickBot="1" x14ac:dyDescent="0.25"/>
    <row r="25" spans="2:7" x14ac:dyDescent="0.2">
      <c r="B25" s="698"/>
      <c r="C25" s="699"/>
      <c r="D25" s="166">
        <v>2006</v>
      </c>
      <c r="E25" s="388">
        <f>D25</f>
        <v>2006</v>
      </c>
      <c r="F25" s="143" t="s">
        <v>363</v>
      </c>
      <c r="G25" s="380" t="s">
        <v>365</v>
      </c>
    </row>
    <row r="26" spans="2:7" x14ac:dyDescent="0.2">
      <c r="B26" s="700"/>
      <c r="C26" s="701"/>
      <c r="D26" s="142" t="s">
        <v>361</v>
      </c>
      <c r="E26" s="142" t="s">
        <v>362</v>
      </c>
      <c r="F26" s="142" t="s">
        <v>364</v>
      </c>
      <c r="G26" s="381" t="s">
        <v>366</v>
      </c>
    </row>
    <row r="27" spans="2:7" x14ac:dyDescent="0.2">
      <c r="B27" s="689" t="s">
        <v>274</v>
      </c>
      <c r="C27" s="690"/>
      <c r="D27" s="161">
        <v>219009.31</v>
      </c>
      <c r="E27" s="161">
        <f>'App.2-F_Detailed_OM&amp;A_Expenses'!$D$39</f>
        <v>230557.75</v>
      </c>
      <c r="F27" s="27">
        <f t="shared" ref="F27:F32" si="0">E27-D27</f>
        <v>11548.440000000002</v>
      </c>
      <c r="G27" s="379">
        <f t="shared" ref="G27:G32" si="1">IF(D27=0,"",F27/D27)</f>
        <v>5.2730361097434633E-2</v>
      </c>
    </row>
    <row r="28" spans="2:7" x14ac:dyDescent="0.2">
      <c r="B28" s="689" t="s">
        <v>277</v>
      </c>
      <c r="C28" s="690"/>
      <c r="D28" s="161">
        <v>226714.93</v>
      </c>
      <c r="E28" s="161">
        <f>'App.2-F_Detailed_OM&amp;A_Expenses'!$D$60</f>
        <v>244875.54</v>
      </c>
      <c r="F28" s="27">
        <f t="shared" si="0"/>
        <v>18160.610000000015</v>
      </c>
      <c r="G28" s="379">
        <f t="shared" si="1"/>
        <v>8.0103282126148534E-2</v>
      </c>
    </row>
    <row r="29" spans="2:7" x14ac:dyDescent="0.2">
      <c r="B29" s="689" t="s">
        <v>217</v>
      </c>
      <c r="C29" s="690"/>
      <c r="D29" s="161">
        <v>511578.63999999996</v>
      </c>
      <c r="E29" s="161">
        <f>'App.2-F_Detailed_OM&amp;A_Expenses'!$D$71</f>
        <v>513809.22</v>
      </c>
      <c r="F29" s="27">
        <f t="shared" si="0"/>
        <v>2230.5800000000163</v>
      </c>
      <c r="G29" s="379">
        <f t="shared" si="1"/>
        <v>4.3601898625009374E-3</v>
      </c>
    </row>
    <row r="30" spans="2:7" x14ac:dyDescent="0.2">
      <c r="B30" s="689" t="s">
        <v>280</v>
      </c>
      <c r="C30" s="690"/>
      <c r="D30" s="161">
        <v>9412.01</v>
      </c>
      <c r="E30" s="161">
        <f>'App.2-F_Detailed_OM&amp;A_Expenses'!$D$83</f>
        <v>13421.21</v>
      </c>
      <c r="F30" s="27">
        <f t="shared" si="0"/>
        <v>4009.1999999999989</v>
      </c>
      <c r="G30" s="379">
        <f t="shared" si="1"/>
        <v>0.42596639825074545</v>
      </c>
    </row>
    <row r="31" spans="2:7" ht="13.5" thickBot="1" x14ac:dyDescent="0.25">
      <c r="B31" s="691" t="s">
        <v>351</v>
      </c>
      <c r="C31" s="692"/>
      <c r="D31" s="307">
        <v>970891.68803571432</v>
      </c>
      <c r="E31" s="293">
        <f>'App.2-F_Detailed_OM&amp;A_Expenses'!$D$106</f>
        <v>795730.26000000013</v>
      </c>
      <c r="F31" s="384">
        <f t="shared" si="0"/>
        <v>-175161.4280357142</v>
      </c>
      <c r="G31" s="382">
        <f t="shared" si="1"/>
        <v>-0.1804129443008177</v>
      </c>
    </row>
    <row r="32" spans="2:7" ht="14.25" thickTop="1" thickBot="1" x14ac:dyDescent="0.25">
      <c r="B32" s="693" t="s">
        <v>352</v>
      </c>
      <c r="C32" s="694"/>
      <c r="D32" s="303">
        <f>SUM(D27:D31)</f>
        <v>1937606.5780357141</v>
      </c>
      <c r="E32" s="167">
        <f>SUM(E27:E31)</f>
        <v>1798393.98</v>
      </c>
      <c r="F32" s="167">
        <f t="shared" si="0"/>
        <v>-139212.59803571412</v>
      </c>
      <c r="G32" s="383">
        <f t="shared" si="1"/>
        <v>-7.1847711302076386E-2</v>
      </c>
    </row>
    <row r="33" spans="2:7" ht="13.5" thickBot="1" x14ac:dyDescent="0.25">
      <c r="B33" s="695" t="s">
        <v>353</v>
      </c>
      <c r="C33" s="696"/>
      <c r="D33" s="696"/>
      <c r="E33" s="696"/>
      <c r="F33" s="697"/>
      <c r="G33" s="385">
        <v>1.7000000000000001E-2</v>
      </c>
    </row>
    <row r="34" spans="2:7" ht="13.5" thickBot="1" x14ac:dyDescent="0.25"/>
    <row r="35" spans="2:7" x14ac:dyDescent="0.2">
      <c r="B35" s="698"/>
      <c r="C35" s="699"/>
      <c r="D35" s="388">
        <v>2006</v>
      </c>
      <c r="E35" s="388">
        <v>2007</v>
      </c>
      <c r="F35" s="143" t="s">
        <v>363</v>
      </c>
      <c r="G35" s="380" t="s">
        <v>365</v>
      </c>
    </row>
    <row r="36" spans="2:7" x14ac:dyDescent="0.2">
      <c r="B36" s="700"/>
      <c r="C36" s="701"/>
      <c r="D36" s="142" t="s">
        <v>362</v>
      </c>
      <c r="E36" s="142" t="s">
        <v>362</v>
      </c>
      <c r="F36" s="142" t="s">
        <v>364</v>
      </c>
      <c r="G36" s="381" t="s">
        <v>366</v>
      </c>
    </row>
    <row r="37" spans="2:7" x14ac:dyDescent="0.2">
      <c r="B37" s="689" t="s">
        <v>274</v>
      </c>
      <c r="C37" s="690"/>
      <c r="D37" s="386">
        <f>E27</f>
        <v>230557.75</v>
      </c>
      <c r="E37" s="161">
        <f>'App.2-F_Detailed_OM&amp;A_Expenses'!$E$39</f>
        <v>215649.63</v>
      </c>
      <c r="F37" s="27">
        <f t="shared" ref="F37:F42" si="2">E37-D37</f>
        <v>-14908.119999999995</v>
      </c>
      <c r="G37" s="379">
        <f t="shared" ref="G37:G42" si="3">IF(D37=0,"",F37/D37)</f>
        <v>-6.4661109852086923E-2</v>
      </c>
    </row>
    <row r="38" spans="2:7" x14ac:dyDescent="0.2">
      <c r="B38" s="689" t="s">
        <v>277</v>
      </c>
      <c r="C38" s="690"/>
      <c r="D38" s="386">
        <f>E28</f>
        <v>244875.54</v>
      </c>
      <c r="E38" s="161">
        <f>'App.2-F_Detailed_OM&amp;A_Expenses'!$E$60</f>
        <v>390706.52999999997</v>
      </c>
      <c r="F38" s="27">
        <f t="shared" si="2"/>
        <v>145830.98999999996</v>
      </c>
      <c r="G38" s="379">
        <f t="shared" si="3"/>
        <v>0.59553106039092329</v>
      </c>
    </row>
    <row r="39" spans="2:7" x14ac:dyDescent="0.2">
      <c r="B39" s="689" t="s">
        <v>217</v>
      </c>
      <c r="C39" s="690"/>
      <c r="D39" s="386">
        <f>E29</f>
        <v>513809.22</v>
      </c>
      <c r="E39" s="161">
        <f>'App.2-F_Detailed_OM&amp;A_Expenses'!$E$71</f>
        <v>538533.98</v>
      </c>
      <c r="F39" s="27">
        <f t="shared" si="2"/>
        <v>24724.760000000009</v>
      </c>
      <c r="G39" s="379">
        <f t="shared" si="3"/>
        <v>4.812050667366384E-2</v>
      </c>
    </row>
    <row r="40" spans="2:7" x14ac:dyDescent="0.2">
      <c r="B40" s="689" t="s">
        <v>280</v>
      </c>
      <c r="C40" s="690"/>
      <c r="D40" s="386">
        <f>E30</f>
        <v>13421.21</v>
      </c>
      <c r="E40" s="161">
        <f>'App.2-F_Detailed_OM&amp;A_Expenses'!$E$83</f>
        <v>20335.18</v>
      </c>
      <c r="F40" s="27">
        <f t="shared" si="2"/>
        <v>6913.9700000000012</v>
      </c>
      <c r="G40" s="379">
        <f t="shared" si="3"/>
        <v>0.51515250860391881</v>
      </c>
    </row>
    <row r="41" spans="2:7" ht="13.5" thickBot="1" x14ac:dyDescent="0.25">
      <c r="B41" s="691" t="s">
        <v>351</v>
      </c>
      <c r="C41" s="692"/>
      <c r="D41" s="386">
        <f>E31</f>
        <v>795730.26000000013</v>
      </c>
      <c r="E41" s="293">
        <f>'App.2-F_Detailed_OM&amp;A_Expenses'!$E$106</f>
        <v>762786.8600000001</v>
      </c>
      <c r="F41" s="384">
        <f t="shared" si="2"/>
        <v>-32943.400000000023</v>
      </c>
      <c r="G41" s="382">
        <f t="shared" si="3"/>
        <v>-4.1400210166696462E-2</v>
      </c>
    </row>
    <row r="42" spans="2:7" ht="14.25" thickTop="1" thickBot="1" x14ac:dyDescent="0.25">
      <c r="B42" s="693" t="s">
        <v>352</v>
      </c>
      <c r="C42" s="694"/>
      <c r="D42" s="303">
        <f>SUM(D37:D41)</f>
        <v>1798393.98</v>
      </c>
      <c r="E42" s="167">
        <f>SUM(E37:E41)</f>
        <v>1928012.18</v>
      </c>
      <c r="F42" s="167">
        <f t="shared" si="2"/>
        <v>129618.19999999995</v>
      </c>
      <c r="G42" s="383">
        <f t="shared" si="3"/>
        <v>7.2074418309607521E-2</v>
      </c>
    </row>
    <row r="43" spans="2:7" ht="13.5" thickBot="1" x14ac:dyDescent="0.25">
      <c r="B43" s="695" t="s">
        <v>353</v>
      </c>
      <c r="C43" s="696"/>
      <c r="D43" s="696"/>
      <c r="E43" s="696"/>
      <c r="F43" s="697"/>
      <c r="G43" s="385">
        <v>2.376E-2</v>
      </c>
    </row>
    <row r="44" spans="2:7" ht="13.5" thickBot="1" x14ac:dyDescent="0.25"/>
    <row r="45" spans="2:7" x14ac:dyDescent="0.2">
      <c r="B45" s="698"/>
      <c r="C45" s="699"/>
      <c r="D45" s="388">
        <f>E35</f>
        <v>2007</v>
      </c>
      <c r="E45" s="388">
        <v>2008</v>
      </c>
      <c r="F45" s="143" t="s">
        <v>363</v>
      </c>
      <c r="G45" s="380" t="s">
        <v>365</v>
      </c>
    </row>
    <row r="46" spans="2:7" x14ac:dyDescent="0.2">
      <c r="B46" s="700"/>
      <c r="C46" s="701"/>
      <c r="D46" s="142" t="s">
        <v>362</v>
      </c>
      <c r="E46" s="142" t="s">
        <v>362</v>
      </c>
      <c r="F46" s="142" t="s">
        <v>364</v>
      </c>
      <c r="G46" s="381" t="s">
        <v>366</v>
      </c>
    </row>
    <row r="47" spans="2:7" x14ac:dyDescent="0.2">
      <c r="B47" s="689" t="s">
        <v>274</v>
      </c>
      <c r="C47" s="690"/>
      <c r="D47" s="386">
        <f>E37</f>
        <v>215649.63</v>
      </c>
      <c r="E47" s="161">
        <f>'App.2-F_Detailed_OM&amp;A_Expenses'!$F$39</f>
        <v>211133.39</v>
      </c>
      <c r="F47" s="27">
        <f t="shared" ref="F47:F52" si="4">E47-D47</f>
        <v>-4516.2399999999907</v>
      </c>
      <c r="G47" s="379">
        <f t="shared" ref="G47:G52" si="5">IF(D47=0,"",F47/D47)</f>
        <v>-2.0942488980852832E-2</v>
      </c>
    </row>
    <row r="48" spans="2:7" x14ac:dyDescent="0.2">
      <c r="B48" s="689" t="s">
        <v>277</v>
      </c>
      <c r="C48" s="690"/>
      <c r="D48" s="386">
        <f>E38</f>
        <v>390706.52999999997</v>
      </c>
      <c r="E48" s="161">
        <f>'App.2-F_Detailed_OM&amp;A_Expenses'!$F$60</f>
        <v>408783.51</v>
      </c>
      <c r="F48" s="27">
        <f t="shared" si="4"/>
        <v>18076.98000000004</v>
      </c>
      <c r="G48" s="379">
        <f t="shared" si="5"/>
        <v>4.62674120138203E-2</v>
      </c>
    </row>
    <row r="49" spans="2:7" x14ac:dyDescent="0.2">
      <c r="B49" s="689" t="s">
        <v>217</v>
      </c>
      <c r="C49" s="690"/>
      <c r="D49" s="386">
        <f>E39</f>
        <v>538533.98</v>
      </c>
      <c r="E49" s="161">
        <f>'App.2-F_Detailed_OM&amp;A_Expenses'!$F$71</f>
        <v>800194.03999999992</v>
      </c>
      <c r="F49" s="27">
        <f t="shared" si="4"/>
        <v>261660.05999999994</v>
      </c>
      <c r="G49" s="379">
        <f t="shared" si="5"/>
        <v>0.4858747446168577</v>
      </c>
    </row>
    <row r="50" spans="2:7" x14ac:dyDescent="0.2">
      <c r="B50" s="689" t="s">
        <v>280</v>
      </c>
      <c r="C50" s="690"/>
      <c r="D50" s="386">
        <f>E40</f>
        <v>20335.18</v>
      </c>
      <c r="E50" s="161">
        <f>'App.2-F_Detailed_OM&amp;A_Expenses'!$F$83</f>
        <v>16881.830000000002</v>
      </c>
      <c r="F50" s="27">
        <f t="shared" si="4"/>
        <v>-3453.3499999999985</v>
      </c>
      <c r="G50" s="379">
        <f t="shared" si="5"/>
        <v>-0.16982146211639132</v>
      </c>
    </row>
    <row r="51" spans="2:7" ht="13.5" thickBot="1" x14ac:dyDescent="0.25">
      <c r="B51" s="691" t="s">
        <v>351</v>
      </c>
      <c r="C51" s="692"/>
      <c r="D51" s="386">
        <f>E41</f>
        <v>762786.8600000001</v>
      </c>
      <c r="E51" s="293">
        <f>'App.2-F_Detailed_OM&amp;A_Expenses'!$F$106</f>
        <v>735059.88</v>
      </c>
      <c r="F51" s="384">
        <f t="shared" si="4"/>
        <v>-27726.980000000098</v>
      </c>
      <c r="G51" s="382">
        <f t="shared" si="5"/>
        <v>-3.6349577390465397E-2</v>
      </c>
    </row>
    <row r="52" spans="2:7" ht="14.25" thickTop="1" thickBot="1" x14ac:dyDescent="0.25">
      <c r="B52" s="693" t="s">
        <v>352</v>
      </c>
      <c r="C52" s="694"/>
      <c r="D52" s="303">
        <f>SUM(D47:D51)</f>
        <v>1928012.18</v>
      </c>
      <c r="E52" s="167">
        <f>SUM(E47:E51)</f>
        <v>2172052.65</v>
      </c>
      <c r="F52" s="167">
        <f t="shared" si="4"/>
        <v>244040.46999999997</v>
      </c>
      <c r="G52" s="383">
        <f t="shared" si="5"/>
        <v>0.12657620762541033</v>
      </c>
    </row>
    <row r="53" spans="2:7" ht="13.5" thickBot="1" x14ac:dyDescent="0.25">
      <c r="B53" s="695" t="s">
        <v>353</v>
      </c>
      <c r="C53" s="696"/>
      <c r="D53" s="696"/>
      <c r="E53" s="696"/>
      <c r="F53" s="697"/>
      <c r="G53" s="385">
        <v>1.1610000000000001E-2</v>
      </c>
    </row>
    <row r="54" spans="2:7" ht="13.5" thickBot="1" x14ac:dyDescent="0.25">
      <c r="B54" s="285"/>
      <c r="C54" s="285"/>
      <c r="D54" s="377"/>
      <c r="E54" s="377"/>
      <c r="F54" s="377"/>
      <c r="G54" s="378"/>
    </row>
    <row r="55" spans="2:7" x14ac:dyDescent="0.2">
      <c r="B55" s="698"/>
      <c r="C55" s="699"/>
      <c r="D55" s="388">
        <f>E45</f>
        <v>2008</v>
      </c>
      <c r="E55" s="166">
        <v>2009</v>
      </c>
      <c r="F55" s="143" t="s">
        <v>363</v>
      </c>
      <c r="G55" s="380" t="s">
        <v>365</v>
      </c>
    </row>
    <row r="56" spans="2:7" x14ac:dyDescent="0.2">
      <c r="B56" s="700"/>
      <c r="C56" s="701"/>
      <c r="D56" s="142" t="s">
        <v>362</v>
      </c>
      <c r="E56" s="142" t="s">
        <v>362</v>
      </c>
      <c r="F56" s="142" t="s">
        <v>364</v>
      </c>
      <c r="G56" s="381" t="s">
        <v>366</v>
      </c>
    </row>
    <row r="57" spans="2:7" x14ac:dyDescent="0.2">
      <c r="B57" s="689" t="s">
        <v>274</v>
      </c>
      <c r="C57" s="690"/>
      <c r="D57" s="386">
        <f>E47</f>
        <v>211133.39</v>
      </c>
      <c r="E57" s="161">
        <f>'App.2-F_Detailed_OM&amp;A_Expenses'!$G$39</f>
        <v>298927.28999999998</v>
      </c>
      <c r="F57" s="27">
        <f t="shared" ref="F57:F62" si="6">E57-D57</f>
        <v>87793.899999999965</v>
      </c>
      <c r="G57" s="379">
        <f t="shared" ref="G57:G62" si="7">IF(D57=0,"",F57/D57)</f>
        <v>0.41582195975728881</v>
      </c>
    </row>
    <row r="58" spans="2:7" x14ac:dyDescent="0.2">
      <c r="B58" s="689" t="s">
        <v>277</v>
      </c>
      <c r="C58" s="690"/>
      <c r="D58" s="386">
        <f>E48</f>
        <v>408783.51</v>
      </c>
      <c r="E58" s="161">
        <f>'App.2-F_Detailed_OM&amp;A_Expenses'!$G$60</f>
        <v>506971.9</v>
      </c>
      <c r="F58" s="27">
        <f t="shared" si="6"/>
        <v>98188.390000000014</v>
      </c>
      <c r="G58" s="379">
        <f t="shared" si="7"/>
        <v>0.24019655293825334</v>
      </c>
    </row>
    <row r="59" spans="2:7" x14ac:dyDescent="0.2">
      <c r="B59" s="689" t="s">
        <v>217</v>
      </c>
      <c r="C59" s="690"/>
      <c r="D59" s="386">
        <f>E49</f>
        <v>800194.03999999992</v>
      </c>
      <c r="E59" s="161">
        <f>'App.2-F_Detailed_OM&amp;A_Expenses'!$G$71</f>
        <v>846728.28</v>
      </c>
      <c r="F59" s="27">
        <f t="shared" si="6"/>
        <v>46534.240000000107</v>
      </c>
      <c r="G59" s="379">
        <f t="shared" si="7"/>
        <v>5.8153694821321225E-2</v>
      </c>
    </row>
    <row r="60" spans="2:7" x14ac:dyDescent="0.2">
      <c r="B60" s="689" t="s">
        <v>280</v>
      </c>
      <c r="C60" s="690"/>
      <c r="D60" s="386">
        <f>E50</f>
        <v>16881.830000000002</v>
      </c>
      <c r="E60" s="161">
        <f>'App.2-F_Detailed_OM&amp;A_Expenses'!$G$83</f>
        <v>14124.060000000001</v>
      </c>
      <c r="F60" s="27">
        <f t="shared" si="6"/>
        <v>-2757.7700000000004</v>
      </c>
      <c r="G60" s="379">
        <f t="shared" si="7"/>
        <v>-0.16335729005682442</v>
      </c>
    </row>
    <row r="61" spans="2:7" ht="13.5" thickBot="1" x14ac:dyDescent="0.25">
      <c r="B61" s="691" t="s">
        <v>351</v>
      </c>
      <c r="C61" s="692"/>
      <c r="D61" s="387">
        <f>E51</f>
        <v>735059.88</v>
      </c>
      <c r="E61" s="293">
        <f>'App.2-F_Detailed_OM&amp;A_Expenses'!$G$106</f>
        <v>831440.63</v>
      </c>
      <c r="F61" s="384">
        <f t="shared" si="6"/>
        <v>96380.75</v>
      </c>
      <c r="G61" s="382">
        <f t="shared" si="7"/>
        <v>0.13111958987613362</v>
      </c>
    </row>
    <row r="62" spans="2:7" ht="14.25" thickTop="1" thickBot="1" x14ac:dyDescent="0.25">
      <c r="B62" s="693" t="s">
        <v>352</v>
      </c>
      <c r="C62" s="694"/>
      <c r="D62" s="303">
        <f>SUM(D57:D61)</f>
        <v>2172052.65</v>
      </c>
      <c r="E62" s="167">
        <f>SUM(E57:E61)</f>
        <v>2498192.16</v>
      </c>
      <c r="F62" s="167">
        <f t="shared" si="6"/>
        <v>326139.51000000024</v>
      </c>
      <c r="G62" s="383">
        <f t="shared" si="7"/>
        <v>0.15015267240414282</v>
      </c>
    </row>
    <row r="63" spans="2:7" ht="13.5" thickBot="1" x14ac:dyDescent="0.25">
      <c r="B63" s="695" t="s">
        <v>353</v>
      </c>
      <c r="C63" s="696"/>
      <c r="D63" s="696"/>
      <c r="E63" s="696"/>
      <c r="F63" s="697"/>
      <c r="G63" s="385">
        <v>1.324E-2</v>
      </c>
    </row>
    <row r="64" spans="2:7" ht="13.5" thickBot="1" x14ac:dyDescent="0.25">
      <c r="B64" s="285"/>
      <c r="C64" s="285"/>
      <c r="D64" s="377"/>
      <c r="E64" s="377"/>
      <c r="F64" s="377"/>
      <c r="G64" s="378"/>
    </row>
    <row r="65" spans="2:7" x14ac:dyDescent="0.2">
      <c r="B65" s="698"/>
      <c r="C65" s="699"/>
      <c r="D65" s="388">
        <f>E55</f>
        <v>2009</v>
      </c>
      <c r="E65" s="166">
        <v>2010</v>
      </c>
      <c r="F65" s="143" t="s">
        <v>363</v>
      </c>
      <c r="G65" s="380" t="s">
        <v>365</v>
      </c>
    </row>
    <row r="66" spans="2:7" x14ac:dyDescent="0.2">
      <c r="B66" s="700"/>
      <c r="C66" s="701"/>
      <c r="D66" s="142" t="s">
        <v>362</v>
      </c>
      <c r="E66" s="142" t="s">
        <v>362</v>
      </c>
      <c r="F66" s="142" t="s">
        <v>364</v>
      </c>
      <c r="G66" s="381" t="s">
        <v>366</v>
      </c>
    </row>
    <row r="67" spans="2:7" x14ac:dyDescent="0.2">
      <c r="B67" s="689" t="s">
        <v>274</v>
      </c>
      <c r="C67" s="690"/>
      <c r="D67" s="386">
        <f>E57</f>
        <v>298927.28999999998</v>
      </c>
      <c r="E67" s="161">
        <f>'App.2-F_Detailed_OM&amp;A_Expenses'!$H$39</f>
        <v>236550.08000000002</v>
      </c>
      <c r="F67" s="27">
        <f t="shared" ref="F67:F72" si="8">E67-D67</f>
        <v>-62377.209999999963</v>
      </c>
      <c r="G67" s="379">
        <f t="shared" ref="G67:G72" si="9">IF(D67=0,"",F67/D67)</f>
        <v>-0.20867017527907863</v>
      </c>
    </row>
    <row r="68" spans="2:7" x14ac:dyDescent="0.2">
      <c r="B68" s="689" t="s">
        <v>277</v>
      </c>
      <c r="C68" s="690"/>
      <c r="D68" s="386">
        <f>E58</f>
        <v>506971.9</v>
      </c>
      <c r="E68" s="161">
        <f>'App.2-F_Detailed_OM&amp;A_Expenses'!$H$60</f>
        <v>308856.79000000004</v>
      </c>
      <c r="F68" s="27">
        <f t="shared" si="8"/>
        <v>-198115.11</v>
      </c>
      <c r="G68" s="379">
        <f t="shared" si="9"/>
        <v>-0.39078124448317547</v>
      </c>
    </row>
    <row r="69" spans="2:7" x14ac:dyDescent="0.2">
      <c r="B69" s="689" t="s">
        <v>217</v>
      </c>
      <c r="C69" s="690"/>
      <c r="D69" s="386">
        <f>E59</f>
        <v>846728.28</v>
      </c>
      <c r="E69" s="161">
        <f>'App.2-F_Detailed_OM&amp;A_Expenses'!$H$71</f>
        <v>710772.42999999993</v>
      </c>
      <c r="F69" s="27">
        <f t="shared" si="8"/>
        <v>-135955.85000000009</v>
      </c>
      <c r="G69" s="379">
        <f t="shared" si="9"/>
        <v>-0.16056609093061128</v>
      </c>
    </row>
    <row r="70" spans="2:7" x14ac:dyDescent="0.2">
      <c r="B70" s="689" t="s">
        <v>280</v>
      </c>
      <c r="C70" s="690"/>
      <c r="D70" s="386">
        <f>E60</f>
        <v>14124.060000000001</v>
      </c>
      <c r="E70" s="161">
        <f>'App.2-F_Detailed_OM&amp;A_Expenses'!$H$83</f>
        <v>15930.11</v>
      </c>
      <c r="F70" s="27">
        <f t="shared" si="8"/>
        <v>1806.0499999999993</v>
      </c>
      <c r="G70" s="379">
        <f t="shared" si="9"/>
        <v>0.12787045651179613</v>
      </c>
    </row>
    <row r="71" spans="2:7" ht="13.5" thickBot="1" x14ac:dyDescent="0.25">
      <c r="B71" s="691" t="s">
        <v>351</v>
      </c>
      <c r="C71" s="692"/>
      <c r="D71" s="387">
        <f>E61</f>
        <v>831440.63</v>
      </c>
      <c r="E71" s="293">
        <f>'App.2-F_Detailed_OM&amp;A_Expenses'!$H$106</f>
        <v>809794.68</v>
      </c>
      <c r="F71" s="384">
        <f t="shared" si="8"/>
        <v>-21645.949999999953</v>
      </c>
      <c r="G71" s="382">
        <f t="shared" si="9"/>
        <v>-2.6034270179940512E-2</v>
      </c>
    </row>
    <row r="72" spans="2:7" ht="14.25" thickTop="1" thickBot="1" x14ac:dyDescent="0.25">
      <c r="B72" s="693" t="s">
        <v>352</v>
      </c>
      <c r="C72" s="694"/>
      <c r="D72" s="303">
        <f>SUM(D67:D71)</f>
        <v>2498192.16</v>
      </c>
      <c r="E72" s="167">
        <f>SUM(E67:E71)</f>
        <v>2081904.0900000003</v>
      </c>
      <c r="F72" s="167">
        <f t="shared" si="8"/>
        <v>-416288.06999999983</v>
      </c>
      <c r="G72" s="383">
        <f t="shared" si="9"/>
        <v>-0.16663572829401554</v>
      </c>
    </row>
    <row r="73" spans="2:7" ht="13.5" thickBot="1" x14ac:dyDescent="0.25">
      <c r="B73" s="695" t="s">
        <v>353</v>
      </c>
      <c r="C73" s="696"/>
      <c r="D73" s="696"/>
      <c r="E73" s="696"/>
      <c r="F73" s="697"/>
      <c r="G73" s="385">
        <v>2.3519999999999999E-2</v>
      </c>
    </row>
    <row r="74" spans="2:7" ht="13.5" thickBot="1" x14ac:dyDescent="0.25">
      <c r="B74" s="285"/>
      <c r="C74" s="285"/>
      <c r="D74" s="377"/>
      <c r="E74" s="377"/>
      <c r="F74" s="377"/>
      <c r="G74" s="378"/>
    </row>
    <row r="75" spans="2:7" x14ac:dyDescent="0.2">
      <c r="B75" s="698"/>
      <c r="C75" s="699"/>
      <c r="D75" s="388">
        <f>E65</f>
        <v>2010</v>
      </c>
      <c r="E75" s="166">
        <v>2011</v>
      </c>
      <c r="F75" s="143" t="s">
        <v>363</v>
      </c>
      <c r="G75" s="380" t="s">
        <v>365</v>
      </c>
    </row>
    <row r="76" spans="2:7" x14ac:dyDescent="0.2">
      <c r="B76" s="700"/>
      <c r="C76" s="701"/>
      <c r="D76" s="142" t="s">
        <v>362</v>
      </c>
      <c r="E76" s="142" t="s">
        <v>362</v>
      </c>
      <c r="F76" s="142" t="s">
        <v>364</v>
      </c>
      <c r="G76" s="381" t="s">
        <v>366</v>
      </c>
    </row>
    <row r="77" spans="2:7" x14ac:dyDescent="0.2">
      <c r="B77" s="689" t="s">
        <v>274</v>
      </c>
      <c r="C77" s="690"/>
      <c r="D77" s="386">
        <f>E67</f>
        <v>236550.08000000002</v>
      </c>
      <c r="E77" s="161">
        <f>'App.2-F_Detailed_OM&amp;A_Expenses'!$I$39</f>
        <v>246823.08000000002</v>
      </c>
      <c r="F77" s="27">
        <f t="shared" ref="F77:F82" si="10">E77-D77</f>
        <v>10273</v>
      </c>
      <c r="G77" s="379">
        <f t="shared" ref="G77:G82" si="11">IF(D77=0,"",F77/D77)</f>
        <v>4.3428435957409098E-2</v>
      </c>
    </row>
    <row r="78" spans="2:7" x14ac:dyDescent="0.2">
      <c r="B78" s="689" t="s">
        <v>277</v>
      </c>
      <c r="C78" s="690"/>
      <c r="D78" s="386">
        <f>E68</f>
        <v>308856.79000000004</v>
      </c>
      <c r="E78" s="161">
        <f>'App.2-F_Detailed_OM&amp;A_Expenses'!$I$60</f>
        <v>522563.02</v>
      </c>
      <c r="F78" s="27">
        <f t="shared" si="10"/>
        <v>213706.22999999998</v>
      </c>
      <c r="G78" s="379">
        <f t="shared" si="11"/>
        <v>0.69192660455999677</v>
      </c>
    </row>
    <row r="79" spans="2:7" x14ac:dyDescent="0.2">
      <c r="B79" s="689" t="s">
        <v>217</v>
      </c>
      <c r="C79" s="690"/>
      <c r="D79" s="386">
        <f>E69</f>
        <v>710772.42999999993</v>
      </c>
      <c r="E79" s="161">
        <f>'App.2-F_Detailed_OM&amp;A_Expenses'!$I$71</f>
        <v>795381.03</v>
      </c>
      <c r="F79" s="27">
        <f t="shared" si="10"/>
        <v>84608.600000000093</v>
      </c>
      <c r="G79" s="379">
        <f t="shared" si="11"/>
        <v>0.11903753779532515</v>
      </c>
    </row>
    <row r="80" spans="2:7" x14ac:dyDescent="0.2">
      <c r="B80" s="689" t="s">
        <v>280</v>
      </c>
      <c r="C80" s="690"/>
      <c r="D80" s="386">
        <f>E70</f>
        <v>15930.11</v>
      </c>
      <c r="E80" s="161">
        <f>'App.2-F_Detailed_OM&amp;A_Expenses'!$I$83</f>
        <v>3794.8</v>
      </c>
      <c r="F80" s="27">
        <f t="shared" si="10"/>
        <v>-12135.310000000001</v>
      </c>
      <c r="G80" s="379">
        <f t="shared" si="11"/>
        <v>-0.76178444467740658</v>
      </c>
    </row>
    <row r="81" spans="2:7" ht="13.5" thickBot="1" x14ac:dyDescent="0.25">
      <c r="B81" s="691" t="s">
        <v>351</v>
      </c>
      <c r="C81" s="692"/>
      <c r="D81" s="387">
        <f>E71</f>
        <v>809794.68</v>
      </c>
      <c r="E81" s="293">
        <f>'App.2-F_Detailed_OM&amp;A_Expenses'!$I$106</f>
        <v>849160.31</v>
      </c>
      <c r="F81" s="384">
        <f t="shared" si="10"/>
        <v>39365.630000000005</v>
      </c>
      <c r="G81" s="382">
        <f t="shared" si="11"/>
        <v>4.8611865417540159E-2</v>
      </c>
    </row>
    <row r="82" spans="2:7" ht="14.25" thickTop="1" thickBot="1" x14ac:dyDescent="0.25">
      <c r="B82" s="693" t="s">
        <v>352</v>
      </c>
      <c r="C82" s="694"/>
      <c r="D82" s="303">
        <f>SUM(D77:D81)</f>
        <v>2081904.0900000003</v>
      </c>
      <c r="E82" s="167">
        <f>SUM(E77:E81)</f>
        <v>2417722.2400000002</v>
      </c>
      <c r="F82" s="167">
        <f t="shared" si="10"/>
        <v>335818.14999999991</v>
      </c>
      <c r="G82" s="383">
        <f t="shared" si="11"/>
        <v>0.16130337204918976</v>
      </c>
    </row>
    <row r="83" spans="2:7" ht="13.5" thickBot="1" x14ac:dyDescent="0.25">
      <c r="B83" s="695" t="s">
        <v>353</v>
      </c>
      <c r="C83" s="696"/>
      <c r="D83" s="696"/>
      <c r="E83" s="696"/>
      <c r="F83" s="697"/>
      <c r="G83" s="385">
        <v>2.298E-2</v>
      </c>
    </row>
    <row r="84" spans="2:7" ht="13.5" thickBot="1" x14ac:dyDescent="0.25">
      <c r="B84" s="285"/>
      <c r="C84" s="285"/>
      <c r="D84" s="377"/>
      <c r="E84" s="377"/>
      <c r="F84" s="377"/>
      <c r="G84" s="378"/>
    </row>
    <row r="85" spans="2:7" x14ac:dyDescent="0.2">
      <c r="B85" s="698"/>
      <c r="C85" s="699"/>
      <c r="D85" s="388">
        <f>E75</f>
        <v>2011</v>
      </c>
      <c r="E85" s="166">
        <v>2012</v>
      </c>
      <c r="F85" s="143" t="s">
        <v>363</v>
      </c>
      <c r="G85" s="380" t="s">
        <v>365</v>
      </c>
    </row>
    <row r="86" spans="2:7" x14ac:dyDescent="0.2">
      <c r="B86" s="700"/>
      <c r="C86" s="701"/>
      <c r="D86" s="142" t="s">
        <v>362</v>
      </c>
      <c r="E86" s="142" t="s">
        <v>171</v>
      </c>
      <c r="F86" s="142" t="s">
        <v>364</v>
      </c>
      <c r="G86" s="381" t="s">
        <v>366</v>
      </c>
    </row>
    <row r="87" spans="2:7" x14ac:dyDescent="0.2">
      <c r="B87" s="689" t="s">
        <v>274</v>
      </c>
      <c r="C87" s="690"/>
      <c r="D87" s="386">
        <f>E77</f>
        <v>246823.08000000002</v>
      </c>
      <c r="E87" s="161">
        <f>'App.2-F_Detailed_OM&amp;A_Expenses'!$J$39</f>
        <v>291000</v>
      </c>
      <c r="F87" s="27">
        <f t="shared" ref="F87:F92" si="12">E87-D87</f>
        <v>44176.919999999984</v>
      </c>
      <c r="G87" s="379">
        <f t="shared" ref="G87:G92" si="13">IF(D87=0,"",F87/D87)</f>
        <v>0.17898212760330184</v>
      </c>
    </row>
    <row r="88" spans="2:7" x14ac:dyDescent="0.2">
      <c r="B88" s="689" t="s">
        <v>277</v>
      </c>
      <c r="C88" s="690"/>
      <c r="D88" s="386">
        <f>E78</f>
        <v>522563.02</v>
      </c>
      <c r="E88" s="161">
        <f>'App.2-F_Detailed_OM&amp;A_Expenses'!$J$60</f>
        <v>455000</v>
      </c>
      <c r="F88" s="27">
        <f t="shared" si="12"/>
        <v>-67563.020000000019</v>
      </c>
      <c r="G88" s="379">
        <f t="shared" si="13"/>
        <v>-0.12929162113308365</v>
      </c>
    </row>
    <row r="89" spans="2:7" x14ac:dyDescent="0.2">
      <c r="B89" s="689" t="s">
        <v>217</v>
      </c>
      <c r="C89" s="690"/>
      <c r="D89" s="386">
        <f>E79</f>
        <v>795381.03</v>
      </c>
      <c r="E89" s="161">
        <f>'App.2-F_Detailed_OM&amp;A_Expenses'!$J$71</f>
        <v>775063.76</v>
      </c>
      <c r="F89" s="27">
        <f t="shared" si="12"/>
        <v>-20317.270000000019</v>
      </c>
      <c r="G89" s="379">
        <f t="shared" si="13"/>
        <v>-2.5544071625645908E-2</v>
      </c>
    </row>
    <row r="90" spans="2:7" x14ac:dyDescent="0.2">
      <c r="B90" s="689" t="s">
        <v>280</v>
      </c>
      <c r="C90" s="690"/>
      <c r="D90" s="386">
        <f>E80</f>
        <v>3794.8</v>
      </c>
      <c r="E90" s="161">
        <f>'App.2-F_Detailed_OM&amp;A_Expenses'!$J$83</f>
        <v>10000</v>
      </c>
      <c r="F90" s="27">
        <f t="shared" si="12"/>
        <v>6205.2</v>
      </c>
      <c r="G90" s="379">
        <f t="shared" si="13"/>
        <v>1.6351849899862969</v>
      </c>
    </row>
    <row r="91" spans="2:7" ht="13.5" thickBot="1" x14ac:dyDescent="0.25">
      <c r="B91" s="691" t="s">
        <v>351</v>
      </c>
      <c r="C91" s="692"/>
      <c r="D91" s="387">
        <f>E81</f>
        <v>849160.31</v>
      </c>
      <c r="E91" s="293">
        <f>'App.2-F_Detailed_OM&amp;A_Expenses'!$J$106</f>
        <v>1075445.5150000001</v>
      </c>
      <c r="F91" s="384">
        <f t="shared" si="12"/>
        <v>226285.20500000007</v>
      </c>
      <c r="G91" s="382">
        <f t="shared" si="13"/>
        <v>0.26648113711296756</v>
      </c>
    </row>
    <row r="92" spans="2:7" ht="14.25" thickTop="1" thickBot="1" x14ac:dyDescent="0.25">
      <c r="B92" s="693" t="s">
        <v>352</v>
      </c>
      <c r="C92" s="694"/>
      <c r="D92" s="303">
        <f>SUM(D87:D91)</f>
        <v>2417722.2400000002</v>
      </c>
      <c r="E92" s="167">
        <f>SUM(E87:E91)</f>
        <v>2606509.2750000004</v>
      </c>
      <c r="F92" s="167">
        <f t="shared" si="12"/>
        <v>188787.03500000015</v>
      </c>
      <c r="G92" s="383">
        <f t="shared" si="13"/>
        <v>7.8084666582708906E-2</v>
      </c>
    </row>
    <row r="93" spans="2:7" ht="13.5" thickBot="1" x14ac:dyDescent="0.25">
      <c r="B93" s="695" t="s">
        <v>353</v>
      </c>
      <c r="C93" s="696"/>
      <c r="D93" s="696"/>
      <c r="E93" s="696"/>
      <c r="F93" s="697"/>
      <c r="G93" s="385">
        <v>0.02</v>
      </c>
    </row>
    <row r="95" spans="2:7" x14ac:dyDescent="0.2">
      <c r="B95" s="52" t="s">
        <v>354</v>
      </c>
      <c r="C95" s="52" t="s">
        <v>355</v>
      </c>
      <c r="D95" s="52"/>
      <c r="E95" s="52"/>
      <c r="F95" s="52"/>
      <c r="G95" s="52"/>
    </row>
    <row r="97" spans="2:10" x14ac:dyDescent="0.2">
      <c r="B97" s="283" t="s">
        <v>356</v>
      </c>
      <c r="C97" s="52"/>
      <c r="D97" s="52"/>
    </row>
    <row r="98" spans="2:10" ht="13.5" thickBot="1" x14ac:dyDescent="0.25">
      <c r="B98" s="52"/>
    </row>
    <row r="99" spans="2:10" x14ac:dyDescent="0.2">
      <c r="B99" s="707"/>
      <c r="C99" s="699"/>
      <c r="D99" s="479">
        <v>2011</v>
      </c>
      <c r="E99" s="479">
        <f>E85</f>
        <v>2012</v>
      </c>
      <c r="F99" s="479" t="s">
        <v>363</v>
      </c>
      <c r="G99" s="480" t="s">
        <v>365</v>
      </c>
      <c r="J99" s="581"/>
    </row>
    <row r="100" spans="2:10" x14ac:dyDescent="0.2">
      <c r="B100" s="700"/>
      <c r="C100" s="701"/>
      <c r="D100" s="475" t="s">
        <v>362</v>
      </c>
      <c r="E100" s="475" t="s">
        <v>171</v>
      </c>
      <c r="F100" s="475" t="s">
        <v>364</v>
      </c>
      <c r="G100" s="476" t="s">
        <v>366</v>
      </c>
      <c r="J100" s="581"/>
    </row>
    <row r="101" spans="2:10" ht="25.5" customHeight="1" x14ac:dyDescent="0.2">
      <c r="B101" s="703" t="s">
        <v>137</v>
      </c>
      <c r="C101" s="704"/>
      <c r="D101" s="390">
        <f>D92</f>
        <v>2417722.2400000002</v>
      </c>
      <c r="E101" s="390">
        <f>E92</f>
        <v>2606509.2750000004</v>
      </c>
      <c r="F101" s="390">
        <f>E101-D101</f>
        <v>188787.03500000015</v>
      </c>
      <c r="G101" s="391">
        <f>IF(D101=0,"",F101/D101)</f>
        <v>7.8084666582708906E-2</v>
      </c>
      <c r="J101" s="581"/>
    </row>
    <row r="102" spans="2:10" x14ac:dyDescent="0.2">
      <c r="B102" s="708"/>
      <c r="C102" s="709"/>
      <c r="D102" s="477">
        <v>2006</v>
      </c>
      <c r="E102" s="477">
        <f>E99</f>
        <v>2012</v>
      </c>
      <c r="F102" s="477" t="str">
        <f>F99</f>
        <v>Variance</v>
      </c>
      <c r="G102" s="478" t="str">
        <f>G99</f>
        <v>Percentage Change</v>
      </c>
      <c r="J102" s="581"/>
    </row>
    <row r="103" spans="2:10" x14ac:dyDescent="0.2">
      <c r="B103" s="710"/>
      <c r="C103" s="711"/>
      <c r="D103" s="474" t="s">
        <v>361</v>
      </c>
      <c r="E103" s="475" t="s">
        <v>171</v>
      </c>
      <c r="F103" s="475" t="str">
        <f>F100</f>
        <v>$</v>
      </c>
      <c r="G103" s="476" t="str">
        <f>G100</f>
        <v>%</v>
      </c>
      <c r="J103" s="581"/>
    </row>
    <row r="104" spans="2:10" ht="25.5" customHeight="1" x14ac:dyDescent="0.2">
      <c r="B104" s="703" t="s">
        <v>357</v>
      </c>
      <c r="C104" s="704"/>
      <c r="D104" s="28">
        <f>D32</f>
        <v>1937606.5780357141</v>
      </c>
      <c r="E104" s="28">
        <f>E101</f>
        <v>2606509.2750000004</v>
      </c>
      <c r="F104" s="28">
        <f>E104-D104</f>
        <v>668902.69696428627</v>
      </c>
      <c r="G104" s="391">
        <f>IF(D104=0,"",F104/D104)</f>
        <v>0.34522111172970893</v>
      </c>
      <c r="J104" s="581"/>
    </row>
    <row r="105" spans="2:10" ht="25.5" customHeight="1" x14ac:dyDescent="0.2">
      <c r="B105" s="703" t="s">
        <v>358</v>
      </c>
      <c r="C105" s="704"/>
      <c r="D105" s="2"/>
      <c r="E105" s="2"/>
      <c r="F105" s="2"/>
      <c r="G105" s="391">
        <f>G104/6</f>
        <v>5.7536851954951486E-2</v>
      </c>
      <c r="J105" s="581"/>
    </row>
    <row r="106" spans="2:10" ht="24.75" customHeight="1" thickBot="1" x14ac:dyDescent="0.25">
      <c r="B106" s="705" t="s">
        <v>359</v>
      </c>
      <c r="C106" s="706"/>
      <c r="D106" s="392"/>
      <c r="E106" s="392"/>
      <c r="F106" s="392"/>
      <c r="G106" s="619">
        <f>POWER(E104/D104,1/6)-1</f>
        <v>5.0668259288598305E-2</v>
      </c>
    </row>
    <row r="108" spans="2:10" x14ac:dyDescent="0.2">
      <c r="B108" s="52" t="s">
        <v>367</v>
      </c>
      <c r="C108" s="702" t="s">
        <v>422</v>
      </c>
      <c r="D108" s="702"/>
      <c r="E108" s="702"/>
      <c r="F108" s="702"/>
      <c r="G108" s="702"/>
    </row>
    <row r="109" spans="2:10" x14ac:dyDescent="0.2">
      <c r="C109" s="702"/>
      <c r="D109" s="702"/>
      <c r="E109" s="702"/>
      <c r="F109" s="702"/>
      <c r="G109" s="702"/>
    </row>
    <row r="110" spans="2:10" x14ac:dyDescent="0.2">
      <c r="C110" s="702"/>
      <c r="D110" s="702"/>
      <c r="E110" s="702"/>
      <c r="F110" s="702"/>
      <c r="G110" s="702"/>
    </row>
    <row r="111" spans="2:10" x14ac:dyDescent="0.2">
      <c r="C111" s="702"/>
      <c r="D111" s="702"/>
      <c r="E111" s="702"/>
      <c r="F111" s="702"/>
      <c r="G111" s="702"/>
    </row>
    <row r="112" spans="2:10" ht="3.75" customHeight="1" x14ac:dyDescent="0.2">
      <c r="C112" s="702"/>
      <c r="D112" s="702"/>
      <c r="E112" s="702"/>
      <c r="F112" s="702"/>
      <c r="G112" s="702"/>
    </row>
  </sheetData>
  <mergeCells count="65">
    <mergeCell ref="B9:G9"/>
    <mergeCell ref="B10:G10"/>
    <mergeCell ref="B101:C101"/>
    <mergeCell ref="B104:C104"/>
    <mergeCell ref="B90:C90"/>
    <mergeCell ref="C108:G112"/>
    <mergeCell ref="B105:C105"/>
    <mergeCell ref="B106:C106"/>
    <mergeCell ref="B99:C100"/>
    <mergeCell ref="B102:C103"/>
    <mergeCell ref="B92:C92"/>
    <mergeCell ref="B93:F93"/>
    <mergeCell ref="B85:C86"/>
    <mergeCell ref="B87:C87"/>
    <mergeCell ref="B88:C88"/>
    <mergeCell ref="B89:C89"/>
    <mergeCell ref="B80:C80"/>
    <mergeCell ref="B81:C81"/>
    <mergeCell ref="B82:C82"/>
    <mergeCell ref="B83:F83"/>
    <mergeCell ref="B91:C91"/>
    <mergeCell ref="B73:F73"/>
    <mergeCell ref="B75:C76"/>
    <mergeCell ref="B77:C77"/>
    <mergeCell ref="B78:C78"/>
    <mergeCell ref="B79:C79"/>
    <mergeCell ref="B68:C68"/>
    <mergeCell ref="B69:C69"/>
    <mergeCell ref="B70:C70"/>
    <mergeCell ref="B71:C71"/>
    <mergeCell ref="B72:C72"/>
    <mergeCell ref="B61:C61"/>
    <mergeCell ref="B62:C62"/>
    <mergeCell ref="B63:F63"/>
    <mergeCell ref="B65:C66"/>
    <mergeCell ref="B67:C67"/>
    <mergeCell ref="B55:C56"/>
    <mergeCell ref="B57:C57"/>
    <mergeCell ref="B58:C58"/>
    <mergeCell ref="B59:C59"/>
    <mergeCell ref="B60:C60"/>
    <mergeCell ref="B31:C31"/>
    <mergeCell ref="B51:C51"/>
    <mergeCell ref="B52:C52"/>
    <mergeCell ref="B45:C46"/>
    <mergeCell ref="B53:F53"/>
    <mergeCell ref="B47:C47"/>
    <mergeCell ref="B48:C48"/>
    <mergeCell ref="B49:C49"/>
    <mergeCell ref="B50:C50"/>
    <mergeCell ref="B25:C26"/>
    <mergeCell ref="B27:C27"/>
    <mergeCell ref="B28:C28"/>
    <mergeCell ref="B29:C29"/>
    <mergeCell ref="B30:C30"/>
    <mergeCell ref="B40:C40"/>
    <mergeCell ref="B41:C41"/>
    <mergeCell ref="B42:C42"/>
    <mergeCell ref="B43:F43"/>
    <mergeCell ref="B32:C32"/>
    <mergeCell ref="B33:F33"/>
    <mergeCell ref="B35:C36"/>
    <mergeCell ref="B37:C37"/>
    <mergeCell ref="B38:C38"/>
    <mergeCell ref="B39:C39"/>
  </mergeCells>
  <phoneticPr fontId="3" type="noConversion"/>
  <dataValidations disablePrompts="1" count="1">
    <dataValidation allowBlank="1" showInputMessage="1" showErrorMessage="1" promptTitle="Date Format" prompt="E.g:  &quot;August 1, 2011&quot;" sqref="G7"/>
  </dataValidations>
  <pageMargins left="0.75" right="0.75" top="1" bottom="1" header="0.5" footer="0.5"/>
  <pageSetup scale="97" fitToHeight="0" orientation="portrait" r:id="rId1"/>
  <headerFooter alignWithMargins="0"/>
  <rowBreaks count="2" manualBreakCount="2">
    <brk id="64" max="6" man="1"/>
    <brk id="9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topLeftCell="A13" zoomScaleNormal="100" workbookViewId="0">
      <selection activeCell="J16" sqref="J16"/>
    </sheetView>
  </sheetViews>
  <sheetFormatPr defaultRowHeight="12.75" x14ac:dyDescent="0.2"/>
  <cols>
    <col min="1" max="1" width="2.42578125" customWidth="1"/>
    <col min="3" max="3" width="26.7109375" customWidth="1"/>
    <col min="4" max="4" width="10.5703125" customWidth="1"/>
    <col min="5" max="16" width="12.7109375" customWidth="1"/>
  </cols>
  <sheetData>
    <row r="1" spans="2:16" x14ac:dyDescent="0.2">
      <c r="O1" s="52" t="s">
        <v>581</v>
      </c>
      <c r="P1" s="151" t="s">
        <v>170</v>
      </c>
    </row>
    <row r="2" spans="2:16" x14ac:dyDescent="0.2">
      <c r="O2" s="52" t="s">
        <v>582</v>
      </c>
      <c r="P2" s="151" t="s">
        <v>587</v>
      </c>
    </row>
    <row r="3" spans="2:16" x14ac:dyDescent="0.2">
      <c r="O3" s="52" t="s">
        <v>583</v>
      </c>
      <c r="P3" s="151" t="s">
        <v>588</v>
      </c>
    </row>
    <row r="4" spans="2:16" x14ac:dyDescent="0.2">
      <c r="O4" s="52" t="s">
        <v>584</v>
      </c>
      <c r="P4" s="151" t="s">
        <v>589</v>
      </c>
    </row>
    <row r="5" spans="2:16" x14ac:dyDescent="0.2">
      <c r="O5" s="52" t="s">
        <v>585</v>
      </c>
      <c r="P5" s="151" t="s">
        <v>590</v>
      </c>
    </row>
    <row r="6" spans="2:16" x14ac:dyDescent="0.2">
      <c r="O6" s="52"/>
    </row>
    <row r="7" spans="2:16" x14ac:dyDescent="0.2">
      <c r="O7" s="52" t="s">
        <v>586</v>
      </c>
      <c r="P7" s="472"/>
    </row>
    <row r="9" spans="2:16" ht="18" x14ac:dyDescent="0.25">
      <c r="B9" s="659" t="s">
        <v>26</v>
      </c>
      <c r="C9" s="659"/>
      <c r="D9" s="659"/>
      <c r="E9" s="659"/>
      <c r="F9" s="659"/>
      <c r="G9" s="659"/>
      <c r="H9" s="659"/>
      <c r="I9" s="659"/>
      <c r="J9" s="659"/>
      <c r="K9" s="659"/>
      <c r="L9" s="659"/>
      <c r="M9" s="659"/>
      <c r="N9" s="659"/>
      <c r="O9" s="659"/>
      <c r="P9" s="659"/>
    </row>
    <row r="10" spans="2:16" ht="18" x14ac:dyDescent="0.25">
      <c r="B10" s="659" t="s">
        <v>25</v>
      </c>
      <c r="C10" s="659"/>
      <c r="D10" s="659"/>
      <c r="E10" s="659"/>
      <c r="F10" s="659"/>
      <c r="G10" s="659"/>
      <c r="H10" s="659"/>
      <c r="I10" s="659"/>
      <c r="J10" s="659"/>
      <c r="K10" s="659"/>
      <c r="L10" s="659"/>
      <c r="M10" s="659"/>
      <c r="N10" s="659"/>
      <c r="O10" s="659"/>
      <c r="P10" s="659"/>
    </row>
    <row r="12" spans="2:16" ht="24.75" customHeight="1" x14ac:dyDescent="0.2">
      <c r="B12" s="657" t="s">
        <v>429</v>
      </c>
      <c r="C12" s="657"/>
      <c r="D12" s="657"/>
      <c r="E12" s="657"/>
      <c r="F12" s="657"/>
      <c r="G12" s="657"/>
      <c r="H12" s="657"/>
      <c r="I12" s="657"/>
      <c r="J12" s="657"/>
      <c r="K12" s="657"/>
      <c r="L12" s="657"/>
      <c r="M12" s="657"/>
      <c r="N12" s="657"/>
      <c r="O12" s="657"/>
      <c r="P12" s="657"/>
    </row>
    <row r="14" spans="2:16" x14ac:dyDescent="0.2">
      <c r="E14" s="52" t="s">
        <v>27</v>
      </c>
      <c r="F14" s="151">
        <v>2006</v>
      </c>
      <c r="G14" s="623" t="s">
        <v>30</v>
      </c>
    </row>
    <row r="15" spans="2:16" ht="13.5" thickBot="1" x14ac:dyDescent="0.25"/>
    <row r="16" spans="2:16" ht="38.25" x14ac:dyDescent="0.2">
      <c r="B16" s="155" t="s">
        <v>28</v>
      </c>
      <c r="C16" s="156" t="s">
        <v>528</v>
      </c>
      <c r="D16" s="156" t="s">
        <v>526</v>
      </c>
      <c r="E16" s="624" t="s">
        <v>732</v>
      </c>
      <c r="F16" s="625" t="s">
        <v>786</v>
      </c>
      <c r="G16" s="160" t="s">
        <v>733</v>
      </c>
      <c r="H16" s="160" t="s">
        <v>734</v>
      </c>
      <c r="I16" s="625" t="s">
        <v>735</v>
      </c>
      <c r="J16" s="625" t="s">
        <v>787</v>
      </c>
      <c r="K16" s="625" t="s">
        <v>736</v>
      </c>
      <c r="L16" s="625" t="s">
        <v>783</v>
      </c>
      <c r="M16" s="625" t="s">
        <v>724</v>
      </c>
      <c r="N16" s="160" t="s">
        <v>737</v>
      </c>
      <c r="O16" s="160" t="s">
        <v>738</v>
      </c>
      <c r="P16" s="626" t="s">
        <v>573</v>
      </c>
    </row>
    <row r="17" spans="2:16" x14ac:dyDescent="0.2">
      <c r="B17" s="627">
        <v>1830</v>
      </c>
      <c r="C17" s="622" t="s">
        <v>719</v>
      </c>
      <c r="D17" s="159"/>
      <c r="E17" s="628"/>
      <c r="F17" s="628">
        <f>495.72+474.36</f>
        <v>970.08</v>
      </c>
      <c r="G17" s="628"/>
      <c r="H17" s="628"/>
      <c r="I17" s="628"/>
      <c r="J17" s="628"/>
      <c r="K17" s="628"/>
      <c r="L17" s="628">
        <v>15765</v>
      </c>
      <c r="M17" s="628">
        <v>436</v>
      </c>
      <c r="N17" s="629"/>
      <c r="O17" s="628">
        <v>10555</v>
      </c>
      <c r="P17" s="630">
        <f>SUM(E17:O17)</f>
        <v>27726.080000000002</v>
      </c>
    </row>
    <row r="18" spans="2:16" ht="25.5" x14ac:dyDescent="0.2">
      <c r="B18" s="627">
        <v>1835</v>
      </c>
      <c r="C18" s="622" t="s">
        <v>463</v>
      </c>
      <c r="D18" s="159"/>
      <c r="E18" s="628"/>
      <c r="F18" s="628">
        <f>980.18+937.94</f>
        <v>1918.12</v>
      </c>
      <c r="G18" s="628"/>
      <c r="H18" s="628"/>
      <c r="I18" s="628"/>
      <c r="J18" s="628"/>
      <c r="K18" s="628"/>
      <c r="L18" s="628">
        <v>1131</v>
      </c>
      <c r="M18" s="628">
        <v>3747</v>
      </c>
      <c r="N18" s="629"/>
      <c r="O18" s="628">
        <v>65307</v>
      </c>
      <c r="P18" s="630">
        <f>SUM(E18:O18)</f>
        <v>72103.12</v>
      </c>
    </row>
    <row r="19" spans="2:16" x14ac:dyDescent="0.2">
      <c r="B19" s="627">
        <v>1840</v>
      </c>
      <c r="C19" s="622" t="s">
        <v>464</v>
      </c>
      <c r="D19" s="159"/>
      <c r="E19" s="628">
        <f>948.6+626.08+3943.76</f>
        <v>5518.4400000000005</v>
      </c>
      <c r="F19" s="628">
        <f>7738.9+7405.38+15289.64</f>
        <v>30433.919999999998</v>
      </c>
      <c r="G19" s="628">
        <f>2587.7+1859.83+6701.2</f>
        <v>11148.73</v>
      </c>
      <c r="H19" s="628">
        <f>1580.77+1335.9+13724.56</f>
        <v>16641.23</v>
      </c>
      <c r="I19" s="628">
        <f>2070.91+951.34+12637.12</f>
        <v>15659.37</v>
      </c>
      <c r="J19" s="628">
        <f>3660+990.53+1087.97</f>
        <v>5738.5</v>
      </c>
      <c r="K19" s="628">
        <f>1168.15+863.95+11287.29</f>
        <v>13319.390000000001</v>
      </c>
      <c r="L19" s="628">
        <v>12373</v>
      </c>
      <c r="M19" s="628"/>
      <c r="N19" s="628"/>
      <c r="O19" s="628">
        <v>21147</v>
      </c>
      <c r="P19" s="630">
        <f t="shared" ref="P19:P33" si="0">SUM(E19:O19)</f>
        <v>131979.57999999999</v>
      </c>
    </row>
    <row r="20" spans="2:16" ht="25.5" x14ac:dyDescent="0.2">
      <c r="B20" s="627">
        <v>1845</v>
      </c>
      <c r="C20" s="622" t="s">
        <v>465</v>
      </c>
      <c r="D20" s="159"/>
      <c r="E20" s="628">
        <f>12240.53+8078.84</f>
        <v>20319.370000000003</v>
      </c>
      <c r="F20" s="628">
        <f>19987.38+19125.99</f>
        <v>39113.370000000003</v>
      </c>
      <c r="G20" s="628">
        <f>16743.51+12033.87</f>
        <v>28777.379999999997</v>
      </c>
      <c r="H20" s="628">
        <f>16973.93+14344.62</f>
        <v>31318.550000000003</v>
      </c>
      <c r="I20" s="628">
        <f>29348.11+13481.96</f>
        <v>42830.07</v>
      </c>
      <c r="J20" s="628"/>
      <c r="K20" s="628">
        <f>12827.27+9486.92</f>
        <v>22314.190000000002</v>
      </c>
      <c r="L20" s="628">
        <v>12373</v>
      </c>
      <c r="M20" s="628"/>
      <c r="N20" s="628"/>
      <c r="O20" s="628">
        <v>10889</v>
      </c>
      <c r="P20" s="630">
        <f t="shared" si="0"/>
        <v>207934.93</v>
      </c>
    </row>
    <row r="21" spans="2:16" x14ac:dyDescent="0.2">
      <c r="B21" s="627">
        <v>1850</v>
      </c>
      <c r="C21" s="622" t="s">
        <v>541</v>
      </c>
      <c r="D21" s="159"/>
      <c r="E21" s="628">
        <f>5975.33</f>
        <v>5975.33</v>
      </c>
      <c r="F21" s="628">
        <f>15978.25</f>
        <v>15978.25</v>
      </c>
      <c r="G21" s="628">
        <f>9323.81</f>
        <v>9323.81</v>
      </c>
      <c r="H21" s="628">
        <f>16240.22</f>
        <v>16240.22</v>
      </c>
      <c r="I21" s="628">
        <f>27509.02</f>
        <v>27509.02</v>
      </c>
      <c r="J21" s="628">
        <f>4020.01</f>
        <v>4020.01</v>
      </c>
      <c r="K21" s="628">
        <f>15261.55</f>
        <v>15261.55</v>
      </c>
      <c r="L21" s="628"/>
      <c r="M21" s="628"/>
      <c r="N21" s="628">
        <v>-37823</v>
      </c>
      <c r="O21" s="628"/>
      <c r="P21" s="630">
        <f t="shared" si="0"/>
        <v>56485.19</v>
      </c>
    </row>
    <row r="22" spans="2:16" x14ac:dyDescent="0.2">
      <c r="B22" s="627">
        <v>1855</v>
      </c>
      <c r="C22" s="622" t="s">
        <v>720</v>
      </c>
      <c r="D22" s="159"/>
      <c r="E22" s="628"/>
      <c r="F22" s="628"/>
      <c r="G22" s="628">
        <f>141.16+101.45</f>
        <v>242.61</v>
      </c>
      <c r="H22" s="628"/>
      <c r="I22" s="628">
        <f>26500.24+12173.71</f>
        <v>38673.949999999997</v>
      </c>
      <c r="J22" s="628"/>
      <c r="K22" s="628">
        <f>11951.09+8838.9</f>
        <v>20789.989999999998</v>
      </c>
      <c r="L22" s="628"/>
      <c r="M22" s="628"/>
      <c r="N22" s="628">
        <v>28385</v>
      </c>
      <c r="O22" s="628"/>
      <c r="P22" s="630">
        <f t="shared" si="0"/>
        <v>88091.549999999988</v>
      </c>
    </row>
    <row r="23" spans="2:16" x14ac:dyDescent="0.2">
      <c r="B23" s="627">
        <v>1860</v>
      </c>
      <c r="C23" s="573" t="s">
        <v>542</v>
      </c>
      <c r="D23" s="159"/>
      <c r="E23" s="628"/>
      <c r="F23" s="628"/>
      <c r="G23" s="628">
        <f>369.36+265.47</f>
        <v>634.83000000000004</v>
      </c>
      <c r="H23" s="628"/>
      <c r="I23" s="628"/>
      <c r="J23" s="628"/>
      <c r="K23" s="628"/>
      <c r="L23" s="628"/>
      <c r="M23" s="628"/>
      <c r="N23" s="628">
        <v>51426</v>
      </c>
      <c r="O23" s="628"/>
      <c r="P23" s="630">
        <f t="shared" si="0"/>
        <v>52060.83</v>
      </c>
    </row>
    <row r="24" spans="2:16" x14ac:dyDescent="0.2">
      <c r="B24" s="627">
        <v>1905</v>
      </c>
      <c r="C24" s="573" t="s">
        <v>536</v>
      </c>
      <c r="D24" s="159"/>
      <c r="E24" s="628"/>
      <c r="F24" s="628"/>
      <c r="G24" s="628"/>
      <c r="H24" s="628"/>
      <c r="I24" s="628"/>
      <c r="J24" s="628"/>
      <c r="K24" s="628"/>
      <c r="L24" s="628"/>
      <c r="M24" s="628"/>
      <c r="N24" s="628">
        <v>17500</v>
      </c>
      <c r="O24" s="628"/>
      <c r="P24" s="630">
        <f t="shared" si="0"/>
        <v>17500</v>
      </c>
    </row>
    <row r="25" spans="2:16" x14ac:dyDescent="0.2">
      <c r="B25" s="627">
        <v>1908</v>
      </c>
      <c r="C25" s="573" t="s">
        <v>546</v>
      </c>
      <c r="D25" s="159"/>
      <c r="E25" s="628"/>
      <c r="F25" s="628"/>
      <c r="G25" s="628"/>
      <c r="H25" s="628"/>
      <c r="I25" s="628"/>
      <c r="J25" s="628"/>
      <c r="K25" s="628"/>
      <c r="L25" s="628"/>
      <c r="M25" s="628"/>
      <c r="N25" s="628"/>
      <c r="O25" s="628"/>
      <c r="P25" s="630">
        <f t="shared" si="0"/>
        <v>0</v>
      </c>
    </row>
    <row r="26" spans="2:16" ht="24" customHeight="1" x14ac:dyDescent="0.2">
      <c r="B26" s="627">
        <v>1915</v>
      </c>
      <c r="C26" s="573" t="s">
        <v>750</v>
      </c>
      <c r="D26" s="159"/>
      <c r="E26" s="628"/>
      <c r="F26" s="628"/>
      <c r="G26" s="628"/>
      <c r="H26" s="628"/>
      <c r="I26" s="628"/>
      <c r="J26" s="628"/>
      <c r="K26" s="628"/>
      <c r="L26" s="628"/>
      <c r="M26" s="628"/>
      <c r="N26" s="628">
        <v>9954</v>
      </c>
      <c r="O26" s="628"/>
      <c r="P26" s="630">
        <f t="shared" si="0"/>
        <v>9954</v>
      </c>
    </row>
    <row r="27" spans="2:16" x14ac:dyDescent="0.2">
      <c r="B27" s="627">
        <v>1920</v>
      </c>
      <c r="C27" s="573" t="s">
        <v>730</v>
      </c>
      <c r="D27" s="159"/>
      <c r="E27" s="628"/>
      <c r="F27" s="628"/>
      <c r="G27" s="628"/>
      <c r="H27" s="628"/>
      <c r="I27" s="628"/>
      <c r="J27" s="628"/>
      <c r="K27" s="628"/>
      <c r="L27" s="628"/>
      <c r="M27" s="628"/>
      <c r="N27" s="628">
        <v>3980</v>
      </c>
      <c r="O27" s="628"/>
      <c r="P27" s="630">
        <f t="shared" si="0"/>
        <v>3980</v>
      </c>
    </row>
    <row r="28" spans="2:16" x14ac:dyDescent="0.2">
      <c r="B28" s="627">
        <v>1925</v>
      </c>
      <c r="C28" s="573" t="s">
        <v>563</v>
      </c>
      <c r="D28" s="159"/>
      <c r="E28" s="628"/>
      <c r="F28" s="628"/>
      <c r="G28" s="628"/>
      <c r="H28" s="628"/>
      <c r="I28" s="628"/>
      <c r="J28" s="628"/>
      <c r="K28" s="628"/>
      <c r="L28" s="628"/>
      <c r="M28" s="628"/>
      <c r="N28" s="628"/>
      <c r="O28" s="628"/>
      <c r="P28" s="630">
        <f t="shared" si="0"/>
        <v>0</v>
      </c>
    </row>
    <row r="29" spans="2:16" x14ac:dyDescent="0.2">
      <c r="B29" s="627">
        <v>1930</v>
      </c>
      <c r="C29" s="573" t="s">
        <v>721</v>
      </c>
      <c r="D29" s="159"/>
      <c r="E29" s="628"/>
      <c r="F29" s="628"/>
      <c r="G29" s="628"/>
      <c r="H29" s="628"/>
      <c r="I29" s="628"/>
      <c r="J29" s="628"/>
      <c r="K29" s="628"/>
      <c r="L29" s="628"/>
      <c r="M29" s="628"/>
      <c r="N29" s="628">
        <v>16096</v>
      </c>
      <c r="O29" s="628"/>
      <c r="P29" s="630">
        <f t="shared" si="0"/>
        <v>16096</v>
      </c>
    </row>
    <row r="30" spans="2:16" x14ac:dyDescent="0.2">
      <c r="B30" s="627">
        <v>1940</v>
      </c>
      <c r="C30" s="573" t="s">
        <v>722</v>
      </c>
      <c r="D30" s="159"/>
      <c r="E30" s="628"/>
      <c r="F30" s="628"/>
      <c r="G30" s="628"/>
      <c r="H30" s="628"/>
      <c r="I30" s="628"/>
      <c r="J30" s="628"/>
      <c r="K30" s="628"/>
      <c r="L30" s="628"/>
      <c r="M30" s="628"/>
      <c r="N30" s="628">
        <v>8255</v>
      </c>
      <c r="O30" s="628"/>
      <c r="P30" s="630">
        <f t="shared" si="0"/>
        <v>8255</v>
      </c>
    </row>
    <row r="31" spans="2:16" x14ac:dyDescent="0.2">
      <c r="B31" s="631">
        <v>1955</v>
      </c>
      <c r="C31" s="632" t="s">
        <v>749</v>
      </c>
      <c r="D31" s="159"/>
      <c r="E31" s="628"/>
      <c r="F31" s="628"/>
      <c r="G31" s="628"/>
      <c r="H31" s="628"/>
      <c r="I31" s="628"/>
      <c r="J31" s="628"/>
      <c r="K31" s="628"/>
      <c r="L31" s="628"/>
      <c r="M31" s="628"/>
      <c r="N31" s="628">
        <v>2595</v>
      </c>
      <c r="O31" s="628"/>
      <c r="P31" s="630">
        <f t="shared" si="0"/>
        <v>2595</v>
      </c>
    </row>
    <row r="32" spans="2:16" ht="26.25" thickBot="1" x14ac:dyDescent="0.25">
      <c r="B32" s="631">
        <v>1995</v>
      </c>
      <c r="C32" s="633" t="s">
        <v>29</v>
      </c>
      <c r="D32" s="159"/>
      <c r="E32" s="628">
        <v>-51003.89</v>
      </c>
      <c r="F32" s="628">
        <v>-82658.27</v>
      </c>
      <c r="G32" s="628">
        <v>-76816.25</v>
      </c>
      <c r="H32" s="628">
        <v>-83591.64</v>
      </c>
      <c r="I32" s="628">
        <v>0</v>
      </c>
      <c r="J32" s="628">
        <v>0</v>
      </c>
      <c r="K32" s="628">
        <v>0</v>
      </c>
      <c r="L32" s="628"/>
      <c r="M32" s="628"/>
      <c r="N32" s="628">
        <v>-97928</v>
      </c>
      <c r="O32" s="628"/>
      <c r="P32" s="630">
        <f t="shared" si="0"/>
        <v>-391998.05</v>
      </c>
    </row>
    <row r="33" spans="2:16" ht="14.25" thickTop="1" thickBot="1" x14ac:dyDescent="0.25">
      <c r="B33" s="631"/>
      <c r="C33" s="634"/>
      <c r="D33" s="171"/>
      <c r="E33" s="635"/>
      <c r="F33" s="636"/>
      <c r="G33" s="635"/>
      <c r="H33" s="635"/>
      <c r="I33" s="635"/>
      <c r="J33" s="635"/>
      <c r="K33" s="635"/>
      <c r="L33" s="635"/>
      <c r="M33" s="635"/>
      <c r="N33" s="635"/>
      <c r="O33" s="636"/>
      <c r="P33" s="637">
        <f t="shared" si="0"/>
        <v>0</v>
      </c>
    </row>
    <row r="34" spans="2:16" ht="14.25" thickTop="1" thickBot="1" x14ac:dyDescent="0.25">
      <c r="B34" s="638" t="s">
        <v>573</v>
      </c>
      <c r="C34" s="639"/>
      <c r="D34" s="639"/>
      <c r="E34" s="640">
        <f t="shared" ref="E34:N34" si="1">SUM(E17:E33)</f>
        <v>-19190.749999999993</v>
      </c>
      <c r="F34" s="641">
        <f t="shared" si="1"/>
        <v>5755.4699999999866</v>
      </c>
      <c r="G34" s="640">
        <f t="shared" si="1"/>
        <v>-26688.89</v>
      </c>
      <c r="H34" s="640">
        <f t="shared" si="1"/>
        <v>-19391.64</v>
      </c>
      <c r="I34" s="640">
        <f t="shared" si="1"/>
        <v>124672.41</v>
      </c>
      <c r="J34" s="640">
        <f t="shared" si="1"/>
        <v>9758.51</v>
      </c>
      <c r="K34" s="640">
        <f t="shared" si="1"/>
        <v>71685.119999999995</v>
      </c>
      <c r="L34" s="640">
        <f t="shared" si="1"/>
        <v>41642</v>
      </c>
      <c r="M34" s="640">
        <f t="shared" si="1"/>
        <v>4183</v>
      </c>
      <c r="N34" s="640">
        <f t="shared" si="1"/>
        <v>2440</v>
      </c>
      <c r="O34" s="640">
        <f>SUM(O17:O33)</f>
        <v>107898</v>
      </c>
      <c r="P34" s="642">
        <f>SUM(E34:O34)</f>
        <v>302763.23</v>
      </c>
    </row>
    <row r="39" spans="2:16" x14ac:dyDescent="0.2">
      <c r="B39" s="52" t="s">
        <v>562</v>
      </c>
    </row>
  </sheetData>
  <mergeCells count="3">
    <mergeCell ref="B9:P9"/>
    <mergeCell ref="B10:P10"/>
    <mergeCell ref="B12:P12"/>
  </mergeCells>
  <dataValidations count="1">
    <dataValidation allowBlank="1" showInputMessage="1" showErrorMessage="1" promptTitle="Date Format" prompt="E.g:  &quot;August 1, 2011&quot;" sqref="P7"/>
  </dataValidations>
  <pageMargins left="0.75" right="0.75" top="1" bottom="1" header="0.5" footer="0.5"/>
  <pageSetup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J109"/>
  <sheetViews>
    <sheetView showGridLines="0" topLeftCell="A89" zoomScaleNormal="100" workbookViewId="0">
      <selection activeCell="J108" sqref="J108"/>
    </sheetView>
  </sheetViews>
  <sheetFormatPr defaultRowHeight="12.75" x14ac:dyDescent="0.2"/>
  <cols>
    <col min="1" max="1" width="2.7109375" customWidth="1"/>
    <col min="3" max="3" width="67.140625" customWidth="1"/>
    <col min="4" max="10" width="12.7109375" customWidth="1"/>
  </cols>
  <sheetData>
    <row r="1" spans="2:10" x14ac:dyDescent="0.2">
      <c r="I1" s="52" t="s">
        <v>581</v>
      </c>
      <c r="J1" s="151" t="s">
        <v>170</v>
      </c>
    </row>
    <row r="2" spans="2:10" x14ac:dyDescent="0.2">
      <c r="I2" s="52" t="s">
        <v>582</v>
      </c>
      <c r="J2" s="151" t="s">
        <v>587</v>
      </c>
    </row>
    <row r="3" spans="2:10" x14ac:dyDescent="0.2">
      <c r="I3" s="52" t="s">
        <v>583</v>
      </c>
      <c r="J3" s="151" t="s">
        <v>588</v>
      </c>
    </row>
    <row r="4" spans="2:10" x14ac:dyDescent="0.2">
      <c r="I4" s="52" t="s">
        <v>584</v>
      </c>
      <c r="J4" s="151" t="s">
        <v>589</v>
      </c>
    </row>
    <row r="5" spans="2:10" x14ac:dyDescent="0.2">
      <c r="I5" s="52" t="s">
        <v>585</v>
      </c>
      <c r="J5" s="151" t="s">
        <v>590</v>
      </c>
    </row>
    <row r="6" spans="2:10" x14ac:dyDescent="0.2">
      <c r="I6" s="52"/>
    </row>
    <row r="7" spans="2:10" x14ac:dyDescent="0.2">
      <c r="I7" s="52" t="s">
        <v>586</v>
      </c>
      <c r="J7" s="472"/>
    </row>
    <row r="9" spans="2:10" ht="18" x14ac:dyDescent="0.25">
      <c r="B9" s="659" t="s">
        <v>273</v>
      </c>
      <c r="C9" s="659"/>
      <c r="D9" s="659"/>
      <c r="E9" s="659"/>
      <c r="F9" s="659"/>
      <c r="G9" s="659"/>
      <c r="H9" s="659"/>
      <c r="I9" s="659"/>
      <c r="J9" s="659"/>
    </row>
    <row r="10" spans="2:10" ht="18" x14ac:dyDescent="0.25">
      <c r="B10" s="659" t="s">
        <v>220</v>
      </c>
      <c r="C10" s="659"/>
      <c r="D10" s="659"/>
      <c r="E10" s="659"/>
      <c r="F10" s="659"/>
      <c r="G10" s="659"/>
      <c r="H10" s="659"/>
      <c r="I10" s="659"/>
      <c r="J10" s="659"/>
    </row>
    <row r="11" spans="2:10" ht="15.75" x14ac:dyDescent="0.25">
      <c r="B11" s="719" t="s">
        <v>275</v>
      </c>
      <c r="C11" s="719"/>
      <c r="D11" s="719"/>
      <c r="E11" s="719"/>
      <c r="F11" s="719"/>
      <c r="G11" s="719"/>
      <c r="H11" s="719"/>
      <c r="I11" s="719"/>
      <c r="J11" s="719"/>
    </row>
    <row r="13" spans="2:10" ht="13.5" thickBot="1" x14ac:dyDescent="0.25"/>
    <row r="14" spans="2:10" ht="13.5" customHeight="1" x14ac:dyDescent="0.2">
      <c r="B14" s="296" t="s">
        <v>625</v>
      </c>
      <c r="C14" s="297" t="s">
        <v>528</v>
      </c>
      <c r="D14" s="299" t="s">
        <v>757</v>
      </c>
      <c r="E14" s="299" t="s">
        <v>758</v>
      </c>
      <c r="F14" s="299" t="s">
        <v>759</v>
      </c>
      <c r="G14" s="299" t="s">
        <v>760</v>
      </c>
      <c r="H14" s="299" t="s">
        <v>761</v>
      </c>
      <c r="I14" s="299" t="s">
        <v>762</v>
      </c>
      <c r="J14" s="299" t="s">
        <v>763</v>
      </c>
    </row>
    <row r="15" spans="2:10" x14ac:dyDescent="0.2">
      <c r="B15" s="712" t="s">
        <v>274</v>
      </c>
      <c r="C15" s="713"/>
      <c r="D15" s="713"/>
      <c r="E15" s="713"/>
      <c r="F15" s="713"/>
      <c r="G15" s="713"/>
      <c r="H15" s="713"/>
      <c r="I15" s="713"/>
      <c r="J15" s="714"/>
    </row>
    <row r="16" spans="2:10" x14ac:dyDescent="0.2">
      <c r="B16" s="300">
        <v>5005</v>
      </c>
      <c r="C16" s="73" t="s">
        <v>127</v>
      </c>
      <c r="D16" s="580">
        <f>VLOOKUP(B16,'[1]Trial Balance'!$A$277:$P$395,4,$B$16:$B$105)</f>
        <v>72063.94</v>
      </c>
      <c r="E16" s="580">
        <f>VLOOKUP(B16,'[1]Trial Balance'!$A$277:$P$395,6,$B$16:$B$105)</f>
        <v>71389.08</v>
      </c>
      <c r="F16" s="580">
        <f>VLOOKUP(B16,'[1]Trial Balance'!$A$277:$P$395,8,$B$16:$B$105)</f>
        <v>58337.16</v>
      </c>
      <c r="G16" s="580">
        <f>VLOOKUP(B16,'[1]Trial Balance'!$A$277:$P$395,10,$B$16:$B$105)</f>
        <v>60019.76</v>
      </c>
      <c r="H16" s="580">
        <f>VLOOKUP(B16,'[1]Trial Balance'!$A$277:$P$395,12,$B$16:$B$105)</f>
        <v>55206.53</v>
      </c>
      <c r="I16" s="580">
        <f>VLOOKUP(B16,'[1]Trial Balance'!$A$277:$P$395,14,$B$16:$B$105)</f>
        <v>60875.5</v>
      </c>
      <c r="J16" s="580">
        <f>VLOOKUP(B16,'[1]Trial Balance'!$A$277:$P$395,16,$B$16:$B$105)</f>
        <v>81000</v>
      </c>
    </row>
    <row r="17" spans="2:10" x14ac:dyDescent="0.2">
      <c r="B17" s="301">
        <v>5010</v>
      </c>
      <c r="C17" s="287" t="s">
        <v>128</v>
      </c>
      <c r="D17" s="580">
        <f>VLOOKUP(B17,'[1]Trial Balance'!$A$277:$P$395,4,$B$16:$B$105)</f>
        <v>0</v>
      </c>
      <c r="E17" s="580">
        <f>VLOOKUP(B17,'[1]Trial Balance'!$A$277:$P$395,6,$B$16:$B$105)</f>
        <v>268.52</v>
      </c>
      <c r="F17" s="580">
        <f>VLOOKUP(B17,'[1]Trial Balance'!$A$277:$P$395,8,$B$16:$B$105)</f>
        <v>449.23</v>
      </c>
      <c r="G17" s="580">
        <f>VLOOKUP(B17,'[1]Trial Balance'!$A$277:$P$395,10,$B$16:$B$105)</f>
        <v>82.43</v>
      </c>
      <c r="H17" s="580">
        <f>VLOOKUP(B17,'[1]Trial Balance'!$A$277:$P$395,12,$B$16:$B$105)</f>
        <v>4836.04</v>
      </c>
      <c r="I17" s="580">
        <f>VLOOKUP(B17,'[1]Trial Balance'!$A$277:$P$395,14,$B$16:$B$105)</f>
        <v>277.49</v>
      </c>
      <c r="J17" s="580">
        <f>VLOOKUP(B17,'[1]Trial Balance'!$A$277:$P$395,16,$B$16:$B$105)</f>
        <v>1000</v>
      </c>
    </row>
    <row r="18" spans="2:10" x14ac:dyDescent="0.2">
      <c r="B18" s="286">
        <v>5012</v>
      </c>
      <c r="C18" s="64" t="s">
        <v>129</v>
      </c>
      <c r="D18" s="580">
        <f>VLOOKUP(B18,'[1]Trial Balance'!$A$277:$P$395,4,$B$16:$B$105)</f>
        <v>0</v>
      </c>
      <c r="E18" s="580">
        <f>VLOOKUP(B18,'[1]Trial Balance'!$A$277:$P$395,6,$B$16:$B$105)</f>
        <v>0</v>
      </c>
      <c r="F18" s="580">
        <f>VLOOKUP(B18,'[1]Trial Balance'!$A$277:$P$395,8,$B$16:$B$105)</f>
        <v>0</v>
      </c>
      <c r="G18" s="580">
        <f>VLOOKUP(B18,'[1]Trial Balance'!$A$277:$P$395,10,$B$16:$B$105)</f>
        <v>0</v>
      </c>
      <c r="H18" s="580">
        <f>VLOOKUP(B18,'[1]Trial Balance'!$A$277:$P$395,12,$B$16:$B$105)</f>
        <v>0</v>
      </c>
      <c r="I18" s="580">
        <f>VLOOKUP(B18,'[1]Trial Balance'!$A$277:$P$395,14,$B$16:$B$105)</f>
        <v>0</v>
      </c>
      <c r="J18" s="580">
        <f>VLOOKUP(B18,'[1]Trial Balance'!$A$277:$P$395,16,$B$16:$B$105)</f>
        <v>0</v>
      </c>
    </row>
    <row r="19" spans="2:10" x14ac:dyDescent="0.2">
      <c r="B19" s="301">
        <v>5014</v>
      </c>
      <c r="C19" s="287" t="s">
        <v>130</v>
      </c>
      <c r="D19" s="580">
        <f>VLOOKUP(B19,'[1]Trial Balance'!$A$277:$P$395,4,$B$16:$B$105)</f>
        <v>0</v>
      </c>
      <c r="E19" s="580">
        <f>VLOOKUP(B19,'[1]Trial Balance'!$A$277:$P$395,6,$B$16:$B$105)</f>
        <v>0</v>
      </c>
      <c r="F19" s="580">
        <f>VLOOKUP(B19,'[1]Trial Balance'!$A$277:$P$395,8,$B$16:$B$105)</f>
        <v>0</v>
      </c>
      <c r="G19" s="580">
        <f>VLOOKUP(B19,'[1]Trial Balance'!$A$277:$P$395,10,$B$16:$B$105)</f>
        <v>0</v>
      </c>
      <c r="H19" s="580">
        <f>VLOOKUP(B19,'[1]Trial Balance'!$A$277:$P$395,12,$B$16:$B$105)</f>
        <v>0</v>
      </c>
      <c r="I19" s="580">
        <f>VLOOKUP(B19,'[1]Trial Balance'!$A$277:$P$395,14,$B$16:$B$105)</f>
        <v>0</v>
      </c>
      <c r="J19" s="580">
        <f>VLOOKUP(B19,'[1]Trial Balance'!$A$277:$P$395,16,$B$16:$B$105)</f>
        <v>0</v>
      </c>
    </row>
    <row r="20" spans="2:10" x14ac:dyDescent="0.2">
      <c r="B20" s="301">
        <v>5015</v>
      </c>
      <c r="C20" s="287" t="s">
        <v>131</v>
      </c>
      <c r="D20" s="580">
        <f>VLOOKUP(B20,'[1]Trial Balance'!$A$277:$P$395,4,$B$16:$B$105)</f>
        <v>0</v>
      </c>
      <c r="E20" s="580">
        <f>VLOOKUP(B20,'[1]Trial Balance'!$A$277:$P$395,6,$B$16:$B$105)</f>
        <v>0</v>
      </c>
      <c r="F20" s="580">
        <f>VLOOKUP(B20,'[1]Trial Balance'!$A$277:$P$395,8,$B$16:$B$105)</f>
        <v>0</v>
      </c>
      <c r="G20" s="580">
        <f>VLOOKUP(B20,'[1]Trial Balance'!$A$277:$P$395,10,$B$16:$B$105)</f>
        <v>0</v>
      </c>
      <c r="H20" s="580">
        <f>VLOOKUP(B20,'[1]Trial Balance'!$A$277:$P$395,12,$B$16:$B$105)</f>
        <v>0</v>
      </c>
      <c r="I20" s="580">
        <f>VLOOKUP(B20,'[1]Trial Balance'!$A$277:$P$395,14,$B$16:$B$105)</f>
        <v>0</v>
      </c>
      <c r="J20" s="580">
        <f>VLOOKUP(B20,'[1]Trial Balance'!$A$277:$P$395,16,$B$16:$B$105)</f>
        <v>0</v>
      </c>
    </row>
    <row r="21" spans="2:10" x14ac:dyDescent="0.2">
      <c r="B21" s="301">
        <v>5016</v>
      </c>
      <c r="C21" s="287" t="s">
        <v>132</v>
      </c>
      <c r="D21" s="580">
        <f>VLOOKUP(B21,'[1]Trial Balance'!$A$277:$P$395,4,$B$16:$B$105)</f>
        <v>1061.24</v>
      </c>
      <c r="E21" s="580">
        <f>VLOOKUP(B21,'[1]Trial Balance'!$A$277:$P$395,6,$B$16:$B$105)</f>
        <v>729.29</v>
      </c>
      <c r="F21" s="580">
        <f>VLOOKUP(B21,'[1]Trial Balance'!$A$277:$P$395,8,$B$16:$B$105)</f>
        <v>2558.87</v>
      </c>
      <c r="G21" s="580">
        <f>VLOOKUP(B21,'[1]Trial Balance'!$A$277:$P$395,10,$B$16:$B$105)</f>
        <v>1647.94</v>
      </c>
      <c r="H21" s="580">
        <f>VLOOKUP(B21,'[1]Trial Balance'!$A$277:$P$395,12,$B$16:$B$105)</f>
        <v>661.18</v>
      </c>
      <c r="I21" s="580">
        <f>VLOOKUP(B21,'[1]Trial Balance'!$A$277:$P$395,14,$B$16:$B$105)</f>
        <v>459.55</v>
      </c>
      <c r="J21" s="580">
        <f>VLOOKUP(B21,'[1]Trial Balance'!$A$277:$P$395,16,$B$16:$B$105)</f>
        <v>2000</v>
      </c>
    </row>
    <row r="22" spans="2:10" x14ac:dyDescent="0.2">
      <c r="B22" s="301">
        <v>5017</v>
      </c>
      <c r="C22" s="287" t="s">
        <v>133</v>
      </c>
      <c r="D22" s="580">
        <f>VLOOKUP(B22,'[1]Trial Balance'!$A$277:$P$395,4,$B$16:$B$105)</f>
        <v>0</v>
      </c>
      <c r="E22" s="580">
        <f>VLOOKUP(B22,'[1]Trial Balance'!$A$277:$P$395,6,$B$16:$B$105)</f>
        <v>0</v>
      </c>
      <c r="F22" s="580">
        <f>VLOOKUP(B22,'[1]Trial Balance'!$A$277:$P$395,8,$B$16:$B$105)</f>
        <v>0</v>
      </c>
      <c r="G22" s="580">
        <f>VLOOKUP(B22,'[1]Trial Balance'!$A$277:$P$395,10,$B$16:$B$105)</f>
        <v>0</v>
      </c>
      <c r="H22" s="580">
        <f>VLOOKUP(B22,'[1]Trial Balance'!$A$277:$P$395,12,$B$16:$B$105)</f>
        <v>0</v>
      </c>
      <c r="I22" s="580">
        <f>VLOOKUP(B22,'[1]Trial Balance'!$A$277:$P$395,14,$B$16:$B$105)</f>
        <v>0</v>
      </c>
      <c r="J22" s="580">
        <f>VLOOKUP(B22,'[1]Trial Balance'!$A$277:$P$395,16,$B$16:$B$105)</f>
        <v>0</v>
      </c>
    </row>
    <row r="23" spans="2:10" x14ac:dyDescent="0.2">
      <c r="B23" s="301">
        <v>5020</v>
      </c>
      <c r="C23" s="287" t="s">
        <v>134</v>
      </c>
      <c r="D23" s="580">
        <f>VLOOKUP(B23,'[1]Trial Balance'!$A$277:$P$395,4,$B$16:$B$105)</f>
        <v>49506.720000000001</v>
      </c>
      <c r="E23" s="580">
        <f>VLOOKUP(B23,'[1]Trial Balance'!$A$277:$P$395,6,$B$16:$B$105)</f>
        <v>39309.019999999997</v>
      </c>
      <c r="F23" s="580">
        <f>VLOOKUP(B23,'[1]Trial Balance'!$A$277:$P$395,8,$B$16:$B$105)</f>
        <v>43301.919999999998</v>
      </c>
      <c r="G23" s="580">
        <f>VLOOKUP(B23,'[1]Trial Balance'!$A$277:$P$395,10,$B$16:$B$105)</f>
        <v>45900.37</v>
      </c>
      <c r="H23" s="580">
        <f>VLOOKUP(B23,'[1]Trial Balance'!$A$277:$P$395,12,$B$16:$B$105)</f>
        <v>35367.089999999997</v>
      </c>
      <c r="I23" s="580">
        <f>VLOOKUP(B23,'[1]Trial Balance'!$A$277:$P$395,14,$B$16:$B$105)</f>
        <v>40304.160000000003</v>
      </c>
      <c r="J23" s="580">
        <f>VLOOKUP(B23,'[1]Trial Balance'!$A$277:$P$395,16,$B$16:$B$105)</f>
        <v>54000</v>
      </c>
    </row>
    <row r="24" spans="2:10" x14ac:dyDescent="0.2">
      <c r="B24" s="301">
        <v>5025</v>
      </c>
      <c r="C24" s="287" t="s">
        <v>135</v>
      </c>
      <c r="D24" s="580">
        <f>VLOOKUP(B24,'[1]Trial Balance'!$A$277:$P$395,4,$B$16:$B$105)</f>
        <v>0</v>
      </c>
      <c r="E24" s="580">
        <f>VLOOKUP(B24,'[1]Trial Balance'!$A$277:$P$395,6,$B$16:$B$105)</f>
        <v>0</v>
      </c>
      <c r="F24" s="580">
        <f>VLOOKUP(B24,'[1]Trial Balance'!$A$277:$P$395,8,$B$16:$B$105)</f>
        <v>0</v>
      </c>
      <c r="G24" s="580">
        <f>VLOOKUP(B24,'[1]Trial Balance'!$A$277:$P$395,10,$B$16:$B$105)</f>
        <v>0</v>
      </c>
      <c r="H24" s="580">
        <f>VLOOKUP(B24,'[1]Trial Balance'!$A$277:$P$395,12,$B$16:$B$105)</f>
        <v>0</v>
      </c>
      <c r="I24" s="580">
        <f>VLOOKUP(B24,'[1]Trial Balance'!$A$277:$P$395,14,$B$16:$B$105)</f>
        <v>23.75</v>
      </c>
      <c r="J24" s="580">
        <f>VLOOKUP(B24,'[1]Trial Balance'!$A$277:$P$395,16,$B$16:$B$105)</f>
        <v>0</v>
      </c>
    </row>
    <row r="25" spans="2:10" x14ac:dyDescent="0.2">
      <c r="B25" s="301">
        <v>5030</v>
      </c>
      <c r="C25" s="287" t="s">
        <v>154</v>
      </c>
      <c r="D25" s="580">
        <f>VLOOKUP(B25,'[1]Trial Balance'!$A$277:$P$395,4,$B$16:$B$105)</f>
        <v>0</v>
      </c>
      <c r="E25" s="580">
        <f>VLOOKUP(B25,'[1]Trial Balance'!$A$277:$P$395,6,$B$16:$B$105)</f>
        <v>0</v>
      </c>
      <c r="F25" s="580">
        <f>VLOOKUP(B25,'[1]Trial Balance'!$A$277:$P$395,8,$B$16:$B$105)</f>
        <v>0</v>
      </c>
      <c r="G25" s="580">
        <f>VLOOKUP(B25,'[1]Trial Balance'!$A$277:$P$395,10,$B$16:$B$105)</f>
        <v>0</v>
      </c>
      <c r="H25" s="580">
        <f>VLOOKUP(B25,'[1]Trial Balance'!$A$277:$P$395,12,$B$16:$B$105)</f>
        <v>0</v>
      </c>
      <c r="I25" s="580">
        <f>VLOOKUP(B25,'[1]Trial Balance'!$A$277:$P$395,14,$B$16:$B$105)</f>
        <v>0</v>
      </c>
      <c r="J25" s="580">
        <f>VLOOKUP(B25,'[1]Trial Balance'!$A$277:$P$395,16,$B$16:$B$105)</f>
        <v>0</v>
      </c>
    </row>
    <row r="26" spans="2:10" x14ac:dyDescent="0.2">
      <c r="B26" s="301">
        <v>5035</v>
      </c>
      <c r="C26" s="287" t="s">
        <v>155</v>
      </c>
      <c r="D26" s="580">
        <f>VLOOKUP(B26,'[1]Trial Balance'!$A$277:$P$395,4,$B$16:$B$105)</f>
        <v>417.01</v>
      </c>
      <c r="E26" s="580">
        <f>VLOOKUP(B26,'[1]Trial Balance'!$A$277:$P$395,6,$B$16:$B$105)</f>
        <v>1038.5999999999999</v>
      </c>
      <c r="F26" s="580">
        <f>VLOOKUP(B26,'[1]Trial Balance'!$A$277:$P$395,8,$B$16:$B$105)</f>
        <v>1146.83</v>
      </c>
      <c r="G26" s="580">
        <f>VLOOKUP(B26,'[1]Trial Balance'!$A$277:$P$395,10,$B$16:$B$105)</f>
        <v>2459.41</v>
      </c>
      <c r="H26" s="580">
        <f>VLOOKUP(B26,'[1]Trial Balance'!$A$277:$P$395,12,$B$16:$B$105)</f>
        <v>2384.7199999999998</v>
      </c>
      <c r="I26" s="580">
        <f>VLOOKUP(B26,'[1]Trial Balance'!$A$277:$P$395,14,$B$16:$B$105)</f>
        <v>4180.41</v>
      </c>
      <c r="J26" s="580">
        <f>VLOOKUP(B26,'[1]Trial Balance'!$A$277:$P$395,16,$B$16:$B$105)</f>
        <v>4000</v>
      </c>
    </row>
    <row r="27" spans="2:10" x14ac:dyDescent="0.2">
      <c r="B27" s="301">
        <v>5040</v>
      </c>
      <c r="C27" s="287" t="s">
        <v>156</v>
      </c>
      <c r="D27" s="580">
        <f>VLOOKUP(B27,'[1]Trial Balance'!$A$277:$P$395,4,$B$16:$B$105)</f>
        <v>78635.97</v>
      </c>
      <c r="E27" s="580">
        <f>VLOOKUP(B27,'[1]Trial Balance'!$A$277:$P$395,6,$B$16:$B$105)</f>
        <v>87955.14</v>
      </c>
      <c r="F27" s="580">
        <f>VLOOKUP(B27,'[1]Trial Balance'!$A$277:$P$395,8,$B$16:$B$105)</f>
        <v>86907.01</v>
      </c>
      <c r="G27" s="580">
        <f>VLOOKUP(B27,'[1]Trial Balance'!$A$277:$P$395,10,$B$16:$B$105)</f>
        <v>109884.86</v>
      </c>
      <c r="H27" s="580">
        <f>VLOOKUP(B27,'[1]Trial Balance'!$A$277:$P$395,12,$B$16:$B$105)</f>
        <v>77137.08</v>
      </c>
      <c r="I27" s="580">
        <f>VLOOKUP(B27,'[1]Trial Balance'!$A$277:$P$395,14,$B$16:$B$105)</f>
        <v>103083.97</v>
      </c>
      <c r="J27" s="580">
        <f>VLOOKUP(B27,'[1]Trial Balance'!$A$277:$P$395,16,$B$16:$B$105)</f>
        <v>100000</v>
      </c>
    </row>
    <row r="28" spans="2:10" x14ac:dyDescent="0.2">
      <c r="B28" s="301">
        <v>5045</v>
      </c>
      <c r="C28" s="287" t="s">
        <v>157</v>
      </c>
      <c r="D28" s="580">
        <f>VLOOKUP(B28,'[1]Trial Balance'!$A$277:$P$395,4,$B$16:$B$105)</f>
        <v>0</v>
      </c>
      <c r="E28" s="580">
        <f>VLOOKUP(B28,'[1]Trial Balance'!$A$277:$P$395,6,$B$16:$B$105)</f>
        <v>0</v>
      </c>
      <c r="F28" s="580">
        <f>VLOOKUP(B28,'[1]Trial Balance'!$A$277:$P$395,8,$B$16:$B$105)</f>
        <v>0</v>
      </c>
      <c r="G28" s="580">
        <f>VLOOKUP(B28,'[1]Trial Balance'!$A$277:$P$395,10,$B$16:$B$105)</f>
        <v>58.83</v>
      </c>
      <c r="H28" s="580">
        <f>VLOOKUP(B28,'[1]Trial Balance'!$A$277:$P$395,12,$B$16:$B$105)</f>
        <v>0</v>
      </c>
      <c r="I28" s="580">
        <f>VLOOKUP(B28,'[1]Trial Balance'!$A$277:$P$395,14,$B$16:$B$105)</f>
        <v>0</v>
      </c>
      <c r="J28" s="580">
        <f>VLOOKUP(B28,'[1]Trial Balance'!$A$277:$P$395,16,$B$16:$B$105)</f>
        <v>0</v>
      </c>
    </row>
    <row r="29" spans="2:10" x14ac:dyDescent="0.2">
      <c r="B29" s="301">
        <v>5050</v>
      </c>
      <c r="C29" s="287" t="s">
        <v>158</v>
      </c>
      <c r="D29" s="580">
        <f>VLOOKUP(B29,'[1]Trial Balance'!$A$277:$P$395,4,$B$16:$B$105)</f>
        <v>0</v>
      </c>
      <c r="E29" s="580">
        <f>VLOOKUP(B29,'[1]Trial Balance'!$A$277:$P$395,6,$B$16:$B$105)</f>
        <v>0</v>
      </c>
      <c r="F29" s="580">
        <f>VLOOKUP(B29,'[1]Trial Balance'!$A$277:$P$395,8,$B$16:$B$105)</f>
        <v>0</v>
      </c>
      <c r="G29" s="580">
        <f>VLOOKUP(B29,'[1]Trial Balance'!$A$277:$P$395,10,$B$16:$B$105)</f>
        <v>0</v>
      </c>
      <c r="H29" s="580">
        <f>VLOOKUP(B29,'[1]Trial Balance'!$A$277:$P$395,12,$B$16:$B$105)</f>
        <v>1179.24</v>
      </c>
      <c r="I29" s="580">
        <f>VLOOKUP(B29,'[1]Trial Balance'!$A$277:$P$395,14,$B$16:$B$105)</f>
        <v>0</v>
      </c>
      <c r="J29" s="580">
        <f>VLOOKUP(B29,'[1]Trial Balance'!$A$277:$P$395,16,$B$16:$B$105)</f>
        <v>0</v>
      </c>
    </row>
    <row r="30" spans="2:10" x14ac:dyDescent="0.2">
      <c r="B30" s="301">
        <v>5055</v>
      </c>
      <c r="C30" s="287" t="s">
        <v>159</v>
      </c>
      <c r="D30" s="580">
        <f>VLOOKUP(B30,'[1]Trial Balance'!$A$277:$P$395,4,$B$16:$B$105)</f>
        <v>1328.2</v>
      </c>
      <c r="E30" s="580">
        <f>VLOOKUP(B30,'[1]Trial Balance'!$A$277:$P$395,6,$B$16:$B$105)</f>
        <v>-1324.9</v>
      </c>
      <c r="F30" s="580">
        <f>VLOOKUP(B30,'[1]Trial Balance'!$A$277:$P$395,8,$B$16:$B$105)</f>
        <v>2127.27</v>
      </c>
      <c r="G30" s="580">
        <f>VLOOKUP(B30,'[1]Trial Balance'!$A$277:$P$395,10,$B$16:$B$105)</f>
        <v>4525.2</v>
      </c>
      <c r="H30" s="580">
        <f>VLOOKUP(B30,'[1]Trial Balance'!$A$277:$P$395,12,$B$16:$B$105)</f>
        <v>0</v>
      </c>
      <c r="I30" s="580">
        <f>VLOOKUP(B30,'[1]Trial Balance'!$A$277:$P$395,14,$B$16:$B$105)</f>
        <v>2550.1</v>
      </c>
      <c r="J30" s="580">
        <f>VLOOKUP(B30,'[1]Trial Balance'!$A$277:$P$395,16,$B$16:$B$105)</f>
        <v>1000</v>
      </c>
    </row>
    <row r="31" spans="2:10" x14ac:dyDescent="0.2">
      <c r="B31" s="301">
        <v>5060</v>
      </c>
      <c r="C31" s="287" t="s">
        <v>160</v>
      </c>
      <c r="D31" s="580">
        <f>VLOOKUP(B31,'[1]Trial Balance'!$A$277:$P$395,4,$B$16:$B$105)</f>
        <v>0</v>
      </c>
      <c r="E31" s="580">
        <f>VLOOKUP(B31,'[1]Trial Balance'!$A$277:$P$395,6,$B$16:$B$105)</f>
        <v>0</v>
      </c>
      <c r="F31" s="580">
        <f>VLOOKUP(B31,'[1]Trial Balance'!$A$277:$P$395,8,$B$16:$B$105)</f>
        <v>0</v>
      </c>
      <c r="G31" s="580">
        <f>VLOOKUP(B31,'[1]Trial Balance'!$A$277:$P$395,10,$B$16:$B$105)</f>
        <v>0</v>
      </c>
      <c r="H31" s="580">
        <f>VLOOKUP(B31,'[1]Trial Balance'!$A$277:$P$395,12,$B$16:$B$105)</f>
        <v>0</v>
      </c>
      <c r="I31" s="580">
        <f>VLOOKUP(B31,'[1]Trial Balance'!$A$277:$P$395,14,$B$16:$B$105)</f>
        <v>0</v>
      </c>
      <c r="J31" s="580">
        <f>VLOOKUP(B31,'[1]Trial Balance'!$A$277:$P$395,16,$B$16:$B$105)</f>
        <v>0</v>
      </c>
    </row>
    <row r="32" spans="2:10" x14ac:dyDescent="0.2">
      <c r="B32" s="286">
        <v>5065</v>
      </c>
      <c r="C32" s="64" t="s">
        <v>161</v>
      </c>
      <c r="D32" s="580">
        <f>VLOOKUP(B32,'[1]Trial Balance'!$A$277:$P$395,4,$B$16:$B$105)</f>
        <v>17365.150000000001</v>
      </c>
      <c r="E32" s="580">
        <f>VLOOKUP(B32,'[1]Trial Balance'!$A$277:$P$395,6,$B$16:$B$105)</f>
        <v>6569.05</v>
      </c>
      <c r="F32" s="580">
        <f>VLOOKUP(B32,'[1]Trial Balance'!$A$277:$P$395,8,$B$16:$B$105)</f>
        <v>16205.1</v>
      </c>
      <c r="G32" s="580">
        <f>VLOOKUP(B32,'[1]Trial Balance'!$A$277:$P$395,10,$B$16:$B$105)</f>
        <v>52782.19</v>
      </c>
      <c r="H32" s="580">
        <f>VLOOKUP(B32,'[1]Trial Balance'!$A$277:$P$395,12,$B$16:$B$105)</f>
        <v>22653.84</v>
      </c>
      <c r="I32" s="580">
        <f>VLOOKUP(B32,'[1]Trial Balance'!$A$277:$P$395,14,$B$16:$B$105)</f>
        <v>20936.900000000001</v>
      </c>
      <c r="J32" s="580">
        <f>VLOOKUP(B32,'[1]Trial Balance'!$A$277:$P$395,16,$B$16:$B$105)</f>
        <v>22000</v>
      </c>
    </row>
    <row r="33" spans="2:10" x14ac:dyDescent="0.2">
      <c r="B33" s="301">
        <v>5070</v>
      </c>
      <c r="C33" s="287" t="s">
        <v>162</v>
      </c>
      <c r="D33" s="580">
        <f>VLOOKUP(B33,'[1]Trial Balance'!$A$277:$P$395,4,$B$16:$B$105)</f>
        <v>0</v>
      </c>
      <c r="E33" s="580">
        <f>VLOOKUP(B33,'[1]Trial Balance'!$A$277:$P$395,6,$B$16:$B$105)</f>
        <v>0</v>
      </c>
      <c r="F33" s="580">
        <f>VLOOKUP(B33,'[1]Trial Balance'!$A$277:$P$395,8,$B$16:$B$105)</f>
        <v>0</v>
      </c>
      <c r="G33" s="580">
        <f>VLOOKUP(B33,'[1]Trial Balance'!$A$277:$P$395,10,$B$16:$B$105)</f>
        <v>0</v>
      </c>
      <c r="H33" s="580">
        <f>VLOOKUP(B33,'[1]Trial Balance'!$A$277:$P$395,12,$B$16:$B$105)</f>
        <v>0</v>
      </c>
      <c r="I33" s="580">
        <f>VLOOKUP(B33,'[1]Trial Balance'!$A$277:$P$395,14,$B$16:$B$105)</f>
        <v>0</v>
      </c>
      <c r="J33" s="580">
        <f>VLOOKUP(B33,'[1]Trial Balance'!$A$277:$P$395,16,$B$16:$B$105)</f>
        <v>0</v>
      </c>
    </row>
    <row r="34" spans="2:10" x14ac:dyDescent="0.2">
      <c r="B34" s="286">
        <v>5075</v>
      </c>
      <c r="C34" s="64" t="s">
        <v>163</v>
      </c>
      <c r="D34" s="580">
        <f>VLOOKUP(B34,'[1]Trial Balance'!$A$277:$P$395,4,$B$16:$B$105)</f>
        <v>0</v>
      </c>
      <c r="E34" s="580">
        <f>VLOOKUP(B34,'[1]Trial Balance'!$A$277:$P$395,6,$B$16:$B$105)</f>
        <v>0</v>
      </c>
      <c r="F34" s="580">
        <f>VLOOKUP(B34,'[1]Trial Balance'!$A$277:$P$395,8,$B$16:$B$105)</f>
        <v>0</v>
      </c>
      <c r="G34" s="580">
        <f>VLOOKUP(B34,'[1]Trial Balance'!$A$277:$P$395,10,$B$16:$B$105)</f>
        <v>0</v>
      </c>
      <c r="H34" s="580">
        <f>VLOOKUP(B34,'[1]Trial Balance'!$A$277:$P$395,12,$B$16:$B$105)</f>
        <v>0</v>
      </c>
      <c r="I34" s="580">
        <f>VLOOKUP(B34,'[1]Trial Balance'!$A$277:$P$395,14,$B$16:$B$105)</f>
        <v>0</v>
      </c>
      <c r="J34" s="580">
        <f>VLOOKUP(B34,'[1]Trial Balance'!$A$277:$P$395,16,$B$16:$B$105)</f>
        <v>0</v>
      </c>
    </row>
    <row r="35" spans="2:10" x14ac:dyDescent="0.2">
      <c r="B35" s="301">
        <v>5085</v>
      </c>
      <c r="C35" s="287" t="s">
        <v>164</v>
      </c>
      <c r="D35" s="580">
        <f>VLOOKUP(B35,'[1]Trial Balance'!$A$277:$P$395,4,$B$16:$B$105)</f>
        <v>0</v>
      </c>
      <c r="E35" s="580">
        <f>VLOOKUP(B35,'[1]Trial Balance'!$A$277:$P$395,6,$B$16:$B$105)</f>
        <v>878.43</v>
      </c>
      <c r="F35" s="580">
        <f>VLOOKUP(B35,'[1]Trial Balance'!$A$277:$P$395,8,$B$16:$B$105)</f>
        <v>0</v>
      </c>
      <c r="G35" s="580">
        <f>VLOOKUP(B35,'[1]Trial Balance'!$A$277:$P$395,10,$B$16:$B$105)</f>
        <v>0</v>
      </c>
      <c r="H35" s="580">
        <f>VLOOKUP(B35,'[1]Trial Balance'!$A$277:$P$395,12,$B$16:$B$105)</f>
        <v>0</v>
      </c>
      <c r="I35" s="580">
        <f>VLOOKUP(B35,'[1]Trial Balance'!$A$277:$P$395,14,$B$16:$B$105)</f>
        <v>0</v>
      </c>
      <c r="J35" s="580">
        <f>VLOOKUP(B35,'[1]Trial Balance'!$A$277:$P$395,16,$B$16:$B$105)</f>
        <v>0</v>
      </c>
    </row>
    <row r="36" spans="2:10" x14ac:dyDescent="0.2">
      <c r="B36" s="286">
        <v>5090</v>
      </c>
      <c r="C36" s="64" t="s">
        <v>165</v>
      </c>
      <c r="D36" s="580">
        <f>VLOOKUP(B36,'[1]Trial Balance'!$A$277:$P$395,4,$B$16:$B$105)</f>
        <v>0</v>
      </c>
      <c r="E36" s="580">
        <f>VLOOKUP(B36,'[1]Trial Balance'!$A$277:$P$395,6,$B$16:$B$105)</f>
        <v>0</v>
      </c>
      <c r="F36" s="580">
        <f>VLOOKUP(B36,'[1]Trial Balance'!$A$277:$P$395,8,$B$16:$B$105)</f>
        <v>0</v>
      </c>
      <c r="G36" s="580">
        <f>VLOOKUP(B36,'[1]Trial Balance'!$A$277:$P$395,10,$B$16:$B$105)</f>
        <v>0</v>
      </c>
      <c r="H36" s="580">
        <f>VLOOKUP(B36,'[1]Trial Balance'!$A$277:$P$395,12,$B$16:$B$105)</f>
        <v>0</v>
      </c>
      <c r="I36" s="580">
        <f>VLOOKUP(B36,'[1]Trial Balance'!$A$277:$P$395,14,$B$16:$B$105)</f>
        <v>0</v>
      </c>
      <c r="J36" s="580">
        <f>VLOOKUP(B36,'[1]Trial Balance'!$A$277:$P$395,16,$B$16:$B$105)</f>
        <v>0</v>
      </c>
    </row>
    <row r="37" spans="2:10" x14ac:dyDescent="0.2">
      <c r="B37" s="301">
        <v>5095</v>
      </c>
      <c r="C37" s="287" t="s">
        <v>166</v>
      </c>
      <c r="D37" s="580">
        <f>VLOOKUP(B37,'[1]Trial Balance'!$A$277:$P$395,4,$B$16:$B$105)</f>
        <v>10179.52</v>
      </c>
      <c r="E37" s="580">
        <f>VLOOKUP(B37,'[1]Trial Balance'!$A$277:$P$395,6,$B$16:$B$105)</f>
        <v>8837.4</v>
      </c>
      <c r="F37" s="580">
        <f>VLOOKUP(B37,'[1]Trial Balance'!$A$277:$P$395,8,$B$16:$B$105)</f>
        <v>100</v>
      </c>
      <c r="G37" s="580">
        <f>VLOOKUP(B37,'[1]Trial Balance'!$A$277:$P$395,10,$B$16:$B$105)</f>
        <v>21566.3</v>
      </c>
      <c r="H37" s="580">
        <f>VLOOKUP(B37,'[1]Trial Balance'!$A$277:$P$395,12,$B$16:$B$105)</f>
        <v>37124.36</v>
      </c>
      <c r="I37" s="580">
        <f>VLOOKUP(B37,'[1]Trial Balance'!$A$277:$P$395,14,$B$16:$B$105)</f>
        <v>14131.25</v>
      </c>
      <c r="J37" s="580">
        <f>VLOOKUP(B37,'[1]Trial Balance'!$A$277:$P$395,16,$B$16:$B$105)</f>
        <v>26000</v>
      </c>
    </row>
    <row r="38" spans="2:10" ht="13.5" thickBot="1" x14ac:dyDescent="0.25">
      <c r="B38" s="295">
        <v>5096</v>
      </c>
      <c r="C38" s="298" t="s">
        <v>167</v>
      </c>
      <c r="D38" s="584">
        <f>VLOOKUP(B38,'[1]Trial Balance'!$A$277:$P$395,4,$B$16:$B$105)</f>
        <v>0</v>
      </c>
      <c r="E38" s="584">
        <f>VLOOKUP(B38,'[1]Trial Balance'!$A$277:$P$395,6,$B$16:$B$105)</f>
        <v>0</v>
      </c>
      <c r="F38" s="584">
        <f>VLOOKUP(B38,'[1]Trial Balance'!$A$277:$P$395,8,$B$16:$B$105)</f>
        <v>0</v>
      </c>
      <c r="G38" s="584">
        <f>VLOOKUP(B38,'[1]Trial Balance'!$A$277:$P$395,10,$B$16:$B$105)</f>
        <v>0</v>
      </c>
      <c r="H38" s="584">
        <f>VLOOKUP(B38,'[1]Trial Balance'!$A$277:$P$395,12,$B$16:$B$105)</f>
        <v>0</v>
      </c>
      <c r="I38" s="584">
        <f>VLOOKUP(B38,'[1]Trial Balance'!$A$277:$P$395,14,$B$16:$B$105)</f>
        <v>0</v>
      </c>
      <c r="J38" s="584">
        <f>VLOOKUP(B38,'[1]Trial Balance'!$A$277:$P$395,16,$B$16:$B$105)</f>
        <v>0</v>
      </c>
    </row>
    <row r="39" spans="2:10" ht="14.25" thickTop="1" thickBot="1" x14ac:dyDescent="0.25">
      <c r="B39" s="717" t="s">
        <v>276</v>
      </c>
      <c r="C39" s="718"/>
      <c r="D39" s="27">
        <f t="shared" ref="D39:J39" si="0">SUM(D16:D38)</f>
        <v>230557.75</v>
      </c>
      <c r="E39" s="27">
        <f t="shared" si="0"/>
        <v>215649.63</v>
      </c>
      <c r="F39" s="27">
        <f t="shared" si="0"/>
        <v>211133.39</v>
      </c>
      <c r="G39" s="27">
        <f t="shared" si="0"/>
        <v>298927.28999999998</v>
      </c>
      <c r="H39" s="27">
        <f t="shared" si="0"/>
        <v>236550.08000000002</v>
      </c>
      <c r="I39" s="27">
        <f t="shared" si="0"/>
        <v>246823.08000000002</v>
      </c>
      <c r="J39" s="27">
        <f t="shared" si="0"/>
        <v>291000</v>
      </c>
    </row>
    <row r="40" spans="2:10" ht="13.5" customHeight="1" x14ac:dyDescent="0.2">
      <c r="B40" s="296" t="s">
        <v>625</v>
      </c>
      <c r="C40" s="297" t="s">
        <v>528</v>
      </c>
      <c r="D40" s="585" t="str">
        <f t="shared" ref="D40:J40" si="1">D14</f>
        <v>2006 Actual</v>
      </c>
      <c r="E40" s="585" t="str">
        <f t="shared" si="1"/>
        <v>2007 Actual</v>
      </c>
      <c r="F40" s="585" t="str">
        <f t="shared" si="1"/>
        <v>2008 Actual</v>
      </c>
      <c r="G40" s="585" t="str">
        <f t="shared" si="1"/>
        <v>2009 Actual</v>
      </c>
      <c r="H40" s="585" t="str">
        <f t="shared" si="1"/>
        <v>2010 Actual</v>
      </c>
      <c r="I40" s="585" t="str">
        <f t="shared" si="1"/>
        <v>2011 Actual</v>
      </c>
      <c r="J40" s="586" t="str">
        <f t="shared" si="1"/>
        <v>2012 Test</v>
      </c>
    </row>
    <row r="41" spans="2:10" x14ac:dyDescent="0.2">
      <c r="B41" s="712" t="s">
        <v>277</v>
      </c>
      <c r="C41" s="713"/>
      <c r="D41" s="713"/>
      <c r="E41" s="713"/>
      <c r="F41" s="713"/>
      <c r="G41" s="713"/>
      <c r="H41" s="713"/>
      <c r="I41" s="713"/>
      <c r="J41" s="714"/>
    </row>
    <row r="42" spans="2:10" x14ac:dyDescent="0.2">
      <c r="B42" s="300">
        <v>5105</v>
      </c>
      <c r="C42" s="73" t="s">
        <v>169</v>
      </c>
      <c r="D42" s="584">
        <f>VLOOKUP(B42,'[1]Trial Balance'!$A$277:$P$395,4,$B$16:$B$105)</f>
        <v>0</v>
      </c>
      <c r="E42" s="584">
        <f>VLOOKUP(B42,'[1]Trial Balance'!$A$277:$P$395,6,$B$16:$B$105)</f>
        <v>0</v>
      </c>
      <c r="F42" s="584">
        <f>VLOOKUP(B42,'[1]Trial Balance'!$A$277:$P$395,8,$B$16:$B$105)</f>
        <v>0</v>
      </c>
      <c r="G42" s="584">
        <f>VLOOKUP(B42,'[1]Trial Balance'!$A$277:$P$395,10,$B$16:$B$105)</f>
        <v>0</v>
      </c>
      <c r="H42" s="584">
        <f>VLOOKUP(B42,'[1]Trial Balance'!$A$277:$P$395,12,$B$16:$B$105)</f>
        <v>0</v>
      </c>
      <c r="I42" s="584">
        <f>VLOOKUP(B42,'[1]Trial Balance'!$A$277:$P$395,14,$B$16:$B$105)</f>
        <v>0</v>
      </c>
      <c r="J42" s="584">
        <f>VLOOKUP(B42,'[1]Trial Balance'!$A$277:$P$395,16,$B$16:$B$105)</f>
        <v>0</v>
      </c>
    </row>
    <row r="43" spans="2:10" x14ac:dyDescent="0.2">
      <c r="B43" s="300">
        <v>5110</v>
      </c>
      <c r="C43" s="73" t="s">
        <v>201</v>
      </c>
      <c r="D43" s="584">
        <f>VLOOKUP(B43,'[1]Trial Balance'!$A$277:$P$395,4,$B$16:$B$105)</f>
        <v>0</v>
      </c>
      <c r="E43" s="584">
        <f>VLOOKUP(B43,'[1]Trial Balance'!$A$277:$P$395,6,$B$16:$B$105)</f>
        <v>0</v>
      </c>
      <c r="F43" s="584">
        <f>VLOOKUP(B43,'[1]Trial Balance'!$A$277:$P$395,8,$B$16:$B$105)</f>
        <v>0</v>
      </c>
      <c r="G43" s="584">
        <f>VLOOKUP(B43,'[1]Trial Balance'!$A$277:$P$395,10,$B$16:$B$105)</f>
        <v>0</v>
      </c>
      <c r="H43" s="584">
        <f>VLOOKUP(B43,'[1]Trial Balance'!$A$277:$P$395,12,$B$16:$B$105)</f>
        <v>0</v>
      </c>
      <c r="I43" s="584">
        <f>VLOOKUP(B43,'[1]Trial Balance'!$A$277:$P$395,14,$B$16:$B$105)</f>
        <v>0</v>
      </c>
      <c r="J43" s="584">
        <f>VLOOKUP(B43,'[1]Trial Balance'!$A$277:$P$395,16,$B$16:$B$105)</f>
        <v>0</v>
      </c>
    </row>
    <row r="44" spans="2:10" x14ac:dyDescent="0.2">
      <c r="B44" s="300">
        <v>5112</v>
      </c>
      <c r="C44" s="73" t="s">
        <v>202</v>
      </c>
      <c r="D44" s="584">
        <f>VLOOKUP(B44,'[1]Trial Balance'!$A$277:$P$395,4,$B$16:$B$105)</f>
        <v>0</v>
      </c>
      <c r="E44" s="584">
        <f>VLOOKUP(B44,'[1]Trial Balance'!$A$277:$P$395,6,$B$16:$B$105)</f>
        <v>0</v>
      </c>
      <c r="F44" s="584">
        <f>VLOOKUP(B44,'[1]Trial Balance'!$A$277:$P$395,8,$B$16:$B$105)</f>
        <v>0</v>
      </c>
      <c r="G44" s="584">
        <f>VLOOKUP(B44,'[1]Trial Balance'!$A$277:$P$395,10,$B$16:$B$105)</f>
        <v>0</v>
      </c>
      <c r="H44" s="584">
        <f>VLOOKUP(B44,'[1]Trial Balance'!$A$277:$P$395,12,$B$16:$B$105)</f>
        <v>0</v>
      </c>
      <c r="I44" s="584">
        <f>VLOOKUP(B44,'[1]Trial Balance'!$A$277:$P$395,14,$B$16:$B$105)</f>
        <v>0</v>
      </c>
      <c r="J44" s="584">
        <f>VLOOKUP(B44,'[1]Trial Balance'!$A$277:$P$395,16,$B$16:$B$105)</f>
        <v>0</v>
      </c>
    </row>
    <row r="45" spans="2:10" x14ac:dyDescent="0.2">
      <c r="B45" s="300">
        <v>5114</v>
      </c>
      <c r="C45" s="73" t="s">
        <v>204</v>
      </c>
      <c r="D45" s="584">
        <f>VLOOKUP(B45,'[1]Trial Balance'!$A$277:$P$395,4,$B$16:$B$105)</f>
        <v>0</v>
      </c>
      <c r="E45" s="584">
        <f>VLOOKUP(B45,'[1]Trial Balance'!$A$277:$P$395,6,$B$16:$B$105)</f>
        <v>0</v>
      </c>
      <c r="F45" s="584">
        <f>VLOOKUP(B45,'[1]Trial Balance'!$A$277:$P$395,8,$B$16:$B$105)</f>
        <v>0</v>
      </c>
      <c r="G45" s="584">
        <f>VLOOKUP(B45,'[1]Trial Balance'!$A$277:$P$395,10,$B$16:$B$105)</f>
        <v>0</v>
      </c>
      <c r="H45" s="584">
        <f>VLOOKUP(B45,'[1]Trial Balance'!$A$277:$P$395,12,$B$16:$B$105)</f>
        <v>0</v>
      </c>
      <c r="I45" s="584">
        <f>VLOOKUP(B45,'[1]Trial Balance'!$A$277:$P$395,14,$B$16:$B$105)</f>
        <v>0</v>
      </c>
      <c r="J45" s="584">
        <f>VLOOKUP(B45,'[1]Trial Balance'!$A$277:$P$395,16,$B$16:$B$105)</f>
        <v>0</v>
      </c>
    </row>
    <row r="46" spans="2:10" x14ac:dyDescent="0.2">
      <c r="B46" s="300">
        <v>5120</v>
      </c>
      <c r="C46" s="73" t="s">
        <v>203</v>
      </c>
      <c r="D46" s="584">
        <f>VLOOKUP(B46,'[1]Trial Balance'!$A$277:$P$395,4,$B$16:$B$105)</f>
        <v>7954.48</v>
      </c>
      <c r="E46" s="584">
        <f>VLOOKUP(B46,'[1]Trial Balance'!$A$277:$P$395,6,$B$16:$B$105)</f>
        <v>24220.38</v>
      </c>
      <c r="F46" s="584">
        <f>VLOOKUP(B46,'[1]Trial Balance'!$A$277:$P$395,8,$B$16:$B$105)</f>
        <v>28708.29</v>
      </c>
      <c r="G46" s="584">
        <f>VLOOKUP(B46,'[1]Trial Balance'!$A$277:$P$395,10,$B$16:$B$105)</f>
        <v>26751.39</v>
      </c>
      <c r="H46" s="584">
        <f>VLOOKUP(B46,'[1]Trial Balance'!$A$277:$P$395,12,$B$16:$B$105)</f>
        <v>27946.33</v>
      </c>
      <c r="I46" s="584">
        <f>VLOOKUP(B46,'[1]Trial Balance'!$A$277:$P$395,14,$B$16:$B$105)</f>
        <v>28939.599999999999</v>
      </c>
      <c r="J46" s="584">
        <f>VLOOKUP(B46,'[1]Trial Balance'!$A$277:$P$395,16,$B$16:$B$105)</f>
        <v>29000</v>
      </c>
    </row>
    <row r="47" spans="2:10" x14ac:dyDescent="0.2">
      <c r="B47" s="300">
        <v>5125</v>
      </c>
      <c r="C47" s="73" t="s">
        <v>205</v>
      </c>
      <c r="D47" s="584">
        <f>VLOOKUP(B47,'[1]Trial Balance'!$A$277:$P$395,4,$B$16:$B$105)</f>
        <v>55885.72</v>
      </c>
      <c r="E47" s="584">
        <f>VLOOKUP(B47,'[1]Trial Balance'!$A$277:$P$395,6,$B$16:$B$105)</f>
        <v>85397.45</v>
      </c>
      <c r="F47" s="584">
        <f>VLOOKUP(B47,'[1]Trial Balance'!$A$277:$P$395,8,$B$16:$B$105)</f>
        <v>67004.66</v>
      </c>
      <c r="G47" s="584">
        <f>VLOOKUP(B47,'[1]Trial Balance'!$A$277:$P$395,10,$B$16:$B$105)</f>
        <v>120251.69</v>
      </c>
      <c r="H47" s="584">
        <f>VLOOKUP(B47,'[1]Trial Balance'!$A$277:$P$395,12,$B$16:$B$105)</f>
        <v>65316.08</v>
      </c>
      <c r="I47" s="584">
        <f>VLOOKUP(B47,'[1]Trial Balance'!$A$277:$P$395,14,$B$16:$B$105)</f>
        <v>101474.41</v>
      </c>
      <c r="J47" s="584">
        <f>VLOOKUP(B47,'[1]Trial Balance'!$A$277:$P$395,16,$B$16:$B$105)</f>
        <v>90000</v>
      </c>
    </row>
    <row r="48" spans="2:10" x14ac:dyDescent="0.2">
      <c r="B48" s="300">
        <v>5130</v>
      </c>
      <c r="C48" s="73" t="s">
        <v>206</v>
      </c>
      <c r="D48" s="584">
        <f>VLOOKUP(B48,'[1]Trial Balance'!$A$277:$P$395,4,$B$16:$B$105)</f>
        <v>28276.28</v>
      </c>
      <c r="E48" s="584">
        <f>VLOOKUP(B48,'[1]Trial Balance'!$A$277:$P$395,6,$B$16:$B$105)</f>
        <v>40890.33</v>
      </c>
      <c r="F48" s="584">
        <f>VLOOKUP(B48,'[1]Trial Balance'!$A$277:$P$395,8,$B$16:$B$105)</f>
        <v>33353.24</v>
      </c>
      <c r="G48" s="584">
        <f>VLOOKUP(B48,'[1]Trial Balance'!$A$277:$P$395,10,$B$16:$B$105)</f>
        <v>46616.56</v>
      </c>
      <c r="H48" s="584">
        <f>VLOOKUP(B48,'[1]Trial Balance'!$A$277:$P$395,12,$B$16:$B$105)</f>
        <v>44898.2</v>
      </c>
      <c r="I48" s="584">
        <f>VLOOKUP(B48,'[1]Trial Balance'!$A$277:$P$395,14,$B$16:$B$105)</f>
        <v>35287.29</v>
      </c>
      <c r="J48" s="584">
        <f>VLOOKUP(B48,'[1]Trial Balance'!$A$277:$P$395,16,$B$16:$B$105)</f>
        <v>35000</v>
      </c>
    </row>
    <row r="49" spans="2:10" x14ac:dyDescent="0.2">
      <c r="B49" s="300">
        <v>5135</v>
      </c>
      <c r="C49" s="73" t="s">
        <v>207</v>
      </c>
      <c r="D49" s="584">
        <f>VLOOKUP(B49,'[1]Trial Balance'!$A$277:$P$395,4,$B$16:$B$105)</f>
        <v>23263.63</v>
      </c>
      <c r="E49" s="584">
        <f>VLOOKUP(B49,'[1]Trial Balance'!$A$277:$P$395,6,$B$16:$B$105)</f>
        <v>42212.34</v>
      </c>
      <c r="F49" s="584">
        <f>VLOOKUP(B49,'[1]Trial Balance'!$A$277:$P$395,8,$B$16:$B$105)</f>
        <v>63629.08</v>
      </c>
      <c r="G49" s="584">
        <f>VLOOKUP(B49,'[1]Trial Balance'!$A$277:$P$395,10,$B$16:$B$105)</f>
        <v>109492.67</v>
      </c>
      <c r="H49" s="584">
        <f>VLOOKUP(B49,'[1]Trial Balance'!$A$277:$P$395,12,$B$16:$B$105)</f>
        <v>32896.5</v>
      </c>
      <c r="I49" s="584">
        <f>VLOOKUP(B49,'[1]Trial Balance'!$A$277:$P$395,14,$B$16:$B$105)</f>
        <v>89165.51</v>
      </c>
      <c r="J49" s="584">
        <f>VLOOKUP(B49,'[1]Trial Balance'!$A$277:$P$395,16,$B$16:$B$105)</f>
        <v>81000</v>
      </c>
    </row>
    <row r="50" spans="2:10" x14ac:dyDescent="0.2">
      <c r="B50" s="300">
        <v>5145</v>
      </c>
      <c r="C50" s="73" t="s">
        <v>208</v>
      </c>
      <c r="D50" s="584">
        <f>VLOOKUP(B50,'[1]Trial Balance'!$A$277:$P$395,4,$B$16:$B$105)</f>
        <v>4604.17</v>
      </c>
      <c r="E50" s="584">
        <f>VLOOKUP(B50,'[1]Trial Balance'!$A$277:$P$395,6,$B$16:$B$105)</f>
        <v>0</v>
      </c>
      <c r="F50" s="584">
        <f>VLOOKUP(B50,'[1]Trial Balance'!$A$277:$P$395,8,$B$16:$B$105)</f>
        <v>0</v>
      </c>
      <c r="G50" s="584">
        <f>VLOOKUP(B50,'[1]Trial Balance'!$A$277:$P$395,10,$B$16:$B$105)</f>
        <v>0</v>
      </c>
      <c r="H50" s="584">
        <f>VLOOKUP(B50,'[1]Trial Balance'!$A$277:$P$395,12,$B$16:$B$105)</f>
        <v>0</v>
      </c>
      <c r="I50" s="584">
        <f>VLOOKUP(B50,'[1]Trial Balance'!$A$277:$P$395,14,$B$16:$B$105)</f>
        <v>0</v>
      </c>
      <c r="J50" s="584">
        <f>VLOOKUP(B50,'[1]Trial Balance'!$A$277:$P$395,16,$B$16:$B$105)</f>
        <v>0</v>
      </c>
    </row>
    <row r="51" spans="2:10" x14ac:dyDescent="0.2">
      <c r="B51" s="300">
        <v>5150</v>
      </c>
      <c r="C51" s="73" t="s">
        <v>209</v>
      </c>
      <c r="D51" s="584">
        <f>VLOOKUP(B51,'[1]Trial Balance'!$A$277:$P$395,4,$B$16:$B$105)</f>
        <v>30807.62</v>
      </c>
      <c r="E51" s="584">
        <f>VLOOKUP(B51,'[1]Trial Balance'!$A$277:$P$395,6,$B$16:$B$105)</f>
        <v>28683.17</v>
      </c>
      <c r="F51" s="584">
        <f>VLOOKUP(B51,'[1]Trial Balance'!$A$277:$P$395,8,$B$16:$B$105)</f>
        <v>21283.01</v>
      </c>
      <c r="G51" s="584">
        <f>VLOOKUP(B51,'[1]Trial Balance'!$A$277:$P$395,10,$B$16:$B$105)</f>
        <v>64097.22</v>
      </c>
      <c r="H51" s="584">
        <f>VLOOKUP(B51,'[1]Trial Balance'!$A$277:$P$395,12,$B$16:$B$105)</f>
        <v>37758.76</v>
      </c>
      <c r="I51" s="584">
        <f>VLOOKUP(B51,'[1]Trial Balance'!$A$277:$P$395,14,$B$16:$B$105)</f>
        <v>86462.14</v>
      </c>
      <c r="J51" s="584">
        <f>VLOOKUP(B51,'[1]Trial Balance'!$A$277:$P$395,16,$B$16:$B$105)</f>
        <v>76000</v>
      </c>
    </row>
    <row r="52" spans="2:10" x14ac:dyDescent="0.2">
      <c r="B52" s="300">
        <v>5155</v>
      </c>
      <c r="C52" s="73" t="s">
        <v>210</v>
      </c>
      <c r="D52" s="584">
        <f>VLOOKUP(B52,'[1]Trial Balance'!$A$277:$P$395,4,$B$16:$B$105)</f>
        <v>58332.57</v>
      </c>
      <c r="E52" s="584">
        <f>VLOOKUP(B52,'[1]Trial Balance'!$A$277:$P$395,6,$B$16:$B$105)</f>
        <v>51112.24</v>
      </c>
      <c r="F52" s="584">
        <f>VLOOKUP(B52,'[1]Trial Balance'!$A$277:$P$395,8,$B$16:$B$105)</f>
        <v>90167.59</v>
      </c>
      <c r="G52" s="584">
        <f>VLOOKUP(B52,'[1]Trial Balance'!$A$277:$P$395,10,$B$16:$B$105)</f>
        <v>63613.56</v>
      </c>
      <c r="H52" s="584">
        <f>VLOOKUP(B52,'[1]Trial Balance'!$A$277:$P$395,12,$B$16:$B$105)</f>
        <v>50311.58</v>
      </c>
      <c r="I52" s="584">
        <f>VLOOKUP(B52,'[1]Trial Balance'!$A$277:$P$395,14,$B$16:$B$105)</f>
        <v>129762.18</v>
      </c>
      <c r="J52" s="584">
        <f>VLOOKUP(B52,'[1]Trial Balance'!$A$277:$P$395,16,$B$16:$B$105)</f>
        <v>94000</v>
      </c>
    </row>
    <row r="53" spans="2:10" x14ac:dyDescent="0.2">
      <c r="B53" s="300">
        <v>5160</v>
      </c>
      <c r="C53" s="73" t="s">
        <v>211</v>
      </c>
      <c r="D53" s="584">
        <f>VLOOKUP(B53,'[1]Trial Balance'!$A$277:$P$395,4,$B$16:$B$105)</f>
        <v>24593.41</v>
      </c>
      <c r="E53" s="584">
        <f>VLOOKUP(B53,'[1]Trial Balance'!$A$277:$P$395,6,$B$16:$B$105)</f>
        <v>28844.35</v>
      </c>
      <c r="F53" s="584">
        <f>VLOOKUP(B53,'[1]Trial Balance'!$A$277:$P$395,8,$B$16:$B$105)</f>
        <v>27346.32</v>
      </c>
      <c r="G53" s="584">
        <f>VLOOKUP(B53,'[1]Trial Balance'!$A$277:$P$395,10,$B$16:$B$105)</f>
        <v>63826.83</v>
      </c>
      <c r="H53" s="584">
        <f>VLOOKUP(B53,'[1]Trial Balance'!$A$277:$P$395,12,$B$16:$B$105)</f>
        <v>30364.27</v>
      </c>
      <c r="I53" s="584">
        <f>VLOOKUP(B53,'[1]Trial Balance'!$A$277:$P$395,14,$B$16:$B$105)</f>
        <v>33009.25</v>
      </c>
      <c r="J53" s="584">
        <f>VLOOKUP(B53,'[1]Trial Balance'!$A$277:$P$395,16,$B$16:$B$105)</f>
        <v>32000</v>
      </c>
    </row>
    <row r="54" spans="2:10" x14ac:dyDescent="0.2">
      <c r="B54" s="300">
        <v>5165</v>
      </c>
      <c r="C54" s="73" t="s">
        <v>212</v>
      </c>
      <c r="D54" s="584">
        <f>VLOOKUP(B54,'[1]Trial Balance'!$A$277:$P$395,4,$B$16:$B$105)</f>
        <v>0</v>
      </c>
      <c r="E54" s="584">
        <f>VLOOKUP(B54,'[1]Trial Balance'!$A$277:$P$395,6,$B$16:$B$105)</f>
        <v>0</v>
      </c>
      <c r="F54" s="584">
        <f>VLOOKUP(B54,'[1]Trial Balance'!$A$277:$P$395,8,$B$16:$B$105)</f>
        <v>126.94</v>
      </c>
      <c r="G54" s="584">
        <f>VLOOKUP(B54,'[1]Trial Balance'!$A$277:$P$395,10,$B$16:$B$105)</f>
        <v>0</v>
      </c>
      <c r="H54" s="584">
        <f>VLOOKUP(B54,'[1]Trial Balance'!$A$277:$P$395,12,$B$16:$B$105)</f>
        <v>0</v>
      </c>
      <c r="I54" s="584">
        <f>VLOOKUP(B54,'[1]Trial Balance'!$A$277:$P$395,14,$B$16:$B$105)</f>
        <v>0</v>
      </c>
      <c r="J54" s="584">
        <f>VLOOKUP(B54,'[1]Trial Balance'!$A$277:$P$395,16,$B$16:$B$105)</f>
        <v>0</v>
      </c>
    </row>
    <row r="55" spans="2:10" x14ac:dyDescent="0.2">
      <c r="B55" s="300">
        <v>5170</v>
      </c>
      <c r="C55" s="73" t="s">
        <v>213</v>
      </c>
      <c r="D55" s="584">
        <f>VLOOKUP(B55,'[1]Trial Balance'!$A$277:$P$395,4,$B$16:$B$105)</f>
        <v>0</v>
      </c>
      <c r="E55" s="584">
        <f>VLOOKUP(B55,'[1]Trial Balance'!$A$277:$P$395,6,$B$16:$B$105)</f>
        <v>0</v>
      </c>
      <c r="F55" s="584">
        <f>VLOOKUP(B55,'[1]Trial Balance'!$A$277:$P$395,8,$B$16:$B$105)</f>
        <v>0</v>
      </c>
      <c r="G55" s="584">
        <f>VLOOKUP(B55,'[1]Trial Balance'!$A$277:$P$395,10,$B$16:$B$105)</f>
        <v>0</v>
      </c>
      <c r="H55" s="584">
        <f>VLOOKUP(B55,'[1]Trial Balance'!$A$277:$P$395,12,$B$16:$B$105)</f>
        <v>0</v>
      </c>
      <c r="I55" s="584">
        <f>VLOOKUP(B55,'[1]Trial Balance'!$A$277:$P$395,14,$B$16:$B$105)</f>
        <v>0</v>
      </c>
      <c r="J55" s="584">
        <f>VLOOKUP(B55,'[1]Trial Balance'!$A$277:$P$395,16,$B$16:$B$105)</f>
        <v>0</v>
      </c>
    </row>
    <row r="56" spans="2:10" x14ac:dyDescent="0.2">
      <c r="B56" s="300">
        <v>5172</v>
      </c>
      <c r="C56" s="73" t="s">
        <v>214</v>
      </c>
      <c r="D56" s="584">
        <f>VLOOKUP(B56,'[1]Trial Balance'!$A$277:$P$395,4,$B$16:$B$105)</f>
        <v>0</v>
      </c>
      <c r="E56" s="584">
        <f>VLOOKUP(B56,'[1]Trial Balance'!$A$277:$P$395,6,$B$16:$B$105)</f>
        <v>0</v>
      </c>
      <c r="F56" s="584">
        <f>VLOOKUP(B56,'[1]Trial Balance'!$A$277:$P$395,8,$B$16:$B$105)</f>
        <v>0</v>
      </c>
      <c r="G56" s="584">
        <f>VLOOKUP(B56,'[1]Trial Balance'!$A$277:$P$395,10,$B$16:$B$105)</f>
        <v>0</v>
      </c>
      <c r="H56" s="584">
        <f>VLOOKUP(B56,'[1]Trial Balance'!$A$277:$P$395,12,$B$16:$B$105)</f>
        <v>0</v>
      </c>
      <c r="I56" s="584">
        <f>VLOOKUP(B56,'[1]Trial Balance'!$A$277:$P$395,14,$B$16:$B$105)</f>
        <v>0</v>
      </c>
      <c r="J56" s="584">
        <f>VLOOKUP(B56,'[1]Trial Balance'!$A$277:$P$395,16,$B$16:$B$105)</f>
        <v>0</v>
      </c>
    </row>
    <row r="57" spans="2:10" x14ac:dyDescent="0.2">
      <c r="B57" s="300">
        <v>5175</v>
      </c>
      <c r="C57" s="73" t="s">
        <v>215</v>
      </c>
      <c r="D57" s="584">
        <f>VLOOKUP(B57,'[1]Trial Balance'!$A$277:$P$395,4,$B$16:$B$105)</f>
        <v>11157.66</v>
      </c>
      <c r="E57" s="584">
        <f>VLOOKUP(B57,'[1]Trial Balance'!$A$277:$P$395,6,$B$16:$B$105)</f>
        <v>89346.27</v>
      </c>
      <c r="F57" s="584">
        <f>VLOOKUP(B57,'[1]Trial Balance'!$A$277:$P$395,8,$B$16:$B$105)</f>
        <v>77164.38</v>
      </c>
      <c r="G57" s="584">
        <f>VLOOKUP(B57,'[1]Trial Balance'!$A$277:$P$395,10,$B$16:$B$105)</f>
        <v>12321.98</v>
      </c>
      <c r="H57" s="584">
        <f>VLOOKUP(B57,'[1]Trial Balance'!$A$277:$P$395,12,$B$16:$B$105)</f>
        <v>19365.07</v>
      </c>
      <c r="I57" s="584">
        <f>VLOOKUP(B57,'[1]Trial Balance'!$A$277:$P$395,14,$B$16:$B$105)</f>
        <v>18462.64</v>
      </c>
      <c r="J57" s="584">
        <f>VLOOKUP(B57,'[1]Trial Balance'!$A$277:$P$395,16,$B$16:$B$105)</f>
        <v>18000</v>
      </c>
    </row>
    <row r="58" spans="2:10" x14ac:dyDescent="0.2">
      <c r="B58" s="300">
        <v>5178</v>
      </c>
      <c r="C58" s="73" t="s">
        <v>216</v>
      </c>
      <c r="D58" s="584">
        <f>VLOOKUP(B58,'[1]Trial Balance'!$A$277:$P$395,4,$B$16:$B$105)</f>
        <v>0</v>
      </c>
      <c r="E58" s="584">
        <f>VLOOKUP(B58,'[1]Trial Balance'!$A$277:$P$395,6,$B$16:$B$105)</f>
        <v>0</v>
      </c>
      <c r="F58" s="584">
        <f>VLOOKUP(B58,'[1]Trial Balance'!$A$277:$P$395,8,$B$16:$B$105)</f>
        <v>0</v>
      </c>
      <c r="G58" s="584">
        <f>VLOOKUP(B58,'[1]Trial Balance'!$A$277:$P$395,10,$B$16:$B$105)</f>
        <v>0</v>
      </c>
      <c r="H58" s="584">
        <f>VLOOKUP(B58,'[1]Trial Balance'!$A$277:$P$395,12,$B$16:$B$105)</f>
        <v>0</v>
      </c>
      <c r="I58" s="584">
        <f>VLOOKUP(B58,'[1]Trial Balance'!$A$277:$P$395,14,$B$16:$B$105)</f>
        <v>0</v>
      </c>
      <c r="J58" s="584">
        <f>VLOOKUP(B58,'[1]Trial Balance'!$A$277:$P$395,16,$B$16:$B$105)</f>
        <v>0</v>
      </c>
    </row>
    <row r="59" spans="2:10" ht="13.5" thickBot="1" x14ac:dyDescent="0.25">
      <c r="B59" s="306">
        <v>5195</v>
      </c>
      <c r="C59" s="73" t="s">
        <v>246</v>
      </c>
      <c r="D59" s="161"/>
      <c r="E59" s="161"/>
      <c r="F59" s="161"/>
      <c r="G59" s="161"/>
      <c r="H59" s="161"/>
      <c r="I59" s="161"/>
      <c r="J59" s="292"/>
    </row>
    <row r="60" spans="2:10" ht="14.25" thickTop="1" thickBot="1" x14ac:dyDescent="0.25">
      <c r="B60" s="717" t="s">
        <v>278</v>
      </c>
      <c r="C60" s="718"/>
      <c r="D60" s="303">
        <f>SUM(D42:D59)</f>
        <v>244875.54</v>
      </c>
      <c r="E60" s="303">
        <f t="shared" ref="E60:J60" si="2">SUM(E42:E59)</f>
        <v>390706.52999999997</v>
      </c>
      <c r="F60" s="303">
        <f t="shared" si="2"/>
        <v>408783.51</v>
      </c>
      <c r="G60" s="303">
        <f t="shared" si="2"/>
        <v>506971.9</v>
      </c>
      <c r="H60" s="303">
        <f t="shared" si="2"/>
        <v>308856.79000000004</v>
      </c>
      <c r="I60" s="303">
        <f t="shared" si="2"/>
        <v>522563.02</v>
      </c>
      <c r="J60" s="303">
        <f t="shared" si="2"/>
        <v>455000</v>
      </c>
    </row>
    <row r="61" spans="2:10" ht="13.5" customHeight="1" x14ac:dyDescent="0.2">
      <c r="B61" s="296" t="s">
        <v>625</v>
      </c>
      <c r="C61" s="297" t="s">
        <v>528</v>
      </c>
      <c r="D61" s="304" t="str">
        <f t="shared" ref="D61:J61" si="3">D40</f>
        <v>2006 Actual</v>
      </c>
      <c r="E61" s="304" t="str">
        <f t="shared" si="3"/>
        <v>2007 Actual</v>
      </c>
      <c r="F61" s="304" t="str">
        <f t="shared" si="3"/>
        <v>2008 Actual</v>
      </c>
      <c r="G61" s="304" t="str">
        <f t="shared" si="3"/>
        <v>2009 Actual</v>
      </c>
      <c r="H61" s="304" t="str">
        <f t="shared" si="3"/>
        <v>2010 Actual</v>
      </c>
      <c r="I61" s="304" t="str">
        <f t="shared" si="3"/>
        <v>2011 Actual</v>
      </c>
      <c r="J61" s="305" t="str">
        <f t="shared" si="3"/>
        <v>2012 Test</v>
      </c>
    </row>
    <row r="62" spans="2:10" x14ac:dyDescent="0.2">
      <c r="B62" s="712" t="s">
        <v>217</v>
      </c>
      <c r="C62" s="713"/>
      <c r="D62" s="713"/>
      <c r="E62" s="713"/>
      <c r="F62" s="713"/>
      <c r="G62" s="713"/>
      <c r="H62" s="713"/>
      <c r="I62" s="713"/>
      <c r="J62" s="714"/>
    </row>
    <row r="63" spans="2:10" x14ac:dyDescent="0.2">
      <c r="B63" s="300">
        <v>5305</v>
      </c>
      <c r="C63" s="73" t="s">
        <v>237</v>
      </c>
      <c r="D63" s="584">
        <f>VLOOKUP(B63,'[1]Trial Balance'!$A$277:$P$395,4,$B$16:$B$105)</f>
        <v>88397.91</v>
      </c>
      <c r="E63" s="584">
        <f>VLOOKUP(B63,'[1]Trial Balance'!$A$277:$P$395,6,$B$16:$B$105)</f>
        <v>84455.3</v>
      </c>
      <c r="F63" s="584">
        <f>VLOOKUP(B63,'[1]Trial Balance'!$A$277:$P$395,8,$B$16:$B$105)</f>
        <v>79675.41</v>
      </c>
      <c r="G63" s="584">
        <f>VLOOKUP(B63,'[1]Trial Balance'!$A$277:$P$395,10,$B$16:$B$105)</f>
        <v>81379.539999999994</v>
      </c>
      <c r="H63" s="584">
        <f>VLOOKUP(B63,'[1]Trial Balance'!$A$277:$P$395,12,$B$16:$B$105)</f>
        <v>87892.74</v>
      </c>
      <c r="I63" s="584">
        <f>VLOOKUP(B63,'[1]Trial Balance'!$A$277:$P$395,14,$B$16:$B$105)</f>
        <v>87990.61</v>
      </c>
      <c r="J63" s="584">
        <f>VLOOKUP(B63,'[1]Trial Balance'!$A$277:$P$395,16,$B$16:$B$105)</f>
        <v>90000</v>
      </c>
    </row>
    <row r="64" spans="2:10" x14ac:dyDescent="0.2">
      <c r="B64" s="300">
        <v>5310</v>
      </c>
      <c r="C64" s="73" t="s">
        <v>238</v>
      </c>
      <c r="D64" s="584">
        <f>VLOOKUP(B64,'[1]Trial Balance'!$A$277:$P$395,4,$B$16:$B$105)</f>
        <v>141705.60000000001</v>
      </c>
      <c r="E64" s="584">
        <f>VLOOKUP(B64,'[1]Trial Balance'!$A$277:$P$395,6,$B$16:$B$105)</f>
        <v>155797.17000000001</v>
      </c>
      <c r="F64" s="584">
        <f>VLOOKUP(B64,'[1]Trial Balance'!$A$277:$P$395,8,$B$16:$B$105)</f>
        <v>146837.54</v>
      </c>
      <c r="G64" s="584">
        <f>VLOOKUP(B64,'[1]Trial Balance'!$A$277:$P$395,10,$B$16:$B$105)</f>
        <v>171785.92</v>
      </c>
      <c r="H64" s="584">
        <f>VLOOKUP(B64,'[1]Trial Balance'!$A$277:$P$395,12,$B$16:$B$105)</f>
        <v>130838.06</v>
      </c>
      <c r="I64" s="584">
        <f>VLOOKUP(B64,'[1]Trial Balance'!$A$277:$P$395,14,$B$16:$B$105)</f>
        <v>78664.73</v>
      </c>
      <c r="J64" s="584">
        <f>VLOOKUP(B64,'[1]Trial Balance'!$A$277:$P$395,16,$B$16:$B$105)</f>
        <v>110063.76</v>
      </c>
    </row>
    <row r="65" spans="2:10" x14ac:dyDescent="0.2">
      <c r="B65" s="300">
        <v>5315</v>
      </c>
      <c r="C65" s="73" t="s">
        <v>239</v>
      </c>
      <c r="D65" s="584">
        <f>VLOOKUP(B65,'[1]Trial Balance'!$A$277:$P$395,4,$B$16:$B$105)</f>
        <v>195400.23</v>
      </c>
      <c r="E65" s="584">
        <f>VLOOKUP(B65,'[1]Trial Balance'!$A$277:$P$395,6,$B$16:$B$105)</f>
        <v>214343.8</v>
      </c>
      <c r="F65" s="584">
        <f>VLOOKUP(B65,'[1]Trial Balance'!$A$277:$P$395,8,$B$16:$B$105)</f>
        <v>213169.15</v>
      </c>
      <c r="G65" s="584">
        <f>VLOOKUP(B65,'[1]Trial Balance'!$A$277:$P$395,10,$B$16:$B$105)</f>
        <v>232442.56</v>
      </c>
      <c r="H65" s="584">
        <f>VLOOKUP(B65,'[1]Trial Balance'!$A$277:$P$395,12,$B$16:$B$105)</f>
        <v>218800.88</v>
      </c>
      <c r="I65" s="584">
        <f>VLOOKUP(B65,'[1]Trial Balance'!$A$277:$P$395,14,$B$16:$B$105)</f>
        <v>235490.29</v>
      </c>
      <c r="J65" s="584">
        <f>VLOOKUP(B65,'[1]Trial Balance'!$A$277:$P$395,16,$B$16:$B$105)</f>
        <v>241000</v>
      </c>
    </row>
    <row r="66" spans="2:10" x14ac:dyDescent="0.2">
      <c r="B66" s="300">
        <v>5320</v>
      </c>
      <c r="C66" s="73" t="s">
        <v>240</v>
      </c>
      <c r="D66" s="584">
        <f>VLOOKUP(B66,'[1]Trial Balance'!$A$277:$P$395,4,$B$16:$B$105)</f>
        <v>73051.5</v>
      </c>
      <c r="E66" s="584">
        <f>VLOOKUP(B66,'[1]Trial Balance'!$A$277:$P$395,6,$B$16:$B$105)</f>
        <v>78695.210000000006</v>
      </c>
      <c r="F66" s="584">
        <f>VLOOKUP(B66,'[1]Trial Balance'!$A$277:$P$395,8,$B$16:$B$105)</f>
        <v>80761.73</v>
      </c>
      <c r="G66" s="584">
        <f>VLOOKUP(B66,'[1]Trial Balance'!$A$277:$P$395,10,$B$16:$B$105)</f>
        <v>99722.23</v>
      </c>
      <c r="H66" s="584">
        <f>VLOOKUP(B66,'[1]Trial Balance'!$A$277:$P$395,12,$B$16:$B$105)</f>
        <v>79975.990000000005</v>
      </c>
      <c r="I66" s="584">
        <f>VLOOKUP(B66,'[1]Trial Balance'!$A$277:$P$395,14,$B$16:$B$105)</f>
        <v>79386.460000000006</v>
      </c>
      <c r="J66" s="584">
        <f>VLOOKUP(B66,'[1]Trial Balance'!$A$277:$P$395,16,$B$16:$B$105)</f>
        <v>80000</v>
      </c>
    </row>
    <row r="67" spans="2:10" x14ac:dyDescent="0.2">
      <c r="B67" s="300">
        <v>5325</v>
      </c>
      <c r="C67" s="73" t="s">
        <v>241</v>
      </c>
      <c r="D67" s="584">
        <f>VLOOKUP(B67,'[1]Trial Balance'!$A$277:$P$395,4,$B$16:$B$105)</f>
        <v>-257</v>
      </c>
      <c r="E67" s="584">
        <f>VLOOKUP(B67,'[1]Trial Balance'!$A$277:$P$395,6,$B$16:$B$105)</f>
        <v>760.4</v>
      </c>
      <c r="F67" s="584">
        <f>VLOOKUP(B67,'[1]Trial Balance'!$A$277:$P$395,8,$B$16:$B$105)</f>
        <v>-1794.89</v>
      </c>
      <c r="G67" s="584">
        <f>VLOOKUP(B67,'[1]Trial Balance'!$A$277:$P$395,10,$B$16:$B$105)</f>
        <v>2431.98</v>
      </c>
      <c r="H67" s="584">
        <f>VLOOKUP(B67,'[1]Trial Balance'!$A$277:$P$395,12,$B$16:$B$105)</f>
        <v>-14.51</v>
      </c>
      <c r="I67" s="584">
        <f>VLOOKUP(B67,'[1]Trial Balance'!$A$277:$P$395,14,$B$16:$B$105)</f>
        <v>1333.77</v>
      </c>
      <c r="J67" s="584">
        <f>VLOOKUP(B67,'[1]Trial Balance'!$A$277:$P$395,16,$B$16:$B$105)</f>
        <v>1000</v>
      </c>
    </row>
    <row r="68" spans="2:10" x14ac:dyDescent="0.2">
      <c r="B68" s="300">
        <v>5330</v>
      </c>
      <c r="C68" s="73" t="s">
        <v>242</v>
      </c>
      <c r="D68" s="584">
        <f>VLOOKUP(B68,'[1]Trial Balance'!$A$277:$P$395,4,$B$16:$B$105)</f>
        <v>0</v>
      </c>
      <c r="E68" s="584">
        <f>VLOOKUP(B68,'[1]Trial Balance'!$A$277:$P$395,6,$B$16:$B$105)</f>
        <v>0</v>
      </c>
      <c r="F68" s="584">
        <f>VLOOKUP(B68,'[1]Trial Balance'!$A$277:$P$395,8,$B$16:$B$105)</f>
        <v>0</v>
      </c>
      <c r="G68" s="584">
        <f>VLOOKUP(B68,'[1]Trial Balance'!$A$277:$P$395,10,$B$16:$B$105)</f>
        <v>0</v>
      </c>
      <c r="H68" s="584">
        <f>VLOOKUP(B68,'[1]Trial Balance'!$A$277:$P$395,12,$B$16:$B$105)</f>
        <v>0</v>
      </c>
      <c r="I68" s="584">
        <f>VLOOKUP(B68,'[1]Trial Balance'!$A$277:$P$395,14,$B$16:$B$105)</f>
        <v>0</v>
      </c>
      <c r="J68" s="584">
        <f>VLOOKUP(B68,'[1]Trial Balance'!$A$277:$P$395,16,$B$16:$B$105)</f>
        <v>0</v>
      </c>
    </row>
    <row r="69" spans="2:10" x14ac:dyDescent="0.2">
      <c r="B69" s="300">
        <v>5335</v>
      </c>
      <c r="C69" s="73" t="s">
        <v>243</v>
      </c>
      <c r="D69" s="584">
        <f>VLOOKUP(B69,'[1]Trial Balance'!$A$277:$P$395,4,$B$16:$B$105)</f>
        <v>10916.56</v>
      </c>
      <c r="E69" s="584">
        <f>VLOOKUP(B69,'[1]Trial Balance'!$A$277:$P$395,6,$B$16:$B$105)</f>
        <v>4482.1000000000004</v>
      </c>
      <c r="F69" s="584">
        <f>VLOOKUP(B69,'[1]Trial Balance'!$A$277:$P$395,8,$B$16:$B$105)</f>
        <v>281545.09999999998</v>
      </c>
      <c r="G69" s="584">
        <f>VLOOKUP(B69,'[1]Trial Balance'!$A$277:$P$395,10,$B$16:$B$105)</f>
        <v>258966.05</v>
      </c>
      <c r="H69" s="584">
        <f>VLOOKUP(B69,'[1]Trial Balance'!$A$277:$P$395,12,$B$16:$B$105)</f>
        <v>193279.27</v>
      </c>
      <c r="I69" s="584">
        <f>VLOOKUP(B69,'[1]Trial Balance'!$A$277:$P$395,14,$B$16:$B$105)</f>
        <v>312515.17</v>
      </c>
      <c r="J69" s="584">
        <f>VLOOKUP(B69,'[1]Trial Balance'!$A$277:$P$395,16,$B$16:$B$105)</f>
        <v>253000</v>
      </c>
    </row>
    <row r="70" spans="2:10" ht="13.5" thickBot="1" x14ac:dyDescent="0.25">
      <c r="B70" s="306">
        <v>5340</v>
      </c>
      <c r="C70" s="73" t="s">
        <v>244</v>
      </c>
      <c r="D70" s="584">
        <f>VLOOKUP(B70,'[1]Trial Balance'!$A$277:$P$395,4,$B$16:$B$105)</f>
        <v>4594.42</v>
      </c>
      <c r="E70" s="584">
        <f>VLOOKUP(B70,'[1]Trial Balance'!$A$277:$P$395,6,$B$16:$B$105)</f>
        <v>0</v>
      </c>
      <c r="F70" s="584">
        <f>VLOOKUP(B70,'[1]Trial Balance'!$A$277:$P$395,8,$B$16:$B$105)</f>
        <v>0</v>
      </c>
      <c r="G70" s="584">
        <f>VLOOKUP(B70,'[1]Trial Balance'!$A$277:$P$395,10,$B$16:$B$105)</f>
        <v>0</v>
      </c>
      <c r="H70" s="584">
        <f>VLOOKUP(B70,'[1]Trial Balance'!$A$277:$P$395,12,$B$16:$B$105)</f>
        <v>0</v>
      </c>
      <c r="I70" s="584">
        <f>VLOOKUP(B70,'[1]Trial Balance'!$A$277:$P$395,14,$B$16:$B$105)</f>
        <v>0</v>
      </c>
      <c r="J70" s="584">
        <f>VLOOKUP(B70,'[1]Trial Balance'!$A$277:$P$395,16,$B$16:$B$105)</f>
        <v>0</v>
      </c>
    </row>
    <row r="71" spans="2:10" ht="14.25" thickTop="1" thickBot="1" x14ac:dyDescent="0.25">
      <c r="B71" s="717" t="s">
        <v>279</v>
      </c>
      <c r="C71" s="718"/>
      <c r="D71" s="303">
        <f t="shared" ref="D71:J71" si="4">SUM(D63:D70)</f>
        <v>513809.22</v>
      </c>
      <c r="E71" s="303">
        <f t="shared" si="4"/>
        <v>538533.98</v>
      </c>
      <c r="F71" s="303">
        <f t="shared" si="4"/>
        <v>800194.03999999992</v>
      </c>
      <c r="G71" s="303">
        <f t="shared" si="4"/>
        <v>846728.28</v>
      </c>
      <c r="H71" s="303">
        <f t="shared" si="4"/>
        <v>710772.42999999993</v>
      </c>
      <c r="I71" s="303">
        <f t="shared" si="4"/>
        <v>795381.03</v>
      </c>
      <c r="J71" s="303">
        <f t="shared" si="4"/>
        <v>775063.76</v>
      </c>
    </row>
    <row r="72" spans="2:10" ht="13.5" customHeight="1" x14ac:dyDescent="0.2">
      <c r="B72" s="296" t="s">
        <v>625</v>
      </c>
      <c r="C72" s="297" t="s">
        <v>528</v>
      </c>
      <c r="D72" s="304" t="str">
        <f t="shared" ref="D72:J72" si="5">D61</f>
        <v>2006 Actual</v>
      </c>
      <c r="E72" s="304" t="str">
        <f t="shared" si="5"/>
        <v>2007 Actual</v>
      </c>
      <c r="F72" s="304" t="str">
        <f t="shared" si="5"/>
        <v>2008 Actual</v>
      </c>
      <c r="G72" s="304" t="str">
        <f t="shared" si="5"/>
        <v>2009 Actual</v>
      </c>
      <c r="H72" s="304" t="str">
        <f t="shared" si="5"/>
        <v>2010 Actual</v>
      </c>
      <c r="I72" s="304" t="str">
        <f t="shared" si="5"/>
        <v>2011 Actual</v>
      </c>
      <c r="J72" s="305" t="str">
        <f t="shared" si="5"/>
        <v>2012 Test</v>
      </c>
    </row>
    <row r="73" spans="2:10" x14ac:dyDescent="0.2">
      <c r="B73" s="712" t="s">
        <v>280</v>
      </c>
      <c r="C73" s="713"/>
      <c r="D73" s="713"/>
      <c r="E73" s="713"/>
      <c r="F73" s="713"/>
      <c r="G73" s="713"/>
      <c r="H73" s="713"/>
      <c r="I73" s="713"/>
      <c r="J73" s="714"/>
    </row>
    <row r="74" spans="2:10" x14ac:dyDescent="0.2">
      <c r="B74" s="300">
        <v>5405</v>
      </c>
      <c r="C74" s="73" t="s">
        <v>237</v>
      </c>
      <c r="D74" s="584">
        <f>VLOOKUP(B74,'[1]Trial Balance'!$A$277:$P$395,4,$B$16:$B$105)</f>
        <v>0</v>
      </c>
      <c r="E74" s="584">
        <f>VLOOKUP(B74,'[1]Trial Balance'!$A$277:$P$395,6,$B$16:$B$105)</f>
        <v>0</v>
      </c>
      <c r="F74" s="584">
        <f>VLOOKUP(B74,'[1]Trial Balance'!$A$277:$P$395,8,$B$16:$B$105)</f>
        <v>0</v>
      </c>
      <c r="G74" s="584">
        <f>VLOOKUP(B74,'[1]Trial Balance'!$A$277:$P$395,10,$B$16:$B$105)</f>
        <v>0</v>
      </c>
      <c r="H74" s="584">
        <f>VLOOKUP(B74,'[1]Trial Balance'!$A$277:$P$395,12,$B$16:$B$105)</f>
        <v>0</v>
      </c>
      <c r="I74" s="584">
        <f>VLOOKUP(B74,'[1]Trial Balance'!$A$277:$P$395,14,$B$16:$B$105)</f>
        <v>0</v>
      </c>
      <c r="J74" s="584">
        <f>VLOOKUP(B74,'[1]Trial Balance'!$A$277:$P$395,16,$B$16:$B$105)</f>
        <v>0</v>
      </c>
    </row>
    <row r="75" spans="2:10" x14ac:dyDescent="0.2">
      <c r="B75" s="300">
        <v>5410</v>
      </c>
      <c r="C75" s="73" t="s">
        <v>247</v>
      </c>
      <c r="D75" s="584">
        <f>VLOOKUP(B75,'[1]Trial Balance'!$A$277:$P$395,4,$B$16:$B$105)</f>
        <v>4879.16</v>
      </c>
      <c r="E75" s="584">
        <f>VLOOKUP(B75,'[1]Trial Balance'!$A$277:$P$395,6,$B$16:$B$105)</f>
        <v>4020.31</v>
      </c>
      <c r="F75" s="584">
        <f>VLOOKUP(B75,'[1]Trial Balance'!$A$277:$P$395,8,$B$16:$B$105)</f>
        <v>8086.88</v>
      </c>
      <c r="G75" s="584">
        <f>VLOOKUP(B75,'[1]Trial Balance'!$A$277:$P$395,10,$B$16:$B$105)</f>
        <v>9918.77</v>
      </c>
      <c r="H75" s="584">
        <f>VLOOKUP(B75,'[1]Trial Balance'!$A$277:$P$395,12,$B$16:$B$105)</f>
        <v>8141.61</v>
      </c>
      <c r="I75" s="584">
        <f>VLOOKUP(B75,'[1]Trial Balance'!$A$277:$P$395,14,$B$16:$B$105)</f>
        <v>3794.8</v>
      </c>
      <c r="J75" s="584">
        <f>VLOOKUP(B75,'[1]Trial Balance'!$A$277:$P$395,16,$B$16:$B$105)</f>
        <v>3000</v>
      </c>
    </row>
    <row r="76" spans="2:10" x14ac:dyDescent="0.2">
      <c r="B76" s="300">
        <v>5415</v>
      </c>
      <c r="C76" s="73" t="s">
        <v>249</v>
      </c>
      <c r="D76" s="584">
        <f>VLOOKUP(B76,'[1]Trial Balance'!$A$277:$P$395,4,$B$16:$B$105)</f>
        <v>6812.57</v>
      </c>
      <c r="E76" s="584">
        <f>VLOOKUP(B76,'[1]Trial Balance'!$A$277:$P$395,6,$B$16:$B$105)</f>
        <v>10552.42</v>
      </c>
      <c r="F76" s="584">
        <f>VLOOKUP(B76,'[1]Trial Balance'!$A$277:$P$395,8,$B$16:$B$105)</f>
        <v>4772.5200000000004</v>
      </c>
      <c r="G76" s="584">
        <f>VLOOKUP(B76,'[1]Trial Balance'!$A$277:$P$395,10,$B$16:$B$105)</f>
        <v>0</v>
      </c>
      <c r="H76" s="584">
        <f>VLOOKUP(B76,'[1]Trial Balance'!$A$277:$P$395,12,$B$16:$B$105)</f>
        <v>0</v>
      </c>
      <c r="I76" s="584">
        <f>VLOOKUP(B76,'[1]Trial Balance'!$A$277:$P$395,14,$B$16:$B$105)</f>
        <v>0</v>
      </c>
      <c r="J76" s="584">
        <f>VLOOKUP(B76,'[1]Trial Balance'!$A$277:$P$395,16,$B$16:$B$105)</f>
        <v>0</v>
      </c>
    </row>
    <row r="77" spans="2:10" x14ac:dyDescent="0.2">
      <c r="B77" s="300">
        <v>5420</v>
      </c>
      <c r="C77" s="73" t="s">
        <v>250</v>
      </c>
      <c r="D77" s="584">
        <f>VLOOKUP(B77,'[1]Trial Balance'!$A$277:$P$395,4,$B$16:$B$105)</f>
        <v>312.94</v>
      </c>
      <c r="E77" s="584">
        <f>VLOOKUP(B77,'[1]Trial Balance'!$A$277:$P$395,6,$B$16:$B$105)</f>
        <v>0</v>
      </c>
      <c r="F77" s="584">
        <f>VLOOKUP(B77,'[1]Trial Balance'!$A$277:$P$395,8,$B$16:$B$105)</f>
        <v>0</v>
      </c>
      <c r="G77" s="584">
        <f>VLOOKUP(B77,'[1]Trial Balance'!$A$277:$P$395,10,$B$16:$B$105)</f>
        <v>0</v>
      </c>
      <c r="H77" s="584">
        <f>VLOOKUP(B77,'[1]Trial Balance'!$A$277:$P$395,12,$B$16:$B$105)</f>
        <v>0</v>
      </c>
      <c r="I77" s="584">
        <f>VLOOKUP(B77,'[1]Trial Balance'!$A$277:$P$395,14,$B$16:$B$105)</f>
        <v>0</v>
      </c>
      <c r="J77" s="584">
        <f>VLOOKUP(B77,'[1]Trial Balance'!$A$277:$P$395,16,$B$16:$B$105)</f>
        <v>0</v>
      </c>
    </row>
    <row r="78" spans="2:10" x14ac:dyDescent="0.2">
      <c r="B78" s="300">
        <v>5425</v>
      </c>
      <c r="C78" s="73" t="s">
        <v>251</v>
      </c>
      <c r="D78" s="584">
        <f>VLOOKUP(B78,'[1]Trial Balance'!$A$277:$P$395,4,$B$16:$B$105)</f>
        <v>0</v>
      </c>
      <c r="E78" s="584">
        <f>VLOOKUP(B78,'[1]Trial Balance'!$A$277:$P$395,6,$B$16:$B$105)</f>
        <v>0</v>
      </c>
      <c r="F78" s="584">
        <f>VLOOKUP(B78,'[1]Trial Balance'!$A$277:$P$395,8,$B$16:$B$105)</f>
        <v>0</v>
      </c>
      <c r="G78" s="584">
        <f>VLOOKUP(B78,'[1]Trial Balance'!$A$277:$P$395,10,$B$16:$B$105)</f>
        <v>0</v>
      </c>
      <c r="H78" s="584">
        <f>VLOOKUP(B78,'[1]Trial Balance'!$A$277:$P$395,12,$B$16:$B$105)</f>
        <v>0</v>
      </c>
      <c r="I78" s="584">
        <f>VLOOKUP(B78,'[1]Trial Balance'!$A$277:$P$395,14,$B$16:$B$105)</f>
        <v>0</v>
      </c>
      <c r="J78" s="584">
        <f>VLOOKUP(B78,'[1]Trial Balance'!$A$277:$P$395,16,$B$16:$B$105)</f>
        <v>0</v>
      </c>
    </row>
    <row r="79" spans="2:10" x14ac:dyDescent="0.2">
      <c r="B79" s="300">
        <v>5505</v>
      </c>
      <c r="C79" s="73" t="s">
        <v>237</v>
      </c>
      <c r="D79" s="584">
        <f>VLOOKUP(B79,'[1]Trial Balance'!$A$277:$P$395,4,$B$16:$B$105)</f>
        <v>0</v>
      </c>
      <c r="E79" s="584">
        <f>VLOOKUP(B79,'[1]Trial Balance'!$A$277:$P$395,6,$B$16:$B$105)</f>
        <v>0</v>
      </c>
      <c r="F79" s="584">
        <f>VLOOKUP(B79,'[1]Trial Balance'!$A$277:$P$395,8,$B$16:$B$105)</f>
        <v>0</v>
      </c>
      <c r="G79" s="584">
        <f>VLOOKUP(B79,'[1]Trial Balance'!$A$277:$P$395,10,$B$16:$B$105)</f>
        <v>0</v>
      </c>
      <c r="H79" s="584">
        <f>VLOOKUP(B79,'[1]Trial Balance'!$A$277:$P$395,12,$B$16:$B$105)</f>
        <v>0</v>
      </c>
      <c r="I79" s="584">
        <f>VLOOKUP(B79,'[1]Trial Balance'!$A$277:$P$395,14,$B$16:$B$105)</f>
        <v>0</v>
      </c>
      <c r="J79" s="584">
        <f>VLOOKUP(B79,'[1]Trial Balance'!$A$277:$P$395,16,$B$16:$B$105)</f>
        <v>0</v>
      </c>
    </row>
    <row r="80" spans="2:10" x14ac:dyDescent="0.2">
      <c r="B80" s="300">
        <v>5510</v>
      </c>
      <c r="C80" s="73" t="s">
        <v>252</v>
      </c>
      <c r="D80" s="584">
        <f>VLOOKUP(B80,'[1]Trial Balance'!$A$277:$P$395,4,$B$16:$B$105)</f>
        <v>0</v>
      </c>
      <c r="E80" s="584">
        <f>VLOOKUP(B80,'[1]Trial Balance'!$A$277:$P$395,6,$B$16:$B$105)</f>
        <v>0</v>
      </c>
      <c r="F80" s="584">
        <f>VLOOKUP(B80,'[1]Trial Balance'!$A$277:$P$395,8,$B$16:$B$105)</f>
        <v>0</v>
      </c>
      <c r="G80" s="584">
        <f>VLOOKUP(B80,'[1]Trial Balance'!$A$277:$P$395,10,$B$16:$B$105)</f>
        <v>0</v>
      </c>
      <c r="H80" s="584">
        <f>VLOOKUP(B80,'[1]Trial Balance'!$A$277:$P$395,12,$B$16:$B$105)</f>
        <v>0</v>
      </c>
      <c r="I80" s="584">
        <f>VLOOKUP(B80,'[1]Trial Balance'!$A$277:$P$395,14,$B$16:$B$105)</f>
        <v>0</v>
      </c>
      <c r="J80" s="584">
        <f>VLOOKUP(B80,'[1]Trial Balance'!$A$277:$P$395,16,$B$16:$B$105)</f>
        <v>0</v>
      </c>
    </row>
    <row r="81" spans="2:10" x14ac:dyDescent="0.2">
      <c r="B81" s="300">
        <v>5515</v>
      </c>
      <c r="C81" s="73" t="s">
        <v>253</v>
      </c>
      <c r="D81" s="584">
        <f>VLOOKUP(B81,'[1]Trial Balance'!$A$277:$P$395,4,$B$16:$B$105)</f>
        <v>1416.54</v>
      </c>
      <c r="E81" s="584">
        <f>VLOOKUP(B81,'[1]Trial Balance'!$A$277:$P$395,6,$B$16:$B$105)</f>
        <v>5762.45</v>
      </c>
      <c r="F81" s="584">
        <f>VLOOKUP(B81,'[1]Trial Balance'!$A$277:$P$395,8,$B$16:$B$105)</f>
        <v>4022.43</v>
      </c>
      <c r="G81" s="584">
        <f>VLOOKUP(B81,'[1]Trial Balance'!$A$277:$P$395,10,$B$16:$B$105)</f>
        <v>4205.29</v>
      </c>
      <c r="H81" s="584">
        <f>VLOOKUP(B81,'[1]Trial Balance'!$A$277:$P$395,12,$B$16:$B$105)</f>
        <v>7788.5</v>
      </c>
      <c r="I81" s="584">
        <f>VLOOKUP(B81,'[1]Trial Balance'!$A$277:$P$395,14,$B$16:$B$105)</f>
        <v>0</v>
      </c>
      <c r="J81" s="584">
        <f>VLOOKUP(B81,'[1]Trial Balance'!$A$277:$P$395,16,$B$16:$B$105)</f>
        <v>7000</v>
      </c>
    </row>
    <row r="82" spans="2:10" ht="13.5" thickBot="1" x14ac:dyDescent="0.25">
      <c r="B82" s="286">
        <v>5520</v>
      </c>
      <c r="C82" s="73" t="s">
        <v>254</v>
      </c>
      <c r="D82" s="584">
        <f>VLOOKUP(B82,'[1]Trial Balance'!$A$277:$P$395,4,$B$16:$B$105)</f>
        <v>0</v>
      </c>
      <c r="E82" s="584">
        <f>VLOOKUP(B82,'[1]Trial Balance'!$A$277:$P$395,6,$B$16:$B$105)</f>
        <v>0</v>
      </c>
      <c r="F82" s="584">
        <f>VLOOKUP(B82,'[1]Trial Balance'!$A$277:$P$395,8,$B$16:$B$105)</f>
        <v>0</v>
      </c>
      <c r="G82" s="584">
        <f>VLOOKUP(B82,'[1]Trial Balance'!$A$277:$P$395,10,$B$16:$B$105)</f>
        <v>0</v>
      </c>
      <c r="H82" s="584">
        <f>VLOOKUP(B82,'[1]Trial Balance'!$A$277:$P$395,12,$B$16:$B$105)</f>
        <v>0</v>
      </c>
      <c r="I82" s="584">
        <f>VLOOKUP(B82,'[1]Trial Balance'!$A$277:$P$395,14,$B$16:$B$105)</f>
        <v>0</v>
      </c>
      <c r="J82" s="584">
        <f>VLOOKUP(B82,'[1]Trial Balance'!$A$277:$P$395,16,$B$16:$B$105)</f>
        <v>0</v>
      </c>
    </row>
    <row r="83" spans="2:10" ht="14.25" thickTop="1" thickBot="1" x14ac:dyDescent="0.25">
      <c r="B83" s="309" t="s">
        <v>314</v>
      </c>
      <c r="C83" s="302"/>
      <c r="D83" s="303">
        <f>SUM(D74:D82)</f>
        <v>13421.21</v>
      </c>
      <c r="E83" s="303">
        <f t="shared" ref="E83:J83" si="6">SUM(E74:E82)</f>
        <v>20335.18</v>
      </c>
      <c r="F83" s="303">
        <f t="shared" si="6"/>
        <v>16881.830000000002</v>
      </c>
      <c r="G83" s="303">
        <f t="shared" si="6"/>
        <v>14124.060000000001</v>
      </c>
      <c r="H83" s="303">
        <f t="shared" si="6"/>
        <v>15930.11</v>
      </c>
      <c r="I83" s="303">
        <f t="shared" si="6"/>
        <v>3794.8</v>
      </c>
      <c r="J83" s="303">
        <f t="shared" si="6"/>
        <v>10000</v>
      </c>
    </row>
    <row r="84" spans="2:10" ht="13.5" customHeight="1" x14ac:dyDescent="0.2">
      <c r="B84" s="296" t="s">
        <v>625</v>
      </c>
      <c r="C84" s="297" t="s">
        <v>528</v>
      </c>
      <c r="D84" s="304" t="str">
        <f t="shared" ref="D84:J84" si="7">D72</f>
        <v>2006 Actual</v>
      </c>
      <c r="E84" s="304" t="str">
        <f t="shared" si="7"/>
        <v>2007 Actual</v>
      </c>
      <c r="F84" s="304" t="str">
        <f t="shared" si="7"/>
        <v>2008 Actual</v>
      </c>
      <c r="G84" s="304" t="str">
        <f t="shared" si="7"/>
        <v>2009 Actual</v>
      </c>
      <c r="H84" s="304" t="str">
        <f t="shared" si="7"/>
        <v>2010 Actual</v>
      </c>
      <c r="I84" s="304" t="str">
        <f t="shared" si="7"/>
        <v>2011 Actual</v>
      </c>
      <c r="J84" s="311" t="str">
        <f t="shared" si="7"/>
        <v>2012 Test</v>
      </c>
    </row>
    <row r="85" spans="2:10" x14ac:dyDescent="0.2">
      <c r="B85" s="712" t="s">
        <v>255</v>
      </c>
      <c r="C85" s="713"/>
      <c r="D85" s="713"/>
      <c r="E85" s="713"/>
      <c r="F85" s="713"/>
      <c r="G85" s="713"/>
      <c r="H85" s="713"/>
      <c r="I85" s="713"/>
      <c r="J85" s="714"/>
    </row>
    <row r="86" spans="2:10" x14ac:dyDescent="0.2">
      <c r="B86" s="300">
        <v>5605</v>
      </c>
      <c r="C86" s="73" t="s">
        <v>256</v>
      </c>
      <c r="D86" s="584">
        <f>VLOOKUP(B86,'[1]Trial Balance'!$A$277:$P$395,4,$B$16:$B$105)</f>
        <v>29779.96</v>
      </c>
      <c r="E86" s="584">
        <f>VLOOKUP(B86,'[1]Trial Balance'!$A$277:$P$395,6,$B$16:$B$105)</f>
        <v>25073</v>
      </c>
      <c r="F86" s="584">
        <f>VLOOKUP(B86,'[1]Trial Balance'!$A$277:$P$395,8,$B$16:$B$105)</f>
        <v>42633.97</v>
      </c>
      <c r="G86" s="584">
        <f>VLOOKUP(B86,'[1]Trial Balance'!$A$277:$P$395,10,$B$16:$B$105)</f>
        <v>13631.17</v>
      </c>
      <c r="H86" s="584">
        <f>VLOOKUP(B86,'[1]Trial Balance'!$A$277:$P$395,12,$B$16:$B$105)</f>
        <v>18940.07</v>
      </c>
      <c r="I86" s="584">
        <f>VLOOKUP(B86,'[1]Trial Balance'!$A$277:$P$395,14,$B$16:$B$105)</f>
        <v>19660.8</v>
      </c>
      <c r="J86" s="584">
        <f>VLOOKUP(B86,'[1]Trial Balance'!$A$277:$P$395,16,$B$16:$B$105)</f>
        <v>20000</v>
      </c>
    </row>
    <row r="87" spans="2:10" x14ac:dyDescent="0.2">
      <c r="B87" s="300">
        <v>5610</v>
      </c>
      <c r="C87" s="73" t="s">
        <v>257</v>
      </c>
      <c r="D87" s="584">
        <f>VLOOKUP(B87,'[1]Trial Balance'!$A$277:$P$395,4,$B$16:$B$105)</f>
        <v>248232.7</v>
      </c>
      <c r="E87" s="584">
        <f>VLOOKUP(B87,'[1]Trial Balance'!$A$277:$P$395,6,$B$16:$B$105)</f>
        <v>263973.46000000002</v>
      </c>
      <c r="F87" s="584">
        <f>VLOOKUP(B87,'[1]Trial Balance'!$A$277:$P$395,8,$B$16:$B$105)</f>
        <v>208911.59</v>
      </c>
      <c r="G87" s="584">
        <f>VLOOKUP(B87,'[1]Trial Balance'!$A$277:$P$395,10,$B$16:$B$105)</f>
        <v>269158.31</v>
      </c>
      <c r="H87" s="584">
        <f>VLOOKUP(B87,'[1]Trial Balance'!$A$277:$P$395,12,$B$16:$B$105)</f>
        <v>331646.86</v>
      </c>
      <c r="I87" s="584">
        <f>VLOOKUP(B87,'[1]Trial Balance'!$A$277:$P$395,14,$B$16:$B$105)</f>
        <v>316300.40999999997</v>
      </c>
      <c r="J87" s="584">
        <f>VLOOKUP(B87,'[1]Trial Balance'!$A$277:$P$395,16,$B$16:$B$105)</f>
        <v>505000</v>
      </c>
    </row>
    <row r="88" spans="2:10" x14ac:dyDescent="0.2">
      <c r="B88" s="300">
        <v>5615</v>
      </c>
      <c r="C88" s="73" t="s">
        <v>258</v>
      </c>
      <c r="D88" s="584">
        <f>VLOOKUP(B88,'[1]Trial Balance'!$A$277:$P$395,4,$B$16:$B$105)</f>
        <v>59075.51</v>
      </c>
      <c r="E88" s="584">
        <f>VLOOKUP(B88,'[1]Trial Balance'!$A$277:$P$395,6,$B$16:$B$105)</f>
        <v>59251.53</v>
      </c>
      <c r="F88" s="584">
        <f>VLOOKUP(B88,'[1]Trial Balance'!$A$277:$P$395,8,$B$16:$B$105)</f>
        <v>77015.740000000005</v>
      </c>
      <c r="G88" s="584">
        <f>VLOOKUP(B88,'[1]Trial Balance'!$A$277:$P$395,10,$B$16:$B$105)</f>
        <v>72225.460000000006</v>
      </c>
      <c r="H88" s="584">
        <f>VLOOKUP(B88,'[1]Trial Balance'!$A$277:$P$395,12,$B$16:$B$105)</f>
        <v>55322.03</v>
      </c>
      <c r="I88" s="584">
        <f>VLOOKUP(B88,'[1]Trial Balance'!$A$277:$P$395,14,$B$16:$B$105)</f>
        <v>61904.57</v>
      </c>
      <c r="J88" s="584">
        <f>VLOOKUP(B88,'[1]Trial Balance'!$A$277:$P$395,16,$B$16:$B$105)</f>
        <v>65000</v>
      </c>
    </row>
    <row r="89" spans="2:10" x14ac:dyDescent="0.2">
      <c r="B89" s="300">
        <v>5620</v>
      </c>
      <c r="C89" s="73" t="s">
        <v>259</v>
      </c>
      <c r="D89" s="584">
        <f>VLOOKUP(B89,'[1]Trial Balance'!$A$277:$P$395,4,$B$16:$B$105)</f>
        <v>113824.32000000001</v>
      </c>
      <c r="E89" s="584">
        <f>VLOOKUP(B89,'[1]Trial Balance'!$A$277:$P$395,6,$B$16:$B$105)</f>
        <v>92585.82</v>
      </c>
      <c r="F89" s="584">
        <f>VLOOKUP(B89,'[1]Trial Balance'!$A$277:$P$395,8,$B$16:$B$105)</f>
        <v>82003.78</v>
      </c>
      <c r="G89" s="584">
        <f>VLOOKUP(B89,'[1]Trial Balance'!$A$277:$P$395,10,$B$16:$B$105)</f>
        <v>104100.25</v>
      </c>
      <c r="H89" s="584">
        <f>VLOOKUP(B89,'[1]Trial Balance'!$A$277:$P$395,12,$B$16:$B$105)</f>
        <v>61253.15</v>
      </c>
      <c r="I89" s="584">
        <f>VLOOKUP(B89,'[1]Trial Balance'!$A$277:$P$395,14,$B$16:$B$105)</f>
        <v>81983.63</v>
      </c>
      <c r="J89" s="584">
        <f>VLOOKUP(B89,'[1]Trial Balance'!$A$277:$P$395,16,$B$16:$B$105)</f>
        <v>87000</v>
      </c>
    </row>
    <row r="90" spans="2:10" x14ac:dyDescent="0.2">
      <c r="B90" s="300">
        <v>5625</v>
      </c>
      <c r="C90" s="73" t="s">
        <v>260</v>
      </c>
      <c r="D90" s="584">
        <f>VLOOKUP(B90,'[1]Trial Balance'!$A$277:$P$395,4,$B$16:$B$105)</f>
        <v>0</v>
      </c>
      <c r="E90" s="584">
        <f>VLOOKUP(B90,'[1]Trial Balance'!$A$277:$P$395,6,$B$16:$B$105)</f>
        <v>0</v>
      </c>
      <c r="F90" s="584">
        <f>VLOOKUP(B90,'[1]Trial Balance'!$A$277:$P$395,8,$B$16:$B$105)</f>
        <v>0</v>
      </c>
      <c r="G90" s="584">
        <f>VLOOKUP(B90,'[1]Trial Balance'!$A$277:$P$395,10,$B$16:$B$105)</f>
        <v>0</v>
      </c>
      <c r="H90" s="584">
        <f>VLOOKUP(B90,'[1]Trial Balance'!$A$277:$P$395,12,$B$16:$B$105)</f>
        <v>0</v>
      </c>
      <c r="I90" s="584">
        <f>VLOOKUP(B90,'[1]Trial Balance'!$A$277:$P$395,14,$B$16:$B$105)</f>
        <v>0</v>
      </c>
      <c r="J90" s="584">
        <f>VLOOKUP(B90,'[1]Trial Balance'!$A$277:$P$395,16,$B$16:$B$105)</f>
        <v>0</v>
      </c>
    </row>
    <row r="91" spans="2:10" x14ac:dyDescent="0.2">
      <c r="B91" s="300">
        <v>5630</v>
      </c>
      <c r="C91" s="73" t="s">
        <v>261</v>
      </c>
      <c r="D91" s="584">
        <f>VLOOKUP(B91,'[1]Trial Balance'!$A$277:$P$395,4,$B$16:$B$105)</f>
        <v>110401.65</v>
      </c>
      <c r="E91" s="584">
        <f>VLOOKUP(B91,'[1]Trial Balance'!$A$277:$P$395,6,$B$16:$B$105)</f>
        <v>99275.5</v>
      </c>
      <c r="F91" s="584">
        <f>VLOOKUP(B91,'[1]Trial Balance'!$A$277:$P$395,8,$B$16:$B$105)</f>
        <v>111176.55</v>
      </c>
      <c r="G91" s="584">
        <f>VLOOKUP(B91,'[1]Trial Balance'!$A$277:$P$395,10,$B$16:$B$105)</f>
        <v>140089.13</v>
      </c>
      <c r="H91" s="584">
        <f>VLOOKUP(B91,'[1]Trial Balance'!$A$277:$P$395,12,$B$16:$B$105)</f>
        <v>107295.3</v>
      </c>
      <c r="I91" s="584">
        <f>VLOOKUP(B91,'[1]Trial Balance'!$A$277:$P$395,14,$B$16:$B$105)</f>
        <v>109678.65</v>
      </c>
      <c r="J91" s="584">
        <f>VLOOKUP(B91,'[1]Trial Balance'!$A$277:$P$395,16,$B$16:$B$105)</f>
        <v>122000</v>
      </c>
    </row>
    <row r="92" spans="2:10" x14ac:dyDescent="0.2">
      <c r="B92" s="300">
        <v>5635</v>
      </c>
      <c r="C92" s="73" t="s">
        <v>262</v>
      </c>
      <c r="D92" s="584">
        <f>VLOOKUP(B92,'[1]Trial Balance'!$A$277:$P$395,4,$B$16:$B$105)</f>
        <v>35627.800000000003</v>
      </c>
      <c r="E92" s="584">
        <f>VLOOKUP(B92,'[1]Trial Balance'!$A$277:$P$395,6,$B$16:$B$105)</f>
        <v>29618.11</v>
      </c>
      <c r="F92" s="584">
        <f>VLOOKUP(B92,'[1]Trial Balance'!$A$277:$P$395,8,$B$16:$B$105)</f>
        <v>30416.48</v>
      </c>
      <c r="G92" s="584">
        <f>VLOOKUP(B92,'[1]Trial Balance'!$A$277:$P$395,10,$B$16:$B$105)</f>
        <v>30087.72</v>
      </c>
      <c r="H92" s="584">
        <f>VLOOKUP(B92,'[1]Trial Balance'!$A$277:$P$395,12,$B$16:$B$105)</f>
        <v>28988.85</v>
      </c>
      <c r="I92" s="584">
        <f>VLOOKUP(B92,'[1]Trial Balance'!$A$277:$P$395,14,$B$16:$B$105)</f>
        <v>41995.66</v>
      </c>
      <c r="J92" s="584">
        <f>VLOOKUP(B92,'[1]Trial Balance'!$A$277:$P$395,16,$B$16:$B$105)</f>
        <v>28000</v>
      </c>
    </row>
    <row r="93" spans="2:10" x14ac:dyDescent="0.2">
      <c r="B93" s="300">
        <v>5640</v>
      </c>
      <c r="C93" s="73" t="s">
        <v>263</v>
      </c>
      <c r="D93" s="584">
        <f>VLOOKUP(B93,'[1]Trial Balance'!$A$277:$P$395,4,$B$16:$B$105)</f>
        <v>50547.72</v>
      </c>
      <c r="E93" s="584">
        <f>VLOOKUP(B93,'[1]Trial Balance'!$A$277:$P$395,6,$B$16:$B$105)</f>
        <v>44969.35</v>
      </c>
      <c r="F93" s="584">
        <f>VLOOKUP(B93,'[1]Trial Balance'!$A$277:$P$395,8,$B$16:$B$105)</f>
        <v>32173.96</v>
      </c>
      <c r="G93" s="584">
        <f>VLOOKUP(B93,'[1]Trial Balance'!$A$277:$P$395,10,$B$16:$B$105)</f>
        <v>47779.75</v>
      </c>
      <c r="H93" s="584">
        <f>VLOOKUP(B93,'[1]Trial Balance'!$A$277:$P$395,12,$B$16:$B$105)</f>
        <v>36995.79</v>
      </c>
      <c r="I93" s="584">
        <f>VLOOKUP(B93,'[1]Trial Balance'!$A$277:$P$395,14,$B$16:$B$105)</f>
        <v>33797.870000000003</v>
      </c>
      <c r="J93" s="584">
        <f>VLOOKUP(B93,'[1]Trial Balance'!$A$277:$P$395,16,$B$16:$B$105)</f>
        <v>58000</v>
      </c>
    </row>
    <row r="94" spans="2:10" x14ac:dyDescent="0.2">
      <c r="B94" s="300">
        <v>5645</v>
      </c>
      <c r="C94" s="73" t="s">
        <v>264</v>
      </c>
      <c r="D94" s="584">
        <f>VLOOKUP(B94,'[1]Trial Balance'!$A$277:$P$395,4,$B$16:$B$105)</f>
        <v>4838</v>
      </c>
      <c r="E94" s="584">
        <f>VLOOKUP(B94,'[1]Trial Balance'!$A$277:$P$395,6,$B$16:$B$105)</f>
        <v>15282</v>
      </c>
      <c r="F94" s="584">
        <f>VLOOKUP(B94,'[1]Trial Balance'!$A$277:$P$395,8,$B$16:$B$105)</f>
        <v>28672.49</v>
      </c>
      <c r="G94" s="584">
        <f>VLOOKUP(B94,'[1]Trial Balance'!$A$277:$P$395,10,$B$16:$B$105)</f>
        <v>26900.99</v>
      </c>
      <c r="H94" s="584">
        <f>VLOOKUP(B94,'[1]Trial Balance'!$A$277:$P$395,12,$B$16:$B$105)</f>
        <v>393</v>
      </c>
      <c r="I94" s="584">
        <f>VLOOKUP(B94,'[1]Trial Balance'!$A$277:$P$395,14,$B$16:$B$105)</f>
        <v>2228.87</v>
      </c>
      <c r="J94" s="584">
        <f>VLOOKUP(B94,'[1]Trial Balance'!$A$277:$P$395,16,$B$16:$B$105)</f>
        <v>1000</v>
      </c>
    </row>
    <row r="95" spans="2:10" x14ac:dyDescent="0.2">
      <c r="B95" s="300">
        <v>5650</v>
      </c>
      <c r="C95" s="73" t="s">
        <v>265</v>
      </c>
      <c r="D95" s="584">
        <f>VLOOKUP(B95,'[1]Trial Balance'!$A$277:$P$395,4,$B$16:$B$105)</f>
        <v>0</v>
      </c>
      <c r="E95" s="584">
        <f>VLOOKUP(B95,'[1]Trial Balance'!$A$277:$P$395,6,$B$16:$B$105)</f>
        <v>0</v>
      </c>
      <c r="F95" s="584">
        <f>VLOOKUP(B95,'[1]Trial Balance'!$A$277:$P$395,8,$B$16:$B$105)</f>
        <v>0</v>
      </c>
      <c r="G95" s="584">
        <f>VLOOKUP(B95,'[1]Trial Balance'!$A$277:$P$395,10,$B$16:$B$105)</f>
        <v>0</v>
      </c>
      <c r="H95" s="584">
        <f>VLOOKUP(B95,'[1]Trial Balance'!$A$277:$P$395,12,$B$16:$B$105)</f>
        <v>0</v>
      </c>
      <c r="I95" s="584">
        <f>VLOOKUP(B95,'[1]Trial Balance'!$A$277:$P$395,14,$B$16:$B$105)</f>
        <v>0</v>
      </c>
      <c r="J95" s="584">
        <f>VLOOKUP(B95,'[1]Trial Balance'!$A$277:$P$395,16,$B$16:$B$105)</f>
        <v>0</v>
      </c>
    </row>
    <row r="96" spans="2:10" x14ac:dyDescent="0.2">
      <c r="B96" s="300">
        <v>5655</v>
      </c>
      <c r="C96" s="73" t="s">
        <v>266</v>
      </c>
      <c r="D96" s="584">
        <f>VLOOKUP(B96,'[1]Trial Balance'!$A$277:$P$395,4,$B$16:$B$105)</f>
        <v>33791</v>
      </c>
      <c r="E96" s="584">
        <f>VLOOKUP(B96,'[1]Trial Balance'!$A$277:$P$395,6,$B$16:$B$105)</f>
        <v>24682.41</v>
      </c>
      <c r="F96" s="584">
        <f>VLOOKUP(B96,'[1]Trial Balance'!$A$277:$P$395,8,$B$16:$B$105)</f>
        <v>26016.04</v>
      </c>
      <c r="G96" s="584">
        <f>VLOOKUP(B96,'[1]Trial Balance'!$A$277:$P$395,10,$B$16:$B$105)</f>
        <v>28081.1</v>
      </c>
      <c r="H96" s="584">
        <f>VLOOKUP(B96,'[1]Trial Balance'!$A$277:$P$395,12,$B$16:$B$105)</f>
        <v>32939.65</v>
      </c>
      <c r="I96" s="584">
        <f>VLOOKUP(B96,'[1]Trial Balance'!$A$277:$P$395,14,$B$16:$B$105)</f>
        <v>48176.38</v>
      </c>
      <c r="J96" s="584">
        <f>VLOOKUP(B96,'[1]Trial Balance'!$A$277:$P$395,16,$B$16:$B$105)</f>
        <v>109408.015</v>
      </c>
    </row>
    <row r="97" spans="2:10" x14ac:dyDescent="0.2">
      <c r="B97" s="300">
        <v>5660</v>
      </c>
      <c r="C97" s="73" t="s">
        <v>267</v>
      </c>
      <c r="D97" s="584">
        <f>VLOOKUP(B97,'[1]Trial Balance'!$A$277:$P$395,4,$B$16:$B$105)</f>
        <v>6111.56</v>
      </c>
      <c r="E97" s="584">
        <f>VLOOKUP(B97,'[1]Trial Balance'!$A$277:$P$395,6,$B$16:$B$105)</f>
        <v>4678.3999999999996</v>
      </c>
      <c r="F97" s="584">
        <f>VLOOKUP(B97,'[1]Trial Balance'!$A$277:$P$395,8,$B$16:$B$105)</f>
        <v>0</v>
      </c>
      <c r="G97" s="584">
        <f>VLOOKUP(B97,'[1]Trial Balance'!$A$277:$P$395,10,$B$16:$B$105)</f>
        <v>0</v>
      </c>
      <c r="H97" s="584">
        <f>VLOOKUP(B97,'[1]Trial Balance'!$A$277:$P$395,12,$B$16:$B$105)</f>
        <v>0</v>
      </c>
      <c r="I97" s="584">
        <f>VLOOKUP(B97,'[1]Trial Balance'!$A$277:$P$395,14,$B$16:$B$105)</f>
        <v>0</v>
      </c>
      <c r="J97" s="584">
        <f>VLOOKUP(B97,'[1]Trial Balance'!$A$277:$P$395,16,$B$16:$B$105)</f>
        <v>0</v>
      </c>
    </row>
    <row r="98" spans="2:10" x14ac:dyDescent="0.2">
      <c r="B98" s="300">
        <v>5665</v>
      </c>
      <c r="C98" s="73" t="s">
        <v>34</v>
      </c>
      <c r="D98" s="584">
        <f>VLOOKUP(B98,'[1]Trial Balance'!$A$277:$P$395,4,$B$16:$B$105)</f>
        <v>5556.91</v>
      </c>
      <c r="E98" s="584">
        <f>VLOOKUP(B98,'[1]Trial Balance'!$A$277:$P$395,6,$B$16:$B$105)</f>
        <v>3310.9</v>
      </c>
      <c r="F98" s="584">
        <f>VLOOKUP(B98,'[1]Trial Balance'!$A$277:$P$395,8,$B$16:$B$105)</f>
        <v>2480.41</v>
      </c>
      <c r="G98" s="584">
        <f>VLOOKUP(B98,'[1]Trial Balance'!$A$277:$P$395,10,$B$16:$B$105)</f>
        <v>1326.59</v>
      </c>
      <c r="H98" s="584">
        <f>VLOOKUP(B98,'[1]Trial Balance'!$A$277:$P$395,12,$B$16:$B$105)</f>
        <v>10547.23</v>
      </c>
      <c r="I98" s="584">
        <f>VLOOKUP(B98,'[1]Trial Balance'!$A$277:$P$395,14,$B$16:$B$105)</f>
        <v>9133.76</v>
      </c>
      <c r="J98" s="584">
        <f>VLOOKUP(B98,'[1]Trial Balance'!$A$277:$P$395,16,$B$16:$B$105)</f>
        <v>10000</v>
      </c>
    </row>
    <row r="99" spans="2:10" x14ac:dyDescent="0.2">
      <c r="B99" s="300">
        <v>5670</v>
      </c>
      <c r="C99" s="73" t="s">
        <v>268</v>
      </c>
      <c r="D99" s="584">
        <f>VLOOKUP(B99,'[1]Trial Balance'!$A$277:$P$395,4,$B$16:$B$105)</f>
        <v>0</v>
      </c>
      <c r="E99" s="584">
        <f>VLOOKUP(B99,'[1]Trial Balance'!$A$277:$P$395,6,$B$16:$B$105)</f>
        <v>0</v>
      </c>
      <c r="F99" s="584">
        <f>VLOOKUP(B99,'[1]Trial Balance'!$A$277:$P$395,8,$B$16:$B$105)</f>
        <v>0</v>
      </c>
      <c r="G99" s="584">
        <f>VLOOKUP(B99,'[1]Trial Balance'!$A$277:$P$395,10,$B$16:$B$105)</f>
        <v>0</v>
      </c>
      <c r="H99" s="584">
        <f>VLOOKUP(B99,'[1]Trial Balance'!$A$277:$P$395,12,$B$16:$B$105)</f>
        <v>0</v>
      </c>
      <c r="I99" s="584">
        <f>VLOOKUP(B99,'[1]Trial Balance'!$A$277:$P$395,14,$B$16:$B$105)</f>
        <v>0</v>
      </c>
      <c r="J99" s="584">
        <f>VLOOKUP(B99,'[1]Trial Balance'!$A$277:$P$395,16,$B$16:$B$105)</f>
        <v>0</v>
      </c>
    </row>
    <row r="100" spans="2:10" x14ac:dyDescent="0.2">
      <c r="B100" s="300">
        <v>5675</v>
      </c>
      <c r="C100" s="73" t="s">
        <v>269</v>
      </c>
      <c r="D100" s="584">
        <f>VLOOKUP(B100,'[1]Trial Balance'!$A$277:$P$395,4,$B$16:$B$105)</f>
        <v>92854.86</v>
      </c>
      <c r="E100" s="584">
        <f>VLOOKUP(B100,'[1]Trial Balance'!$A$277:$P$395,6,$B$16:$B$105)</f>
        <v>95441.36</v>
      </c>
      <c r="F100" s="584">
        <f>VLOOKUP(B100,'[1]Trial Balance'!$A$277:$P$395,8,$B$16:$B$105)</f>
        <v>88466.37</v>
      </c>
      <c r="G100" s="584">
        <f>VLOOKUP(B100,'[1]Trial Balance'!$A$277:$P$395,10,$B$16:$B$105)</f>
        <v>104548.81</v>
      </c>
      <c r="H100" s="584">
        <f>VLOOKUP(B100,'[1]Trial Balance'!$A$277:$P$395,12,$B$16:$B$105)</f>
        <v>78221.23</v>
      </c>
      <c r="I100" s="584">
        <f>VLOOKUP(B100,'[1]Trial Balance'!$A$277:$P$395,14,$B$16:$B$105)</f>
        <v>83538.490000000005</v>
      </c>
      <c r="J100" s="584">
        <f>VLOOKUP(B100,'[1]Trial Balance'!$A$277:$P$395,16,$B$16:$B$105)</f>
        <v>64000</v>
      </c>
    </row>
    <row r="101" spans="2:10" x14ac:dyDescent="0.2">
      <c r="B101" s="300">
        <v>5680</v>
      </c>
      <c r="C101" s="73" t="s">
        <v>270</v>
      </c>
      <c r="D101" s="584">
        <f>VLOOKUP(B101,'[1]Trial Balance'!$A$277:$P$395,4,$B$16:$B$105)</f>
        <v>5088.2700000000004</v>
      </c>
      <c r="E101" s="584">
        <f>VLOOKUP(B101,'[1]Trial Balance'!$A$277:$P$395,6,$B$16:$B$105)</f>
        <v>4644.1499999999996</v>
      </c>
      <c r="F101" s="584">
        <f>VLOOKUP(B101,'[1]Trial Balance'!$A$277:$P$395,8,$B$16:$B$105)</f>
        <v>5092.5</v>
      </c>
      <c r="G101" s="584">
        <f>VLOOKUP(B101,'[1]Trial Balance'!$A$277:$P$395,10,$B$16:$B$105)</f>
        <v>5000.01</v>
      </c>
      <c r="H101" s="584">
        <f>VLOOKUP(B101,'[1]Trial Balance'!$A$277:$P$395,12,$B$16:$B$105)</f>
        <v>5575.61</v>
      </c>
      <c r="I101" s="584">
        <f>VLOOKUP(B101,'[1]Trial Balance'!$A$277:$P$395,14,$B$16:$B$105)</f>
        <v>5522.79</v>
      </c>
      <c r="J101" s="584">
        <f>VLOOKUP(B101,'[1]Trial Balance'!$A$277:$P$395,16,$B$16:$B$105)</f>
        <v>6000</v>
      </c>
    </row>
    <row r="102" spans="2:10" x14ac:dyDescent="0.2">
      <c r="B102" s="300">
        <v>5681</v>
      </c>
      <c r="C102" s="73" t="s">
        <v>764</v>
      </c>
      <c r="D102" s="584">
        <f>VLOOKUP(B102,'[1]Trial Balance'!$A$277:$P$395,4,$B$16:$B$105)</f>
        <v>0</v>
      </c>
      <c r="E102" s="584">
        <f>VLOOKUP(B102,'[1]Trial Balance'!$A$277:$P$395,6,$B$16:$B$105)</f>
        <v>0</v>
      </c>
      <c r="F102" s="584">
        <f>VLOOKUP(B102,'[1]Trial Balance'!$A$277:$P$395,8,$B$16:$B$105)</f>
        <v>0</v>
      </c>
      <c r="G102" s="584">
        <f>VLOOKUP(B102,'[1]Trial Balance'!$A$277:$P$395,10,$B$16:$B$105)</f>
        <v>0</v>
      </c>
      <c r="H102" s="584">
        <f>VLOOKUP(B102,'[1]Trial Balance'!$A$277:$P$395,12,$B$16:$B$105)</f>
        <v>41625.910000000003</v>
      </c>
      <c r="I102" s="584">
        <f>VLOOKUP(B102,'[1]Trial Balance'!$A$277:$P$395,14,$B$16:$B$105)</f>
        <v>35213.43</v>
      </c>
      <c r="J102" s="584">
        <f>VLOOKUP(B102,'[1]Trial Balance'!$A$277:$P$395,16,$B$16:$B$105)</f>
        <v>0</v>
      </c>
    </row>
    <row r="103" spans="2:10" x14ac:dyDescent="0.2">
      <c r="B103" s="300">
        <v>5685</v>
      </c>
      <c r="C103" s="73" t="s">
        <v>271</v>
      </c>
      <c r="D103" s="584">
        <f>VLOOKUP(B103,'[1]Trial Balance'!$A$277:$P$395,4,$B$16:$B$105)</f>
        <v>0</v>
      </c>
      <c r="E103" s="584">
        <f>VLOOKUP(B103,'[1]Trial Balance'!$A$277:$P$395,6,$B$16:$B$105)</f>
        <v>0</v>
      </c>
      <c r="F103" s="584">
        <f>VLOOKUP(B103,'[1]Trial Balance'!$A$277:$P$395,8,$B$16:$B$105)</f>
        <v>0</v>
      </c>
      <c r="G103" s="584">
        <f>VLOOKUP(B103,'[1]Trial Balance'!$A$277:$P$395,10,$B$16:$B$105)</f>
        <v>0</v>
      </c>
      <c r="H103" s="584">
        <f>VLOOKUP(B103,'[1]Trial Balance'!$A$277:$P$395,12,$B$16:$B$105)</f>
        <v>0</v>
      </c>
      <c r="I103" s="584">
        <f>VLOOKUP(B103,'[1]Trial Balance'!$A$277:$P$395,14,$B$16:$B$105)</f>
        <v>0</v>
      </c>
      <c r="J103" s="584">
        <f>VLOOKUP(B103,'[1]Trial Balance'!$A$277:$P$395,16,$B$16:$B$105)</f>
        <v>0</v>
      </c>
    </row>
    <row r="104" spans="2:10" x14ac:dyDescent="0.2">
      <c r="B104" s="300">
        <v>5695</v>
      </c>
      <c r="C104" s="73" t="s">
        <v>272</v>
      </c>
      <c r="D104" s="584">
        <f>VLOOKUP(B104,'[1]Trial Balance'!$A$277:$P$395,4,$B$16:$B$105)</f>
        <v>0</v>
      </c>
      <c r="E104" s="584">
        <f>VLOOKUP(B104,'[1]Trial Balance'!$A$277:$P$395,6,$B$16:$B$105)</f>
        <v>0.87</v>
      </c>
      <c r="F104" s="584">
        <f>VLOOKUP(B104,'[1]Trial Balance'!$A$277:$P$395,8,$B$16:$B$105)</f>
        <v>0</v>
      </c>
      <c r="G104" s="584">
        <f>VLOOKUP(B104,'[1]Trial Balance'!$A$277:$P$395,10,$B$16:$B$105)</f>
        <v>-11488.66</v>
      </c>
      <c r="H104" s="584">
        <f>VLOOKUP(B104,'[1]Trial Balance'!$A$277:$P$395,12,$B$16:$B$105)</f>
        <v>0</v>
      </c>
      <c r="I104" s="584">
        <f>VLOOKUP(B104,'[1]Trial Balance'!$A$277:$P$395,14,$B$16:$B$105)</f>
        <v>0</v>
      </c>
      <c r="J104" s="584">
        <f>VLOOKUP(B104,'[1]Trial Balance'!$A$277:$P$395,16,$B$16:$B$105)</f>
        <v>0</v>
      </c>
    </row>
    <row r="105" spans="2:10" ht="13.5" thickBot="1" x14ac:dyDescent="0.25">
      <c r="B105" s="306">
        <v>6205</v>
      </c>
      <c r="C105" s="73" t="s">
        <v>35</v>
      </c>
      <c r="D105" s="584">
        <f>VLOOKUP(B105,'[1]Trial Balance'!$A$277:$P$395,4,$B$16:$B$105)</f>
        <v>0</v>
      </c>
      <c r="E105" s="584">
        <f>VLOOKUP(B105,'[1]Trial Balance'!$A$277:$P$395,6,$B$16:$B$105)</f>
        <v>0</v>
      </c>
      <c r="F105" s="584">
        <f>VLOOKUP(B105,'[1]Trial Balance'!$A$277:$P$395,8,$B$16:$B$105)</f>
        <v>0</v>
      </c>
      <c r="G105" s="584">
        <f>VLOOKUP(B105,'[1]Trial Balance'!$A$277:$P$395,10,$B$16:$B$105)</f>
        <v>0</v>
      </c>
      <c r="H105" s="584">
        <f>VLOOKUP(B105,'[1]Trial Balance'!$A$277:$P$395,12,$B$16:$B$105)</f>
        <v>50</v>
      </c>
      <c r="I105" s="584">
        <f>VLOOKUP(B105,'[1]Trial Balance'!$A$277:$P$395,14,$B$16:$B$105)</f>
        <v>25</v>
      </c>
      <c r="J105" s="584">
        <f>VLOOKUP(B105,'[1]Trial Balance'!$A$277:$P$395,16,$B$16:$B$105)</f>
        <v>37.5</v>
      </c>
    </row>
    <row r="106" spans="2:10" ht="14.25" thickTop="1" thickBot="1" x14ac:dyDescent="0.25">
      <c r="B106" s="270" t="s">
        <v>315</v>
      </c>
      <c r="C106" s="302"/>
      <c r="D106" s="303">
        <f>SUM(D86:D105)</f>
        <v>795730.26000000013</v>
      </c>
      <c r="E106" s="303">
        <f t="shared" ref="E106:J106" si="8">SUM(E86:E105)</f>
        <v>762786.8600000001</v>
      </c>
      <c r="F106" s="303">
        <f t="shared" si="8"/>
        <v>735059.88</v>
      </c>
      <c r="G106" s="303">
        <f t="shared" si="8"/>
        <v>831440.63</v>
      </c>
      <c r="H106" s="303">
        <f t="shared" si="8"/>
        <v>809794.68</v>
      </c>
      <c r="I106" s="303">
        <f t="shared" si="8"/>
        <v>849160.31</v>
      </c>
      <c r="J106" s="303">
        <f t="shared" si="8"/>
        <v>1075445.5150000001</v>
      </c>
    </row>
    <row r="107" spans="2:10" ht="13.5" thickBot="1" x14ac:dyDescent="0.25">
      <c r="B107" s="715" t="s">
        <v>313</v>
      </c>
      <c r="C107" s="716"/>
      <c r="D107" s="393">
        <f>D39+D60+D71+D83+D106</f>
        <v>1798393.98</v>
      </c>
      <c r="E107" s="393">
        <f t="shared" ref="E107:J107" si="9">E39+E60+E71+E83+E106</f>
        <v>1928012.18</v>
      </c>
      <c r="F107" s="393">
        <f t="shared" si="9"/>
        <v>2172052.65</v>
      </c>
      <c r="G107" s="393">
        <f t="shared" si="9"/>
        <v>2498192.16</v>
      </c>
      <c r="H107" s="393">
        <f t="shared" si="9"/>
        <v>2081904.0900000003</v>
      </c>
      <c r="I107" s="393">
        <f t="shared" si="9"/>
        <v>2417722.2400000002</v>
      </c>
      <c r="J107" s="393">
        <f t="shared" si="9"/>
        <v>2606509.2750000004</v>
      </c>
    </row>
    <row r="108" spans="2:10" x14ac:dyDescent="0.2">
      <c r="D108" s="581"/>
      <c r="J108" s="581"/>
    </row>
    <row r="109" spans="2:10" ht="39" customHeight="1" x14ac:dyDescent="0.2">
      <c r="B109" s="313" t="s">
        <v>281</v>
      </c>
      <c r="C109" s="669" t="s">
        <v>422</v>
      </c>
      <c r="D109" s="669"/>
      <c r="E109" s="669"/>
      <c r="F109" s="669"/>
      <c r="G109" s="669"/>
      <c r="H109" s="669"/>
      <c r="I109" s="669"/>
      <c r="J109" s="669"/>
    </row>
  </sheetData>
  <mergeCells count="13">
    <mergeCell ref="B9:J9"/>
    <mergeCell ref="B10:J10"/>
    <mergeCell ref="B11:J11"/>
    <mergeCell ref="B39:C39"/>
    <mergeCell ref="B15:J15"/>
    <mergeCell ref="B85:J85"/>
    <mergeCell ref="C109:J109"/>
    <mergeCell ref="B107:C107"/>
    <mergeCell ref="B41:J41"/>
    <mergeCell ref="B62:J62"/>
    <mergeCell ref="B71:C71"/>
    <mergeCell ref="B60:C60"/>
    <mergeCell ref="B73:J73"/>
  </mergeCells>
  <phoneticPr fontId="3" type="noConversion"/>
  <dataValidations count="1">
    <dataValidation allowBlank="1" showInputMessage="1" showErrorMessage="1" promptTitle="Date Format" prompt="E.g:  &quot;August 1, 2011&quot;" sqref="J7"/>
  </dataValidations>
  <pageMargins left="0.75" right="0.75" top="1" bottom="1" header="0.5" footer="0.5"/>
  <pageSetup scale="72" fitToHeight="0" orientation="landscape" r:id="rId1"/>
  <headerFooter alignWithMargins="0"/>
  <rowBreaks count="2" manualBreakCount="2">
    <brk id="39" max="7" man="1"/>
    <brk id="71"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pageSetUpPr fitToPage="1"/>
  </sheetPr>
  <dimension ref="B1:I35"/>
  <sheetViews>
    <sheetView showGridLines="0" zoomScaleNormal="100" workbookViewId="0">
      <selection activeCell="H16" sqref="H16:I16"/>
    </sheetView>
  </sheetViews>
  <sheetFormatPr defaultRowHeight="12.75" x14ac:dyDescent="0.2"/>
  <cols>
    <col min="1" max="1" width="2.5703125" customWidth="1"/>
    <col min="2" max="2" width="30.7109375" bestFit="1" customWidth="1"/>
    <col min="3" max="9" width="13.7109375" customWidth="1"/>
    <col min="10" max="10" width="3" customWidth="1"/>
  </cols>
  <sheetData>
    <row r="1" spans="2:9" x14ac:dyDescent="0.2">
      <c r="H1" s="52" t="s">
        <v>581</v>
      </c>
      <c r="I1" s="151" t="s">
        <v>170</v>
      </c>
    </row>
    <row r="2" spans="2:9" x14ac:dyDescent="0.2">
      <c r="H2" s="52" t="s">
        <v>582</v>
      </c>
      <c r="I2" s="151" t="s">
        <v>587</v>
      </c>
    </row>
    <row r="3" spans="2:9" x14ac:dyDescent="0.2">
      <c r="H3" s="52" t="s">
        <v>583</v>
      </c>
      <c r="I3" s="151" t="s">
        <v>588</v>
      </c>
    </row>
    <row r="4" spans="2:9" x14ac:dyDescent="0.2">
      <c r="H4" s="52" t="s">
        <v>584</v>
      </c>
      <c r="I4" s="151" t="s">
        <v>589</v>
      </c>
    </row>
    <row r="5" spans="2:9" x14ac:dyDescent="0.2">
      <c r="H5" s="52" t="s">
        <v>585</v>
      </c>
      <c r="I5" s="151" t="s">
        <v>590</v>
      </c>
    </row>
    <row r="6" spans="2:9" x14ac:dyDescent="0.2">
      <c r="H6" s="52"/>
    </row>
    <row r="7" spans="2:9" x14ac:dyDescent="0.2">
      <c r="H7" s="52" t="s">
        <v>586</v>
      </c>
      <c r="I7" s="472"/>
    </row>
    <row r="8" spans="2:9" x14ac:dyDescent="0.2">
      <c r="I8" s="315"/>
    </row>
    <row r="9" spans="2:9" x14ac:dyDescent="0.2">
      <c r="I9" s="315"/>
    </row>
    <row r="10" spans="2:9" ht="18" x14ac:dyDescent="0.25">
      <c r="B10" s="659" t="s">
        <v>282</v>
      </c>
      <c r="C10" s="659"/>
      <c r="D10" s="659"/>
      <c r="E10" s="659"/>
      <c r="F10" s="659"/>
      <c r="G10" s="659"/>
      <c r="H10" s="659"/>
      <c r="I10" s="659"/>
    </row>
    <row r="11" spans="2:9" ht="18" x14ac:dyDescent="0.25">
      <c r="B11" s="659" t="s">
        <v>221</v>
      </c>
      <c r="C11" s="659"/>
      <c r="D11" s="659"/>
      <c r="E11" s="659"/>
      <c r="F11" s="659"/>
      <c r="G11" s="659"/>
      <c r="H11" s="659"/>
      <c r="I11" s="659"/>
    </row>
    <row r="12" spans="2:9" ht="13.5" thickBot="1" x14ac:dyDescent="0.25"/>
    <row r="13" spans="2:9" x14ac:dyDescent="0.2">
      <c r="B13" s="155" t="s">
        <v>283</v>
      </c>
      <c r="C13" s="160">
        <v>2006</v>
      </c>
      <c r="D13" s="160">
        <v>2007</v>
      </c>
      <c r="E13" s="160">
        <v>2008</v>
      </c>
      <c r="F13" s="160">
        <v>2009</v>
      </c>
      <c r="G13" s="160">
        <v>2010</v>
      </c>
      <c r="H13" s="160">
        <v>2011</v>
      </c>
      <c r="I13" s="318">
        <v>2012</v>
      </c>
    </row>
    <row r="14" spans="2:9" x14ac:dyDescent="0.2">
      <c r="B14" s="319" t="s">
        <v>529</v>
      </c>
      <c r="C14" s="161">
        <v>1133388</v>
      </c>
      <c r="D14" s="27">
        <f t="shared" ref="D14:I14" si="0">C22</f>
        <v>1798395</v>
      </c>
      <c r="E14" s="27">
        <f t="shared" si="0"/>
        <v>1928021</v>
      </c>
      <c r="F14" s="27">
        <f t="shared" si="0"/>
        <v>2172542</v>
      </c>
      <c r="G14" s="27">
        <f t="shared" si="0"/>
        <v>2498193</v>
      </c>
      <c r="H14" s="27">
        <f t="shared" si="0"/>
        <v>2081904</v>
      </c>
      <c r="I14" s="145">
        <f t="shared" si="0"/>
        <v>2417722</v>
      </c>
    </row>
    <row r="15" spans="2:9" x14ac:dyDescent="0.2">
      <c r="B15" s="144" t="s">
        <v>691</v>
      </c>
      <c r="C15" s="161">
        <v>72714</v>
      </c>
      <c r="D15" s="161">
        <v>17036</v>
      </c>
      <c r="E15" s="161">
        <v>-24178</v>
      </c>
      <c r="F15" s="161">
        <v>28069</v>
      </c>
      <c r="G15" s="161">
        <v>26086</v>
      </c>
      <c r="H15" s="161">
        <v>-440</v>
      </c>
      <c r="I15" s="169">
        <v>213039</v>
      </c>
    </row>
    <row r="16" spans="2:9" x14ac:dyDescent="0.2">
      <c r="B16" s="144" t="s">
        <v>692</v>
      </c>
      <c r="C16" s="161">
        <v>-121997</v>
      </c>
      <c r="D16" s="161">
        <v>130791</v>
      </c>
      <c r="E16" s="161">
        <v>25961</v>
      </c>
      <c r="F16" s="161">
        <v>185089</v>
      </c>
      <c r="G16" s="161">
        <v>-259446</v>
      </c>
      <c r="H16" s="161">
        <v>223070</v>
      </c>
      <c r="I16" s="169">
        <v>-45774</v>
      </c>
    </row>
    <row r="17" spans="2:9" x14ac:dyDescent="0.2">
      <c r="B17" s="144" t="s">
        <v>693</v>
      </c>
      <c r="C17" s="161">
        <v>43923</v>
      </c>
      <c r="D17" s="161">
        <v>39696</v>
      </c>
      <c r="E17" s="161">
        <v>-10623</v>
      </c>
      <c r="F17" s="161">
        <v>67409</v>
      </c>
      <c r="G17" s="161">
        <v>-76782</v>
      </c>
      <c r="H17" s="161">
        <v>-34725</v>
      </c>
      <c r="I17" s="169">
        <v>37189</v>
      </c>
    </row>
    <row r="18" spans="2:9" x14ac:dyDescent="0.2">
      <c r="B18" s="144" t="s">
        <v>694</v>
      </c>
      <c r="C18" s="161">
        <v>36976</v>
      </c>
      <c r="D18" s="161">
        <v>-11126</v>
      </c>
      <c r="E18" s="161">
        <v>11901</v>
      </c>
      <c r="F18" s="161">
        <v>28913</v>
      </c>
      <c r="G18" s="161">
        <v>-32794</v>
      </c>
      <c r="H18" s="161">
        <v>2383</v>
      </c>
      <c r="I18" s="169">
        <f>12321+11250</f>
        <v>23571</v>
      </c>
    </row>
    <row r="19" spans="2:9" x14ac:dyDescent="0.2">
      <c r="B19" s="144" t="s">
        <v>695</v>
      </c>
      <c r="C19" s="161">
        <v>14179</v>
      </c>
      <c r="D19" s="161">
        <v>-11029</v>
      </c>
      <c r="E19" s="161">
        <v>277063</v>
      </c>
      <c r="F19" s="161">
        <v>-22579</v>
      </c>
      <c r="G19" s="161">
        <v>-65687</v>
      </c>
      <c r="H19" s="161">
        <v>119236</v>
      </c>
      <c r="I19" s="169">
        <v>-59515</v>
      </c>
    </row>
    <row r="20" spans="2:9" x14ac:dyDescent="0.2">
      <c r="B20" s="144" t="s">
        <v>249</v>
      </c>
      <c r="C20" s="161">
        <v>2975</v>
      </c>
      <c r="D20" s="161">
        <v>2568</v>
      </c>
      <c r="E20" s="161">
        <v>-1713</v>
      </c>
      <c r="F20" s="161">
        <v>-2941</v>
      </c>
      <c r="G20" s="161">
        <v>-1777</v>
      </c>
      <c r="H20" s="161">
        <v>-4347</v>
      </c>
      <c r="I20" s="169">
        <v>-795</v>
      </c>
    </row>
    <row r="21" spans="2:9" ht="13.5" thickBot="1" x14ac:dyDescent="0.25">
      <c r="B21" s="317" t="s">
        <v>696</v>
      </c>
      <c r="C21" s="307">
        <v>616237</v>
      </c>
      <c r="D21" s="293">
        <v>-38310</v>
      </c>
      <c r="E21" s="307">
        <v>-33890</v>
      </c>
      <c r="F21" s="307">
        <v>41691</v>
      </c>
      <c r="G21" s="307">
        <v>-5889</v>
      </c>
      <c r="H21" s="307">
        <v>30641</v>
      </c>
      <c r="I21" s="310">
        <v>21072</v>
      </c>
    </row>
    <row r="22" spans="2:9" ht="14.25" thickTop="1" thickBot="1" x14ac:dyDescent="0.25">
      <c r="B22" s="320" t="s">
        <v>532</v>
      </c>
      <c r="C22" s="303">
        <f t="shared" ref="C22:I22" si="1">SUM(C14:C21)</f>
        <v>1798395</v>
      </c>
      <c r="D22" s="167">
        <f t="shared" si="1"/>
        <v>1928021</v>
      </c>
      <c r="E22" s="303">
        <f t="shared" si="1"/>
        <v>2172542</v>
      </c>
      <c r="F22" s="303">
        <f t="shared" si="1"/>
        <v>2498193</v>
      </c>
      <c r="G22" s="607">
        <f t="shared" si="1"/>
        <v>2081904</v>
      </c>
      <c r="H22" s="607">
        <f t="shared" si="1"/>
        <v>2417722</v>
      </c>
      <c r="I22" s="607">
        <f t="shared" si="1"/>
        <v>2606509</v>
      </c>
    </row>
    <row r="24" spans="2:9" x14ac:dyDescent="0.2">
      <c r="B24" s="419" t="s">
        <v>639</v>
      </c>
      <c r="G24" s="581"/>
    </row>
    <row r="26" spans="2:9" x14ac:dyDescent="0.2">
      <c r="B26" s="419" t="str">
        <f>"(1)"</f>
        <v>(1)</v>
      </c>
      <c r="C26" t="s">
        <v>173</v>
      </c>
    </row>
    <row r="27" spans="2:9" x14ac:dyDescent="0.2">
      <c r="B27" s="419"/>
      <c r="C27" t="s">
        <v>172</v>
      </c>
    </row>
    <row r="28" spans="2:9" x14ac:dyDescent="0.2">
      <c r="B28" s="419"/>
    </row>
    <row r="29" spans="2:9" x14ac:dyDescent="0.2">
      <c r="B29" s="419" t="str">
        <f>"(2)"</f>
        <v>(2)</v>
      </c>
      <c r="C29" t="s">
        <v>284</v>
      </c>
    </row>
    <row r="30" spans="2:9" x14ac:dyDescent="0.2">
      <c r="B30" s="419"/>
    </row>
    <row r="31" spans="2:9" x14ac:dyDescent="0.2">
      <c r="B31" s="419" t="str">
        <f>"(3)"</f>
        <v>(3)</v>
      </c>
      <c r="C31" s="669" t="s">
        <v>422</v>
      </c>
      <c r="D31" s="669"/>
      <c r="E31" s="669"/>
      <c r="F31" s="669"/>
      <c r="G31" s="669"/>
      <c r="H31" s="669"/>
      <c r="I31" s="669"/>
    </row>
    <row r="32" spans="2:9" x14ac:dyDescent="0.2">
      <c r="C32" s="669"/>
      <c r="D32" s="669"/>
      <c r="E32" s="669"/>
      <c r="F32" s="669"/>
      <c r="G32" s="669"/>
      <c r="H32" s="669"/>
      <c r="I32" s="669"/>
    </row>
    <row r="33" spans="3:9" x14ac:dyDescent="0.2">
      <c r="C33" s="669"/>
      <c r="D33" s="669"/>
      <c r="E33" s="669"/>
      <c r="F33" s="669"/>
      <c r="G33" s="669"/>
      <c r="H33" s="669"/>
      <c r="I33" s="669"/>
    </row>
    <row r="34" spans="3:9" x14ac:dyDescent="0.2">
      <c r="C34" s="669"/>
      <c r="D34" s="669"/>
      <c r="E34" s="669"/>
      <c r="F34" s="669"/>
      <c r="G34" s="669"/>
      <c r="H34" s="669"/>
      <c r="I34" s="669"/>
    </row>
    <row r="35" spans="3:9" x14ac:dyDescent="0.2">
      <c r="C35" s="669"/>
      <c r="D35" s="669"/>
      <c r="E35" s="669"/>
      <c r="F35" s="669"/>
      <c r="G35" s="669"/>
      <c r="H35" s="669"/>
      <c r="I35" s="669"/>
    </row>
  </sheetData>
  <mergeCells count="3">
    <mergeCell ref="B10:I10"/>
    <mergeCell ref="B11:I11"/>
    <mergeCell ref="C31:I35"/>
  </mergeCells>
  <phoneticPr fontId="3" type="noConversion"/>
  <dataValidations count="1">
    <dataValidation allowBlank="1" showInputMessage="1" showErrorMessage="1" promptTitle="Date Format" prompt="E.g:  &quot;August 1, 2011&quot;" sqref="I7"/>
  </dataValidations>
  <pageMargins left="0.75" right="0.75" top="1" bottom="1" header="0.5" footer="0.5"/>
  <pageSetup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pageSetUpPr fitToPage="1"/>
  </sheetPr>
  <dimension ref="B1:P35"/>
  <sheetViews>
    <sheetView showGridLines="0" topLeftCell="D12" zoomScaleNormal="100" workbookViewId="0">
      <selection activeCell="O11" sqref="O11"/>
    </sheetView>
  </sheetViews>
  <sheetFormatPr defaultRowHeight="12.75" x14ac:dyDescent="0.2"/>
  <cols>
    <col min="1" max="1" width="2.7109375" customWidth="1"/>
    <col min="2" max="2" width="4.140625" customWidth="1"/>
    <col min="3" max="3" width="40.7109375" customWidth="1"/>
    <col min="4" max="4" width="8.7109375" customWidth="1"/>
    <col min="5" max="12" width="13.7109375" customWidth="1"/>
    <col min="13" max="13" width="15" customWidth="1"/>
    <col min="14" max="15" width="13.7109375" customWidth="1"/>
    <col min="16" max="16" width="10.7109375" customWidth="1"/>
  </cols>
  <sheetData>
    <row r="1" spans="2:16" x14ac:dyDescent="0.2">
      <c r="N1" s="52" t="s">
        <v>581</v>
      </c>
      <c r="O1" s="151" t="s">
        <v>170</v>
      </c>
    </row>
    <row r="2" spans="2:16" x14ac:dyDescent="0.2">
      <c r="N2" s="52" t="s">
        <v>582</v>
      </c>
      <c r="O2" s="151" t="s">
        <v>587</v>
      </c>
    </row>
    <row r="3" spans="2:16" x14ac:dyDescent="0.2">
      <c r="N3" s="52" t="s">
        <v>583</v>
      </c>
      <c r="O3" s="151" t="s">
        <v>588</v>
      </c>
    </row>
    <row r="4" spans="2:16" x14ac:dyDescent="0.2">
      <c r="N4" s="52" t="s">
        <v>584</v>
      </c>
      <c r="O4" s="151" t="s">
        <v>589</v>
      </c>
    </row>
    <row r="5" spans="2:16" x14ac:dyDescent="0.2">
      <c r="N5" s="52" t="s">
        <v>585</v>
      </c>
      <c r="O5" s="151" t="s">
        <v>590</v>
      </c>
    </row>
    <row r="6" spans="2:16" x14ac:dyDescent="0.2">
      <c r="N6" s="52"/>
    </row>
    <row r="7" spans="2:16" x14ac:dyDescent="0.2">
      <c r="N7" s="52" t="s">
        <v>586</v>
      </c>
      <c r="O7" s="472"/>
    </row>
    <row r="9" spans="2:16" ht="18" x14ac:dyDescent="0.25">
      <c r="B9" s="659" t="s">
        <v>285</v>
      </c>
      <c r="C9" s="659"/>
      <c r="D9" s="659"/>
      <c r="E9" s="659"/>
      <c r="F9" s="659"/>
      <c r="G9" s="659"/>
      <c r="H9" s="659"/>
      <c r="I9" s="659"/>
      <c r="J9" s="659"/>
      <c r="K9" s="659"/>
      <c r="L9" s="659"/>
      <c r="M9" s="659"/>
      <c r="N9" s="659"/>
      <c r="O9" s="659"/>
    </row>
    <row r="10" spans="2:16" ht="18" x14ac:dyDescent="0.25">
      <c r="B10" s="659" t="s">
        <v>222</v>
      </c>
      <c r="C10" s="659"/>
      <c r="D10" s="659"/>
      <c r="E10" s="659"/>
      <c r="F10" s="659"/>
      <c r="G10" s="659"/>
      <c r="H10" s="659"/>
      <c r="I10" s="659"/>
      <c r="J10" s="659"/>
      <c r="K10" s="659"/>
      <c r="L10" s="659"/>
      <c r="M10" s="659"/>
      <c r="N10" s="659"/>
      <c r="O10" s="659"/>
    </row>
    <row r="11" spans="2:16" x14ac:dyDescent="0.2">
      <c r="F11" s="281"/>
    </row>
    <row r="12" spans="2:16" ht="13.5" thickBot="1" x14ac:dyDescent="0.25">
      <c r="F12" s="281"/>
    </row>
    <row r="13" spans="2:16" ht="27" customHeight="1" x14ac:dyDescent="0.2">
      <c r="B13" s="720" t="s">
        <v>286</v>
      </c>
      <c r="C13" s="721"/>
      <c r="D13" s="486" t="s">
        <v>287</v>
      </c>
      <c r="E13" s="486" t="s">
        <v>290</v>
      </c>
      <c r="F13" s="486" t="s">
        <v>179</v>
      </c>
      <c r="G13" s="299" t="s">
        <v>697</v>
      </c>
      <c r="H13" s="299">
        <v>2007</v>
      </c>
      <c r="I13" s="299">
        <v>2008</v>
      </c>
      <c r="J13" s="299">
        <v>2009</v>
      </c>
      <c r="K13" s="299">
        <v>2010</v>
      </c>
      <c r="L13" s="299">
        <v>2011</v>
      </c>
      <c r="M13" s="486" t="s">
        <v>288</v>
      </c>
      <c r="N13" s="299">
        <v>2012</v>
      </c>
      <c r="O13" s="487" t="s">
        <v>288</v>
      </c>
    </row>
    <row r="14" spans="2:16" x14ac:dyDescent="0.2">
      <c r="B14" s="722" t="s">
        <v>683</v>
      </c>
      <c r="C14" s="723"/>
      <c r="D14" s="321" t="s">
        <v>684</v>
      </c>
      <c r="E14" s="321" t="s">
        <v>289</v>
      </c>
      <c r="F14" s="321" t="s">
        <v>685</v>
      </c>
      <c r="G14" s="321" t="s">
        <v>686</v>
      </c>
      <c r="H14" s="321"/>
      <c r="I14" s="321"/>
      <c r="J14" s="321"/>
      <c r="K14" s="321" t="s">
        <v>291</v>
      </c>
      <c r="L14" s="321" t="s">
        <v>292</v>
      </c>
      <c r="M14" s="321" t="s">
        <v>294</v>
      </c>
      <c r="N14" s="321" t="s">
        <v>293</v>
      </c>
      <c r="O14" s="326" t="s">
        <v>295</v>
      </c>
    </row>
    <row r="15" spans="2:16" x14ac:dyDescent="0.2">
      <c r="B15" s="498">
        <v>1</v>
      </c>
      <c r="C15" s="322" t="s">
        <v>296</v>
      </c>
      <c r="D15" s="323">
        <v>5655</v>
      </c>
      <c r="E15" s="324"/>
      <c r="F15" s="325" t="s">
        <v>698</v>
      </c>
      <c r="G15" s="324">
        <v>31712</v>
      </c>
      <c r="H15" s="324">
        <v>20640</v>
      </c>
      <c r="I15" s="324">
        <v>25096</v>
      </c>
      <c r="J15" s="324">
        <v>27794</v>
      </c>
      <c r="K15" s="324">
        <v>32082</v>
      </c>
      <c r="L15" s="324">
        <v>30758</v>
      </c>
      <c r="M15" s="338">
        <f>IF(K15=0,"",(L15-K15)/K15)</f>
        <v>-4.1269247553145066E-2</v>
      </c>
      <c r="N15" s="324">
        <v>29970</v>
      </c>
      <c r="O15" s="339">
        <f>IF(L15=0,"",(N15-L15)/L15)</f>
        <v>-2.5619351063138045E-2</v>
      </c>
      <c r="P15" s="312"/>
    </row>
    <row r="16" spans="2:16" ht="25.5" x14ac:dyDescent="0.2">
      <c r="B16" s="498">
        <v>2</v>
      </c>
      <c r="C16" s="322" t="s">
        <v>297</v>
      </c>
      <c r="D16" s="323"/>
      <c r="E16" s="324"/>
      <c r="F16" s="325"/>
      <c r="G16" s="324"/>
      <c r="H16" s="324"/>
      <c r="I16" s="324"/>
      <c r="J16" s="324"/>
      <c r="K16" s="324"/>
      <c r="L16" s="324"/>
      <c r="M16" s="338" t="str">
        <f t="shared" ref="M16:M28" si="0">IF(K16=0,"",(L16-K16)/K16)</f>
        <v/>
      </c>
      <c r="N16" s="324"/>
      <c r="O16" s="339" t="str">
        <f t="shared" ref="O16:O28" si="1">IF(L16=0,"",(N16-L16)/L16)</f>
        <v/>
      </c>
      <c r="P16" s="312"/>
    </row>
    <row r="17" spans="2:16" x14ac:dyDescent="0.2">
      <c r="B17" s="498">
        <v>3</v>
      </c>
      <c r="C17" s="322" t="s">
        <v>298</v>
      </c>
      <c r="D17" s="323">
        <v>5655</v>
      </c>
      <c r="E17" s="324"/>
      <c r="F17" s="325" t="s">
        <v>699</v>
      </c>
      <c r="G17" s="324">
        <v>189</v>
      </c>
      <c r="H17" s="324">
        <v>853</v>
      </c>
      <c r="I17" s="324">
        <v>1694</v>
      </c>
      <c r="J17" s="324">
        <v>916</v>
      </c>
      <c r="K17" s="324">
        <v>626</v>
      </c>
      <c r="L17" s="324">
        <v>1340</v>
      </c>
      <c r="M17" s="338">
        <f>IF(K17=0,"",(L17-K17)/K17)</f>
        <v>1.1405750798722045</v>
      </c>
      <c r="N17" s="324">
        <v>2000</v>
      </c>
      <c r="O17" s="339">
        <f t="shared" si="1"/>
        <v>0.4925373134328358</v>
      </c>
      <c r="P17" s="312"/>
    </row>
    <row r="18" spans="2:16" ht="12.75" customHeight="1" x14ac:dyDescent="0.2">
      <c r="B18" s="498">
        <v>4</v>
      </c>
      <c r="C18" s="322" t="s">
        <v>299</v>
      </c>
      <c r="D18" s="323"/>
      <c r="E18" s="324"/>
      <c r="F18" s="325"/>
      <c r="G18" s="324"/>
      <c r="H18" s="324"/>
      <c r="I18" s="324"/>
      <c r="J18" s="324"/>
      <c r="K18" s="324"/>
      <c r="L18" s="324"/>
      <c r="M18" s="338" t="str">
        <f t="shared" si="0"/>
        <v/>
      </c>
      <c r="N18" s="324"/>
      <c r="O18" s="339" t="str">
        <f t="shared" si="1"/>
        <v/>
      </c>
      <c r="P18" s="312"/>
    </row>
    <row r="19" spans="2:16" x14ac:dyDescent="0.2">
      <c r="B19" s="498">
        <v>5</v>
      </c>
      <c r="C19" s="322" t="s">
        <v>300</v>
      </c>
      <c r="D19" s="323">
        <v>5655</v>
      </c>
      <c r="E19" s="324"/>
      <c r="F19" s="325" t="s">
        <v>699</v>
      </c>
      <c r="G19" s="324"/>
      <c r="H19" s="324"/>
      <c r="I19" s="324"/>
      <c r="J19" s="324"/>
      <c r="K19" s="324"/>
      <c r="L19" s="324"/>
      <c r="M19" s="338" t="str">
        <f t="shared" si="0"/>
        <v/>
      </c>
      <c r="N19" s="324">
        <v>25000</v>
      </c>
      <c r="O19" s="339" t="str">
        <f t="shared" si="1"/>
        <v/>
      </c>
      <c r="P19" s="312"/>
    </row>
    <row r="20" spans="2:16" x14ac:dyDescent="0.2">
      <c r="B20" s="498">
        <v>6</v>
      </c>
      <c r="C20" s="322" t="s">
        <v>301</v>
      </c>
      <c r="D20" s="323">
        <v>5655</v>
      </c>
      <c r="E20" s="324"/>
      <c r="F20" s="325" t="s">
        <v>699</v>
      </c>
      <c r="G20" s="324"/>
      <c r="H20" s="324"/>
      <c r="I20" s="324"/>
      <c r="J20" s="324"/>
      <c r="K20" s="324"/>
      <c r="L20" s="324">
        <v>9848</v>
      </c>
      <c r="M20" s="338" t="str">
        <f t="shared" si="0"/>
        <v/>
      </c>
      <c r="N20" s="324">
        <v>36925</v>
      </c>
      <c r="O20" s="339">
        <f t="shared" si="1"/>
        <v>2.7494922826969943</v>
      </c>
      <c r="P20" s="312"/>
    </row>
    <row r="21" spans="2:16" ht="25.5" customHeight="1" x14ac:dyDescent="0.2">
      <c r="B21" s="498">
        <v>7</v>
      </c>
      <c r="C21" s="322" t="s">
        <v>302</v>
      </c>
      <c r="D21" s="323"/>
      <c r="E21" s="324"/>
      <c r="F21" s="325"/>
      <c r="G21" s="324"/>
      <c r="H21" s="324"/>
      <c r="I21" s="324"/>
      <c r="J21" s="324"/>
      <c r="K21" s="324"/>
      <c r="L21" s="324"/>
      <c r="M21" s="338" t="str">
        <f t="shared" si="0"/>
        <v/>
      </c>
      <c r="N21" s="324"/>
      <c r="O21" s="339" t="str">
        <f t="shared" si="1"/>
        <v/>
      </c>
      <c r="P21" s="312"/>
    </row>
    <row r="22" spans="2:16" ht="26.25" customHeight="1" x14ac:dyDescent="0.2">
      <c r="B22" s="498">
        <v>8</v>
      </c>
      <c r="C22" s="322" t="s">
        <v>178</v>
      </c>
      <c r="D22" s="323"/>
      <c r="E22" s="324"/>
      <c r="F22" s="325"/>
      <c r="G22" s="324"/>
      <c r="H22" s="324"/>
      <c r="I22" s="324"/>
      <c r="J22" s="324"/>
      <c r="K22" s="324"/>
      <c r="L22" s="324"/>
      <c r="M22" s="338" t="str">
        <f t="shared" si="0"/>
        <v/>
      </c>
      <c r="N22" s="324"/>
      <c r="O22" s="339" t="str">
        <f t="shared" si="1"/>
        <v/>
      </c>
      <c r="P22" s="312"/>
    </row>
    <row r="23" spans="2:16" ht="13.5" customHeight="1" x14ac:dyDescent="0.2">
      <c r="B23" s="498">
        <v>9</v>
      </c>
      <c r="C23" s="322" t="s">
        <v>303</v>
      </c>
      <c r="D23" s="323">
        <v>5655</v>
      </c>
      <c r="E23" s="324"/>
      <c r="F23" s="325" t="s">
        <v>698</v>
      </c>
      <c r="G23" s="324">
        <v>800</v>
      </c>
      <c r="H23" s="324">
        <v>800</v>
      </c>
      <c r="I23" s="324">
        <v>800</v>
      </c>
      <c r="J23" s="324">
        <v>800</v>
      </c>
      <c r="K23" s="324">
        <v>800</v>
      </c>
      <c r="L23" s="324">
        <v>800</v>
      </c>
      <c r="M23" s="338">
        <f t="shared" si="0"/>
        <v>0</v>
      </c>
      <c r="N23" s="324">
        <v>800</v>
      </c>
      <c r="O23" s="339">
        <f t="shared" si="1"/>
        <v>0</v>
      </c>
      <c r="P23" s="312"/>
    </row>
    <row r="24" spans="2:16" ht="25.5" x14ac:dyDescent="0.2">
      <c r="B24" s="498">
        <v>10</v>
      </c>
      <c r="C24" s="322" t="s">
        <v>700</v>
      </c>
      <c r="D24" s="323">
        <v>5655</v>
      </c>
      <c r="E24" s="324"/>
      <c r="F24" s="325" t="s">
        <v>699</v>
      </c>
      <c r="G24" s="324">
        <v>1090</v>
      </c>
      <c r="H24" s="324">
        <v>2389</v>
      </c>
      <c r="I24" s="324">
        <v>-1574</v>
      </c>
      <c r="J24" s="324">
        <v>-1429</v>
      </c>
      <c r="K24" s="324">
        <v>-569</v>
      </c>
      <c r="L24" s="324">
        <v>5431</v>
      </c>
      <c r="M24" s="338">
        <f>IF(K24=0,"",(L24-K24)/K24)</f>
        <v>-10.54481546572935</v>
      </c>
      <c r="N24" s="324">
        <v>4561</v>
      </c>
      <c r="O24" s="339">
        <f t="shared" si="1"/>
        <v>-0.16019149327932242</v>
      </c>
      <c r="P24" s="312"/>
    </row>
    <row r="25" spans="2:16" ht="13.5" thickBot="1" x14ac:dyDescent="0.25">
      <c r="B25" s="499">
        <v>11</v>
      </c>
      <c r="C25" s="328" t="s">
        <v>304</v>
      </c>
      <c r="D25" s="481">
        <v>5655</v>
      </c>
      <c r="E25" s="482"/>
      <c r="F25" s="483" t="s">
        <v>699</v>
      </c>
      <c r="G25" s="482"/>
      <c r="H25" s="482"/>
      <c r="I25" s="482"/>
      <c r="J25" s="482"/>
      <c r="K25" s="482"/>
      <c r="L25" s="482"/>
      <c r="M25" s="484" t="str">
        <f t="shared" si="0"/>
        <v/>
      </c>
      <c r="N25" s="482">
        <v>11250</v>
      </c>
      <c r="O25" s="485" t="str">
        <f t="shared" si="1"/>
        <v/>
      </c>
      <c r="P25" s="312"/>
    </row>
    <row r="26" spans="2:16" ht="14.25" x14ac:dyDescent="0.2">
      <c r="B26" s="500">
        <v>12</v>
      </c>
      <c r="C26" s="335" t="s">
        <v>180</v>
      </c>
      <c r="D26" s="336"/>
      <c r="E26" s="337">
        <f>SUMIF($F15:$F25,$F11,E15:E25)</f>
        <v>0</v>
      </c>
      <c r="F26" s="336"/>
      <c r="G26" s="337">
        <f>SUMIF($F15:$F25,$F11,G15:G25)</f>
        <v>0</v>
      </c>
      <c r="H26" s="337"/>
      <c r="I26" s="337"/>
      <c r="J26" s="337"/>
      <c r="K26" s="337">
        <f>SUMIF($F15:$F25,$F11,K15:K25)</f>
        <v>0</v>
      </c>
      <c r="L26" s="337">
        <f>SUMIF($F15:$F25,$F11,L15:L25)</f>
        <v>0</v>
      </c>
      <c r="M26" s="340" t="str">
        <f t="shared" si="0"/>
        <v/>
      </c>
      <c r="N26" s="337">
        <f>SUMIF($F15:$F25,$F11,N15:N25)</f>
        <v>0</v>
      </c>
      <c r="O26" s="343" t="str">
        <f t="shared" si="1"/>
        <v/>
      </c>
      <c r="P26" s="312"/>
    </row>
    <row r="27" spans="2:16" ht="15" thickBot="1" x14ac:dyDescent="0.25">
      <c r="B27" s="501">
        <v>13</v>
      </c>
      <c r="C27" s="332" t="s">
        <v>181</v>
      </c>
      <c r="D27" s="333"/>
      <c r="E27" s="334">
        <f>SUMIF($F15:$F25,$F12,E15:E25)</f>
        <v>0</v>
      </c>
      <c r="F27" s="333"/>
      <c r="G27" s="334">
        <f>SUMIF($F15:$F25,$F12,G15:G25)</f>
        <v>0</v>
      </c>
      <c r="H27" s="334"/>
      <c r="I27" s="334"/>
      <c r="J27" s="334"/>
      <c r="K27" s="334">
        <f>SUMIF($F15:$F25,$F12,K15:K25)</f>
        <v>0</v>
      </c>
      <c r="L27" s="334">
        <f>SUMIF($F15:$F25,$F12,L15:L25)</f>
        <v>0</v>
      </c>
      <c r="M27" s="341" t="str">
        <f t="shared" si="0"/>
        <v/>
      </c>
      <c r="N27" s="334">
        <f>SUMIF($F15:$F25,$F12,N15:N25)</f>
        <v>0</v>
      </c>
      <c r="O27" s="344" t="str">
        <f t="shared" si="1"/>
        <v/>
      </c>
      <c r="P27" s="312"/>
    </row>
    <row r="28" spans="2:16" ht="14.25" thickTop="1" thickBot="1" x14ac:dyDescent="0.25">
      <c r="B28" s="502">
        <v>14</v>
      </c>
      <c r="C28" s="329" t="s">
        <v>573</v>
      </c>
      <c r="D28" s="330"/>
      <c r="E28" s="331">
        <f>E26+E27</f>
        <v>0</v>
      </c>
      <c r="F28" s="330"/>
      <c r="G28" s="331">
        <f>G26+G27</f>
        <v>0</v>
      </c>
      <c r="H28" s="331"/>
      <c r="I28" s="331"/>
      <c r="J28" s="331"/>
      <c r="K28" s="331">
        <f>K26+K27</f>
        <v>0</v>
      </c>
      <c r="L28" s="331">
        <f>L26+L27</f>
        <v>0</v>
      </c>
      <c r="M28" s="342" t="str">
        <f t="shared" si="0"/>
        <v/>
      </c>
      <c r="N28" s="331">
        <f>N26+N27</f>
        <v>0</v>
      </c>
      <c r="O28" s="345" t="str">
        <f t="shared" si="1"/>
        <v/>
      </c>
      <c r="P28" s="312"/>
    </row>
    <row r="30" spans="2:16" x14ac:dyDescent="0.2">
      <c r="B30" s="283" t="s">
        <v>639</v>
      </c>
    </row>
    <row r="32" spans="2:16" ht="14.25" x14ac:dyDescent="0.2">
      <c r="B32" s="504" t="s">
        <v>177</v>
      </c>
      <c r="C32" t="s">
        <v>307</v>
      </c>
    </row>
    <row r="33" spans="2:3" ht="14.25" x14ac:dyDescent="0.2">
      <c r="B33" s="504" t="s">
        <v>182</v>
      </c>
      <c r="C33" t="s">
        <v>308</v>
      </c>
    </row>
    <row r="34" spans="2:3" ht="14.25" x14ac:dyDescent="0.2">
      <c r="B34" s="504" t="s">
        <v>183</v>
      </c>
      <c r="C34" t="s">
        <v>305</v>
      </c>
    </row>
    <row r="35" spans="2:3" ht="14.25" x14ac:dyDescent="0.2">
      <c r="B35" s="504" t="s">
        <v>184</v>
      </c>
      <c r="C35" t="s">
        <v>306</v>
      </c>
    </row>
  </sheetData>
  <mergeCells count="4">
    <mergeCell ref="B13:C13"/>
    <mergeCell ref="B14:C14"/>
    <mergeCell ref="B9:O9"/>
    <mergeCell ref="B10:O10"/>
  </mergeCells>
  <phoneticPr fontId="3" type="noConversion"/>
  <dataValidations count="2">
    <dataValidation type="list" allowBlank="1" showInputMessage="1" showErrorMessage="1" prompt="Please identify costs as One-time or ongoing by selecting from the drop-down list." sqref="F15:F25">
      <formula1>"On-Time, On-Going"</formula1>
    </dataValidation>
    <dataValidation allowBlank="1" showInputMessage="1" showErrorMessage="1" promptTitle="Date Format" prompt="E.g:  &quot;August 1, 2011&quot;" sqref="O7"/>
  </dataValidations>
  <pageMargins left="0.75" right="0.75" top="1" bottom="1" header="0.5" footer="0.5"/>
  <pageSetup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K33"/>
  <sheetViews>
    <sheetView showGridLines="0" zoomScaleNormal="100" workbookViewId="0">
      <selection activeCell="M18" sqref="M18"/>
    </sheetView>
  </sheetViews>
  <sheetFormatPr defaultRowHeight="12.75" x14ac:dyDescent="0.2"/>
  <cols>
    <col min="1" max="1" width="2.85546875" customWidth="1"/>
    <col min="2" max="2" width="6" customWidth="1"/>
    <col min="3" max="3" width="23.7109375" customWidth="1"/>
    <col min="4" max="10" width="13.7109375" customWidth="1"/>
    <col min="11" max="11" width="13" customWidth="1"/>
  </cols>
  <sheetData>
    <row r="1" spans="2:11" x14ac:dyDescent="0.2">
      <c r="H1" s="52" t="s">
        <v>581</v>
      </c>
      <c r="I1" s="52"/>
      <c r="J1" s="52"/>
      <c r="K1" s="151" t="s">
        <v>170</v>
      </c>
    </row>
    <row r="2" spans="2:11" x14ac:dyDescent="0.2">
      <c r="H2" s="52" t="s">
        <v>582</v>
      </c>
      <c r="I2" s="52"/>
      <c r="J2" s="52"/>
      <c r="K2" s="151" t="s">
        <v>587</v>
      </c>
    </row>
    <row r="3" spans="2:11" x14ac:dyDescent="0.2">
      <c r="H3" s="52" t="s">
        <v>583</v>
      </c>
      <c r="I3" s="52"/>
      <c r="J3" s="52"/>
      <c r="K3" s="151" t="s">
        <v>588</v>
      </c>
    </row>
    <row r="4" spans="2:11" x14ac:dyDescent="0.2">
      <c r="H4" s="52" t="s">
        <v>584</v>
      </c>
      <c r="I4" s="52"/>
      <c r="J4" s="52"/>
      <c r="K4" s="151" t="s">
        <v>589</v>
      </c>
    </row>
    <row r="5" spans="2:11" x14ac:dyDescent="0.2">
      <c r="H5" s="52" t="s">
        <v>585</v>
      </c>
      <c r="I5" s="52"/>
      <c r="J5" s="52"/>
      <c r="K5" s="151" t="s">
        <v>590</v>
      </c>
    </row>
    <row r="6" spans="2:11" x14ac:dyDescent="0.2">
      <c r="H6" s="52"/>
      <c r="I6" s="52"/>
      <c r="J6" s="52"/>
    </row>
    <row r="7" spans="2:11" x14ac:dyDescent="0.2">
      <c r="H7" s="52" t="s">
        <v>586</v>
      </c>
      <c r="I7" s="52"/>
      <c r="J7" s="52"/>
      <c r="K7" s="472"/>
    </row>
    <row r="9" spans="2:11" ht="18" x14ac:dyDescent="0.25">
      <c r="B9" s="659" t="s">
        <v>369</v>
      </c>
      <c r="C9" s="659"/>
      <c r="D9" s="659"/>
      <c r="E9" s="659"/>
      <c r="F9" s="659"/>
      <c r="G9" s="659"/>
      <c r="H9" s="659"/>
      <c r="I9" s="284"/>
      <c r="J9" s="284"/>
    </row>
    <row r="10" spans="2:11" ht="18" x14ac:dyDescent="0.25">
      <c r="B10" s="659" t="s">
        <v>223</v>
      </c>
      <c r="C10" s="659"/>
      <c r="D10" s="659"/>
      <c r="E10" s="659"/>
      <c r="F10" s="659"/>
      <c r="G10" s="659"/>
      <c r="H10" s="659"/>
      <c r="I10" s="284"/>
      <c r="J10" s="284"/>
    </row>
    <row r="11" spans="2:11" ht="13.5" thickBot="1" x14ac:dyDescent="0.25"/>
    <row r="12" spans="2:11" ht="27" customHeight="1" x14ac:dyDescent="0.2">
      <c r="B12" s="707"/>
      <c r="C12" s="699"/>
      <c r="D12" s="299" t="s">
        <v>765</v>
      </c>
      <c r="E12" s="299" t="s">
        <v>766</v>
      </c>
      <c r="F12" s="299" t="s">
        <v>768</v>
      </c>
      <c r="G12" s="299" t="s">
        <v>769</v>
      </c>
      <c r="H12" s="299" t="s">
        <v>770</v>
      </c>
      <c r="I12" s="299" t="s">
        <v>771</v>
      </c>
      <c r="J12" s="299" t="s">
        <v>772</v>
      </c>
      <c r="K12" s="394" t="s">
        <v>767</v>
      </c>
    </row>
    <row r="13" spans="2:11" x14ac:dyDescent="0.2">
      <c r="B13" s="700"/>
      <c r="C13" s="701"/>
      <c r="D13" s="142"/>
      <c r="E13" s="142"/>
      <c r="F13" s="142"/>
      <c r="G13" s="26"/>
      <c r="H13" s="26"/>
      <c r="I13" s="587"/>
      <c r="J13" s="587"/>
      <c r="K13" s="395"/>
    </row>
    <row r="14" spans="2:11" x14ac:dyDescent="0.2">
      <c r="B14" s="724" t="s">
        <v>370</v>
      </c>
      <c r="C14" s="725"/>
      <c r="D14" s="588">
        <f>'[2]8-1 RATES - BASE REV. REQ.'!$H$120-'[2]8-1 RATES - BASE REV. REQ.'!$H$103-'[2]8-1 RATES - BASE REV. REQ.'!$H$99</f>
        <v>10478</v>
      </c>
      <c r="E14" s="588">
        <f>[3]Summary!C44-[3]Summary!C34-[3]Summary!C25</f>
        <v>10721.117202616786</v>
      </c>
      <c r="F14" s="588">
        <f>[3]Summary!D44-[3]Summary!D34-[3]Summary!D25</f>
        <v>10819.047544457753</v>
      </c>
      <c r="G14" s="588">
        <f>[3]Summary!E44-[3]Summary!E34-[3]Summary!E25</f>
        <v>10873.00737123376</v>
      </c>
      <c r="H14" s="588">
        <f>[3]Summary!F44-[3]Summary!F34-[3]Summary!F25</f>
        <v>11012.5</v>
      </c>
      <c r="I14" s="588">
        <f>[3]Summary!G44-[3]Summary!G34-[3]Summary!G25</f>
        <v>11182.5</v>
      </c>
      <c r="J14" s="588">
        <f>[3]Summary!H44-[3]Summary!H34-[3]Summary!H25</f>
        <v>11257</v>
      </c>
      <c r="K14" s="588">
        <f>[3]Summary!I44-[3]Summary!I34-[3]Summary!I25</f>
        <v>11367.396838365699</v>
      </c>
    </row>
    <row r="15" spans="2:11" x14ac:dyDescent="0.2">
      <c r="B15" s="724" t="s">
        <v>459</v>
      </c>
      <c r="C15" s="725"/>
      <c r="D15" s="398">
        <f>'App.2-E_OM&amp;A_Exp_Summary'!D32</f>
        <v>1937606.5780357141</v>
      </c>
      <c r="E15" s="398">
        <f>'App.2-F_Detailed_OM&amp;A_Expenses'!D107</f>
        <v>1798393.98</v>
      </c>
      <c r="F15" s="398">
        <f>'App.2-F_Detailed_OM&amp;A_Expenses'!E107</f>
        <v>1928012.18</v>
      </c>
      <c r="G15" s="398">
        <f>'App.2-F_Detailed_OM&amp;A_Expenses'!F107</f>
        <v>2172052.65</v>
      </c>
      <c r="H15" s="398">
        <f>'App.2-F_Detailed_OM&amp;A_Expenses'!G107</f>
        <v>2498192.16</v>
      </c>
      <c r="I15" s="398">
        <f>'App.2-F_Detailed_OM&amp;A_Expenses'!H107</f>
        <v>2081904.0900000003</v>
      </c>
      <c r="J15" s="398">
        <f>'App.2-F_Detailed_OM&amp;A_Expenses'!I107</f>
        <v>2417722.2400000002</v>
      </c>
      <c r="K15" s="398">
        <f>'App.2-F_Detailed_OM&amp;A_Expenses'!J107</f>
        <v>2606509.2750000004</v>
      </c>
    </row>
    <row r="16" spans="2:11" x14ac:dyDescent="0.2">
      <c r="B16" s="724" t="s">
        <v>371</v>
      </c>
      <c r="C16" s="725"/>
      <c r="D16" s="397">
        <f t="shared" ref="D16:K16" si="0">IF(D14=0,"",D15/D14)</f>
        <v>184.92141420459191</v>
      </c>
      <c r="E16" s="397">
        <f t="shared" si="0"/>
        <v>167.74315083143128</v>
      </c>
      <c r="F16" s="397">
        <f t="shared" si="0"/>
        <v>178.20535237296909</v>
      </c>
      <c r="G16" s="397">
        <f t="shared" si="0"/>
        <v>199.7655824042302</v>
      </c>
      <c r="H16" s="397">
        <f t="shared" si="0"/>
        <v>226.85059341657208</v>
      </c>
      <c r="I16" s="397">
        <f t="shared" si="0"/>
        <v>186.17519248826295</v>
      </c>
      <c r="J16" s="397">
        <f t="shared" si="0"/>
        <v>214.77500577418496</v>
      </c>
      <c r="K16" s="397">
        <f t="shared" si="0"/>
        <v>229.29693685038453</v>
      </c>
    </row>
    <row r="17" spans="2:11" x14ac:dyDescent="0.2">
      <c r="B17" s="724" t="s">
        <v>372</v>
      </c>
      <c r="C17" s="725"/>
      <c r="D17" s="399">
        <f>'[2]2-6 OTH (Employee Compensation'!$B$67+'[2]2-6 OTH (Employee Compensation'!$B$53+'[2]2-6 OTH (Employee Compensation'!$B$39</f>
        <v>20</v>
      </c>
      <c r="E17" s="399">
        <f>'App.2-K Employee Costs'!C18</f>
        <v>19</v>
      </c>
      <c r="F17" s="399">
        <f>'App.2-K Employee Costs'!D18</f>
        <v>19</v>
      </c>
      <c r="G17" s="399">
        <f>'App.2-K Employee Costs'!E18</f>
        <v>19</v>
      </c>
      <c r="H17" s="399">
        <f>'App.2-K Employee Costs'!F18</f>
        <v>20</v>
      </c>
      <c r="I17" s="399">
        <f>'App.2-K Employee Costs'!G18</f>
        <v>20</v>
      </c>
      <c r="J17" s="399">
        <f>'App.2-K Employee Costs'!H18</f>
        <v>20</v>
      </c>
      <c r="K17" s="399">
        <f>'App.2-K Employee Costs'!I18</f>
        <v>21</v>
      </c>
    </row>
    <row r="18" spans="2:11" x14ac:dyDescent="0.2">
      <c r="B18" s="724" t="s">
        <v>373</v>
      </c>
      <c r="C18" s="725"/>
      <c r="D18" s="396">
        <f>IF(D17=0,"",D14/D17)</f>
        <v>523.9</v>
      </c>
      <c r="E18" s="396">
        <f>IF(E17=0,"",E14/E17)</f>
        <v>564.26932645351508</v>
      </c>
      <c r="F18" s="396">
        <f t="shared" ref="F18:K18" si="1">IF(F17=0,"",F14/F17)</f>
        <v>569.4235549714607</v>
      </c>
      <c r="G18" s="396">
        <f t="shared" si="1"/>
        <v>572.26354585440845</v>
      </c>
      <c r="H18" s="396">
        <f t="shared" si="1"/>
        <v>550.625</v>
      </c>
      <c r="I18" s="396">
        <f t="shared" si="1"/>
        <v>559.125</v>
      </c>
      <c r="J18" s="396">
        <f t="shared" si="1"/>
        <v>562.85</v>
      </c>
      <c r="K18" s="396">
        <f t="shared" si="1"/>
        <v>541.30461135074756</v>
      </c>
    </row>
    <row r="19" spans="2:11" ht="13.5" thickBot="1" x14ac:dyDescent="0.25">
      <c r="B19" s="726" t="s">
        <v>374</v>
      </c>
      <c r="C19" s="727"/>
      <c r="D19" s="400">
        <f t="shared" ref="D19:K19" si="2">IF(D17=0,"",D15/D17)</f>
        <v>96880.328901785702</v>
      </c>
      <c r="E19" s="400">
        <f t="shared" si="2"/>
        <v>94652.314736842105</v>
      </c>
      <c r="F19" s="400">
        <f t="shared" si="2"/>
        <v>101474.32526315789</v>
      </c>
      <c r="G19" s="400">
        <f t="shared" si="2"/>
        <v>114318.56052631578</v>
      </c>
      <c r="H19" s="400">
        <f t="shared" si="2"/>
        <v>124909.60800000001</v>
      </c>
      <c r="I19" s="400">
        <f t="shared" si="2"/>
        <v>104095.20450000002</v>
      </c>
      <c r="J19" s="400">
        <f t="shared" si="2"/>
        <v>120886.11200000001</v>
      </c>
      <c r="K19" s="400">
        <f t="shared" si="2"/>
        <v>124119.4892857143</v>
      </c>
    </row>
    <row r="21" spans="2:11" x14ac:dyDescent="0.2">
      <c r="B21" s="401" t="s">
        <v>639</v>
      </c>
    </row>
    <row r="23" spans="2:11" ht="12.75" customHeight="1" x14ac:dyDescent="0.2">
      <c r="B23" s="433" t="s">
        <v>603</v>
      </c>
      <c r="C23" s="657" t="s">
        <v>422</v>
      </c>
      <c r="D23" s="657"/>
      <c r="E23" s="657"/>
      <c r="F23" s="657"/>
      <c r="G23" s="657"/>
      <c r="H23" s="657"/>
      <c r="I23" s="407"/>
      <c r="J23" s="407"/>
    </row>
    <row r="24" spans="2:11" x14ac:dyDescent="0.2">
      <c r="B24" s="1"/>
      <c r="C24" s="657"/>
      <c r="D24" s="657"/>
      <c r="E24" s="657"/>
      <c r="F24" s="657"/>
      <c r="G24" s="657"/>
      <c r="H24" s="657"/>
      <c r="I24" s="407"/>
      <c r="J24" s="407"/>
    </row>
    <row r="25" spans="2:11" x14ac:dyDescent="0.2">
      <c r="B25" s="1"/>
      <c r="C25" s="657"/>
      <c r="D25" s="657"/>
      <c r="E25" s="657"/>
      <c r="F25" s="657"/>
      <c r="G25" s="657"/>
      <c r="H25" s="657"/>
      <c r="I25" s="407"/>
      <c r="J25" s="407"/>
    </row>
    <row r="26" spans="2:11" x14ac:dyDescent="0.2">
      <c r="B26" s="1"/>
      <c r="C26" s="657"/>
      <c r="D26" s="657"/>
      <c r="E26" s="657"/>
      <c r="F26" s="657"/>
      <c r="G26" s="657"/>
      <c r="H26" s="657"/>
      <c r="I26" s="407"/>
      <c r="J26" s="407"/>
    </row>
    <row r="27" spans="2:11" x14ac:dyDescent="0.2">
      <c r="B27" s="1"/>
    </row>
    <row r="28" spans="2:11" x14ac:dyDescent="0.2">
      <c r="B28" s="433" t="s">
        <v>637</v>
      </c>
      <c r="C28" s="658" t="s">
        <v>547</v>
      </c>
      <c r="D28" s="658"/>
      <c r="E28" s="658"/>
      <c r="F28" s="658"/>
      <c r="G28" s="658"/>
      <c r="H28" s="658"/>
      <c r="I28" s="285"/>
      <c r="J28" s="285"/>
    </row>
    <row r="29" spans="2:11" x14ac:dyDescent="0.2">
      <c r="B29" s="1"/>
    </row>
    <row r="30" spans="2:11" x14ac:dyDescent="0.2">
      <c r="B30" s="433" t="s">
        <v>49</v>
      </c>
      <c r="C30" s="658" t="s">
        <v>460</v>
      </c>
      <c r="D30" s="658"/>
      <c r="E30" s="658"/>
      <c r="F30" s="658"/>
      <c r="G30" s="658"/>
      <c r="H30" s="658"/>
      <c r="I30" s="285"/>
      <c r="J30" s="285"/>
    </row>
    <row r="31" spans="2:11" x14ac:dyDescent="0.2">
      <c r="B31" s="1"/>
    </row>
    <row r="32" spans="2:11" x14ac:dyDescent="0.2">
      <c r="B32" s="433" t="s">
        <v>50</v>
      </c>
      <c r="C32" s="669" t="s">
        <v>375</v>
      </c>
      <c r="D32" s="669"/>
      <c r="E32" s="669"/>
      <c r="F32" s="669"/>
      <c r="G32" s="669"/>
      <c r="H32" s="669"/>
      <c r="I32" s="376"/>
      <c r="J32" s="376"/>
    </row>
    <row r="33" spans="2:10" x14ac:dyDescent="0.2">
      <c r="B33" s="1"/>
      <c r="C33" s="669"/>
      <c r="D33" s="669"/>
      <c r="E33" s="669"/>
      <c r="F33" s="669"/>
      <c r="G33" s="669"/>
      <c r="H33" s="669"/>
      <c r="I33" s="376"/>
      <c r="J33" s="376"/>
    </row>
  </sheetData>
  <mergeCells count="13">
    <mergeCell ref="B16:C16"/>
    <mergeCell ref="B17:C17"/>
    <mergeCell ref="B18:C18"/>
    <mergeCell ref="B19:C19"/>
    <mergeCell ref="C32:H33"/>
    <mergeCell ref="C23:H26"/>
    <mergeCell ref="C28:H28"/>
    <mergeCell ref="C30:H30"/>
    <mergeCell ref="B9:H9"/>
    <mergeCell ref="B10:H10"/>
    <mergeCell ref="B14:C14"/>
    <mergeCell ref="B15:C15"/>
    <mergeCell ref="B12:C13"/>
  </mergeCells>
  <phoneticPr fontId="3" type="noConversion"/>
  <dataValidations count="1">
    <dataValidation allowBlank="1" showInputMessage="1" showErrorMessage="1" promptTitle="Date Format" prompt="E.g:  &quot;August 1, 2011&quot;" sqref="K7"/>
  </dataValidations>
  <pageMargins left="0.75" right="0.75" top="1" bottom="1" header="0.5" footer="0.5"/>
  <pageSetup scale="6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J108"/>
  <sheetViews>
    <sheetView showGridLines="0" topLeftCell="A89" zoomScaleNormal="100" workbookViewId="0">
      <selection activeCell="G88" sqref="G88"/>
    </sheetView>
  </sheetViews>
  <sheetFormatPr defaultRowHeight="12.75" x14ac:dyDescent="0.2"/>
  <cols>
    <col min="1" max="1" width="2.7109375" customWidth="1"/>
    <col min="3" max="3" width="67.140625" customWidth="1"/>
    <col min="4" max="10" width="12.7109375" customWidth="1"/>
  </cols>
  <sheetData>
    <row r="1" spans="2:10" x14ac:dyDescent="0.2">
      <c r="I1" s="52" t="s">
        <v>581</v>
      </c>
      <c r="J1" s="151" t="s">
        <v>170</v>
      </c>
    </row>
    <row r="2" spans="2:10" x14ac:dyDescent="0.2">
      <c r="I2" s="52" t="s">
        <v>582</v>
      </c>
      <c r="J2" s="151" t="s">
        <v>587</v>
      </c>
    </row>
    <row r="3" spans="2:10" x14ac:dyDescent="0.2">
      <c r="I3" s="52" t="s">
        <v>583</v>
      </c>
      <c r="J3" s="151" t="s">
        <v>588</v>
      </c>
    </row>
    <row r="4" spans="2:10" x14ac:dyDescent="0.2">
      <c r="I4" s="52" t="s">
        <v>584</v>
      </c>
      <c r="J4" s="151" t="s">
        <v>589</v>
      </c>
    </row>
    <row r="5" spans="2:10" x14ac:dyDescent="0.2">
      <c r="I5" s="52" t="s">
        <v>585</v>
      </c>
      <c r="J5" s="151" t="s">
        <v>590</v>
      </c>
    </row>
    <row r="6" spans="2:10" x14ac:dyDescent="0.2">
      <c r="I6" s="52"/>
    </row>
    <row r="7" spans="2:10" x14ac:dyDescent="0.2">
      <c r="I7" s="52" t="s">
        <v>586</v>
      </c>
      <c r="J7" s="472"/>
    </row>
    <row r="9" spans="2:10" ht="18" x14ac:dyDescent="0.25">
      <c r="B9" s="659" t="s">
        <v>368</v>
      </c>
      <c r="C9" s="659"/>
      <c r="D9" s="659"/>
      <c r="E9" s="659"/>
      <c r="F9" s="659"/>
      <c r="G9" s="659"/>
      <c r="H9" s="659"/>
      <c r="I9" s="659"/>
      <c r="J9" s="659"/>
    </row>
    <row r="10" spans="2:10" ht="18" x14ac:dyDescent="0.25">
      <c r="B10" s="659" t="s">
        <v>224</v>
      </c>
      <c r="C10" s="659"/>
      <c r="D10" s="659"/>
      <c r="E10" s="659"/>
      <c r="F10" s="659"/>
      <c r="G10" s="659"/>
      <c r="H10" s="659"/>
      <c r="I10" s="659"/>
      <c r="J10" s="659"/>
    </row>
    <row r="11" spans="2:10" ht="15.75" x14ac:dyDescent="0.25">
      <c r="B11" s="719" t="s">
        <v>275</v>
      </c>
      <c r="C11" s="719"/>
      <c r="D11" s="719"/>
      <c r="E11" s="719"/>
      <c r="F11" s="719"/>
      <c r="G11" s="719"/>
      <c r="H11" s="719"/>
      <c r="I11" s="719"/>
      <c r="J11" s="719"/>
    </row>
    <row r="13" spans="2:10" ht="13.5" thickBot="1" x14ac:dyDescent="0.25"/>
    <row r="14" spans="2:10" ht="53.25" customHeight="1" x14ac:dyDescent="0.2">
      <c r="B14" s="734" t="s">
        <v>625</v>
      </c>
      <c r="C14" s="734" t="s">
        <v>528</v>
      </c>
      <c r="D14" s="728" t="s">
        <v>775</v>
      </c>
      <c r="E14" s="728" t="s">
        <v>773</v>
      </c>
      <c r="F14" s="728" t="s">
        <v>774</v>
      </c>
      <c r="G14" s="736" t="s">
        <v>309</v>
      </c>
      <c r="H14" s="737"/>
      <c r="I14" s="736" t="s">
        <v>310</v>
      </c>
      <c r="J14" s="737"/>
    </row>
    <row r="15" spans="2:10" ht="12.75" customHeight="1" thickBot="1" x14ac:dyDescent="0.25">
      <c r="B15" s="735"/>
      <c r="C15" s="735"/>
      <c r="D15" s="729"/>
      <c r="E15" s="729"/>
      <c r="F15" s="729"/>
      <c r="G15" s="505" t="s">
        <v>311</v>
      </c>
      <c r="H15" s="505" t="s">
        <v>312</v>
      </c>
      <c r="I15" s="506" t="s">
        <v>311</v>
      </c>
      <c r="J15" s="507" t="s">
        <v>312</v>
      </c>
    </row>
    <row r="16" spans="2:10" x14ac:dyDescent="0.2">
      <c r="B16" s="732" t="s">
        <v>274</v>
      </c>
      <c r="C16" s="733"/>
      <c r="D16" s="733"/>
      <c r="E16" s="733"/>
      <c r="F16" s="733"/>
      <c r="G16" s="713"/>
      <c r="H16" s="713"/>
      <c r="I16" s="713"/>
      <c r="J16" s="714"/>
    </row>
    <row r="17" spans="2:10" x14ac:dyDescent="0.2">
      <c r="B17" s="300">
        <v>5005</v>
      </c>
      <c r="C17" s="73" t="s">
        <v>127</v>
      </c>
      <c r="D17" s="580">
        <f>VLOOKUP(B17,'[1]Trial Balance'!$A$277:$P$395,4,$B$16:$B$106)</f>
        <v>72063.94</v>
      </c>
      <c r="E17" s="580">
        <f>VLOOKUP(B17,'[1]Trial Balance'!$A$277:$P$395,14,$B$16:$B$105)</f>
        <v>60875.5</v>
      </c>
      <c r="F17" s="580">
        <f>VLOOKUP(B17,'[1]Trial Balance'!$A$277:$P$395,16,$B$16:$B$105)</f>
        <v>81000</v>
      </c>
      <c r="G17" s="353">
        <f>F17-D17</f>
        <v>8936.0599999999977</v>
      </c>
      <c r="H17" s="357">
        <f>IF(D17=0,"",(F17/D17)-1)</f>
        <v>0.12400182393579917</v>
      </c>
      <c r="I17" s="353">
        <f>F17-E17</f>
        <v>20124.5</v>
      </c>
      <c r="J17" s="358">
        <f>IF(E17=0,"",(F17/E17)-1)</f>
        <v>0.33058455372029805</v>
      </c>
    </row>
    <row r="18" spans="2:10" x14ac:dyDescent="0.2">
      <c r="B18" s="301">
        <v>5010</v>
      </c>
      <c r="C18" s="287" t="s">
        <v>128</v>
      </c>
      <c r="D18" s="580">
        <f>VLOOKUP(B18,'[1]Trial Balance'!$A$277:$P$395,4,$B$16:$B$106)</f>
        <v>0</v>
      </c>
      <c r="E18" s="580">
        <f>VLOOKUP(B18,'[1]Trial Balance'!$A$277:$P$395,14,$B$16:$B$105)</f>
        <v>277.49</v>
      </c>
      <c r="F18" s="580">
        <f>VLOOKUP(B18,'[1]Trial Balance'!$A$277:$P$395,16,$B$16:$B$105)</f>
        <v>1000</v>
      </c>
      <c r="G18" s="354">
        <f t="shared" ref="G18:G40" si="0">F18-D18</f>
        <v>1000</v>
      </c>
      <c r="H18" s="357" t="str">
        <f t="shared" ref="H18:H40" si="1">IF(D18=0,"",(F18/D18)-1)</f>
        <v/>
      </c>
      <c r="I18" s="354">
        <f t="shared" ref="I18:I40" si="2">F18-E18</f>
        <v>722.51</v>
      </c>
      <c r="J18" s="359">
        <f t="shared" ref="J18:J40" si="3">IF(E18=0,"",(F18/E18)-1)</f>
        <v>2.6037334678727162</v>
      </c>
    </row>
    <row r="19" spans="2:10" x14ac:dyDescent="0.2">
      <c r="B19" s="286">
        <v>5012</v>
      </c>
      <c r="C19" s="64" t="s">
        <v>129</v>
      </c>
      <c r="D19" s="580">
        <f>VLOOKUP(B19,'[1]Trial Balance'!$A$277:$P$395,4,$B$16:$B$106)</f>
        <v>0</v>
      </c>
      <c r="E19" s="580">
        <f>VLOOKUP(B19,'[1]Trial Balance'!$A$277:$P$395,14,$B$16:$B$105)</f>
        <v>0</v>
      </c>
      <c r="F19" s="580">
        <f>VLOOKUP(B19,'[1]Trial Balance'!$A$277:$P$395,16,$B$16:$B$105)</f>
        <v>0</v>
      </c>
      <c r="G19" s="355">
        <f t="shared" si="0"/>
        <v>0</v>
      </c>
      <c r="H19" s="360" t="str">
        <f t="shared" si="1"/>
        <v/>
      </c>
      <c r="I19" s="355">
        <f t="shared" si="2"/>
        <v>0</v>
      </c>
      <c r="J19" s="361" t="str">
        <f t="shared" si="3"/>
        <v/>
      </c>
    </row>
    <row r="20" spans="2:10" x14ac:dyDescent="0.2">
      <c r="B20" s="301">
        <v>5014</v>
      </c>
      <c r="C20" s="287" t="s">
        <v>130</v>
      </c>
      <c r="D20" s="580">
        <f>VLOOKUP(B20,'[1]Trial Balance'!$A$277:$P$395,4,$B$16:$B$106)</f>
        <v>0</v>
      </c>
      <c r="E20" s="580">
        <f>VLOOKUP(B20,'[1]Trial Balance'!$A$277:$P$395,14,$B$16:$B$105)</f>
        <v>0</v>
      </c>
      <c r="F20" s="580">
        <f>VLOOKUP(B20,'[1]Trial Balance'!$A$277:$P$395,16,$B$16:$B$105)</f>
        <v>0</v>
      </c>
      <c r="G20" s="354">
        <f t="shared" si="0"/>
        <v>0</v>
      </c>
      <c r="H20" s="357" t="str">
        <f t="shared" si="1"/>
        <v/>
      </c>
      <c r="I20" s="354">
        <f t="shared" si="2"/>
        <v>0</v>
      </c>
      <c r="J20" s="359" t="str">
        <f t="shared" si="3"/>
        <v/>
      </c>
    </row>
    <row r="21" spans="2:10" x14ac:dyDescent="0.2">
      <c r="B21" s="301">
        <v>5015</v>
      </c>
      <c r="C21" s="287" t="s">
        <v>131</v>
      </c>
      <c r="D21" s="580">
        <f>VLOOKUP(B21,'[1]Trial Balance'!$A$277:$P$395,4,$B$16:$B$106)</f>
        <v>0</v>
      </c>
      <c r="E21" s="580">
        <f>VLOOKUP(B21,'[1]Trial Balance'!$A$277:$P$395,14,$B$16:$B$105)</f>
        <v>0</v>
      </c>
      <c r="F21" s="580">
        <f>VLOOKUP(B21,'[1]Trial Balance'!$A$277:$P$395,16,$B$16:$B$105)</f>
        <v>0</v>
      </c>
      <c r="G21" s="354">
        <f t="shared" si="0"/>
        <v>0</v>
      </c>
      <c r="H21" s="357" t="str">
        <f t="shared" si="1"/>
        <v/>
      </c>
      <c r="I21" s="354">
        <f t="shared" si="2"/>
        <v>0</v>
      </c>
      <c r="J21" s="359" t="str">
        <f t="shared" si="3"/>
        <v/>
      </c>
    </row>
    <row r="22" spans="2:10" x14ac:dyDescent="0.2">
      <c r="B22" s="301">
        <v>5016</v>
      </c>
      <c r="C22" s="287" t="s">
        <v>132</v>
      </c>
      <c r="D22" s="580">
        <f>VLOOKUP(B22,'[1]Trial Balance'!$A$277:$P$395,4,$B$16:$B$106)</f>
        <v>1061.24</v>
      </c>
      <c r="E22" s="580">
        <f>VLOOKUP(B22,'[1]Trial Balance'!$A$277:$P$395,14,$B$16:$B$105)</f>
        <v>459.55</v>
      </c>
      <c r="F22" s="580">
        <f>VLOOKUP(B22,'[1]Trial Balance'!$A$277:$P$395,16,$B$16:$B$105)</f>
        <v>2000</v>
      </c>
      <c r="G22" s="354">
        <f t="shared" si="0"/>
        <v>938.76</v>
      </c>
      <c r="H22" s="357">
        <f t="shared" si="1"/>
        <v>0.88458784063925222</v>
      </c>
      <c r="I22" s="354">
        <f t="shared" si="2"/>
        <v>1540.45</v>
      </c>
      <c r="J22" s="359">
        <f t="shared" si="3"/>
        <v>3.3520835600043517</v>
      </c>
    </row>
    <row r="23" spans="2:10" x14ac:dyDescent="0.2">
      <c r="B23" s="301">
        <v>5017</v>
      </c>
      <c r="C23" s="287" t="s">
        <v>133</v>
      </c>
      <c r="D23" s="580">
        <f>VLOOKUP(B23,'[1]Trial Balance'!$A$277:$P$395,4,$B$16:$B$106)</f>
        <v>0</v>
      </c>
      <c r="E23" s="580">
        <f>VLOOKUP(B23,'[1]Trial Balance'!$A$277:$P$395,14,$B$16:$B$105)</f>
        <v>0</v>
      </c>
      <c r="F23" s="580">
        <f>VLOOKUP(B23,'[1]Trial Balance'!$A$277:$P$395,16,$B$16:$B$105)</f>
        <v>0</v>
      </c>
      <c r="G23" s="354">
        <f t="shared" si="0"/>
        <v>0</v>
      </c>
      <c r="H23" s="357" t="str">
        <f t="shared" si="1"/>
        <v/>
      </c>
      <c r="I23" s="354">
        <f t="shared" si="2"/>
        <v>0</v>
      </c>
      <c r="J23" s="359" t="str">
        <f t="shared" si="3"/>
        <v/>
      </c>
    </row>
    <row r="24" spans="2:10" x14ac:dyDescent="0.2">
      <c r="B24" s="301">
        <v>5020</v>
      </c>
      <c r="C24" s="287" t="s">
        <v>134</v>
      </c>
      <c r="D24" s="580">
        <f>VLOOKUP(B24,'[1]Trial Balance'!$A$277:$P$395,4,$B$16:$B$106)</f>
        <v>49506.720000000001</v>
      </c>
      <c r="E24" s="580">
        <f>VLOOKUP(B24,'[1]Trial Balance'!$A$277:$P$395,14,$B$16:$B$105)</f>
        <v>40304.160000000003</v>
      </c>
      <c r="F24" s="580">
        <f>VLOOKUP(B24,'[1]Trial Balance'!$A$277:$P$395,16,$B$16:$B$105)</f>
        <v>54000</v>
      </c>
      <c r="G24" s="354">
        <f t="shared" si="0"/>
        <v>4493.2799999999988</v>
      </c>
      <c r="H24" s="357">
        <f t="shared" si="1"/>
        <v>9.0761011838392802E-2</v>
      </c>
      <c r="I24" s="354">
        <f t="shared" si="2"/>
        <v>13695.839999999997</v>
      </c>
      <c r="J24" s="359">
        <f t="shared" si="3"/>
        <v>0.33981206902711758</v>
      </c>
    </row>
    <row r="25" spans="2:10" x14ac:dyDescent="0.2">
      <c r="B25" s="301">
        <v>5025</v>
      </c>
      <c r="C25" s="287" t="s">
        <v>135</v>
      </c>
      <c r="D25" s="580">
        <f>VLOOKUP(B25,'[1]Trial Balance'!$A$277:$P$395,4,$B$16:$B$106)</f>
        <v>0</v>
      </c>
      <c r="E25" s="580">
        <f>VLOOKUP(B25,'[1]Trial Balance'!$A$277:$P$395,14,$B$16:$B$105)</f>
        <v>23.75</v>
      </c>
      <c r="F25" s="580">
        <f>VLOOKUP(B25,'[1]Trial Balance'!$A$277:$P$395,16,$B$16:$B$105)</f>
        <v>0</v>
      </c>
      <c r="G25" s="354">
        <f t="shared" si="0"/>
        <v>0</v>
      </c>
      <c r="H25" s="357" t="str">
        <f t="shared" si="1"/>
        <v/>
      </c>
      <c r="I25" s="354">
        <f t="shared" si="2"/>
        <v>-23.75</v>
      </c>
      <c r="J25" s="359">
        <f t="shared" si="3"/>
        <v>-1</v>
      </c>
    </row>
    <row r="26" spans="2:10" x14ac:dyDescent="0.2">
      <c r="B26" s="301">
        <v>5030</v>
      </c>
      <c r="C26" s="287" t="s">
        <v>154</v>
      </c>
      <c r="D26" s="580">
        <f>VLOOKUP(B26,'[1]Trial Balance'!$A$277:$P$395,4,$B$16:$B$106)</f>
        <v>0</v>
      </c>
      <c r="E26" s="580">
        <f>VLOOKUP(B26,'[1]Trial Balance'!$A$277:$P$395,14,$B$16:$B$105)</f>
        <v>0</v>
      </c>
      <c r="F26" s="580">
        <f>VLOOKUP(B26,'[1]Trial Balance'!$A$277:$P$395,16,$B$16:$B$105)</f>
        <v>0</v>
      </c>
      <c r="G26" s="354">
        <f t="shared" si="0"/>
        <v>0</v>
      </c>
      <c r="H26" s="357" t="str">
        <f t="shared" si="1"/>
        <v/>
      </c>
      <c r="I26" s="354">
        <f t="shared" si="2"/>
        <v>0</v>
      </c>
      <c r="J26" s="359" t="str">
        <f t="shared" si="3"/>
        <v/>
      </c>
    </row>
    <row r="27" spans="2:10" x14ac:dyDescent="0.2">
      <c r="B27" s="301">
        <v>5035</v>
      </c>
      <c r="C27" s="287" t="s">
        <v>155</v>
      </c>
      <c r="D27" s="580">
        <f>VLOOKUP(B27,'[1]Trial Balance'!$A$277:$P$395,4,$B$16:$B$106)</f>
        <v>417.01</v>
      </c>
      <c r="E27" s="580">
        <f>VLOOKUP(B27,'[1]Trial Balance'!$A$277:$P$395,14,$B$16:$B$105)</f>
        <v>4180.41</v>
      </c>
      <c r="F27" s="580">
        <f>VLOOKUP(B27,'[1]Trial Balance'!$A$277:$P$395,16,$B$16:$B$105)</f>
        <v>4000</v>
      </c>
      <c r="G27" s="354">
        <f t="shared" si="0"/>
        <v>3582.99</v>
      </c>
      <c r="H27" s="357">
        <f t="shared" si="1"/>
        <v>8.5920961128030502</v>
      </c>
      <c r="I27" s="354">
        <f t="shared" si="2"/>
        <v>-180.40999999999985</v>
      </c>
      <c r="J27" s="359">
        <f t="shared" si="3"/>
        <v>-4.3156054071251337E-2</v>
      </c>
    </row>
    <row r="28" spans="2:10" x14ac:dyDescent="0.2">
      <c r="B28" s="301">
        <v>5040</v>
      </c>
      <c r="C28" s="287" t="s">
        <v>156</v>
      </c>
      <c r="D28" s="580">
        <f>VLOOKUP(B28,'[1]Trial Balance'!$A$277:$P$395,4,$B$16:$B$106)</f>
        <v>78635.97</v>
      </c>
      <c r="E28" s="580">
        <f>VLOOKUP(B28,'[1]Trial Balance'!$A$277:$P$395,14,$B$16:$B$105)</f>
        <v>103083.97</v>
      </c>
      <c r="F28" s="580">
        <f>VLOOKUP(B28,'[1]Trial Balance'!$A$277:$P$395,16,$B$16:$B$105)</f>
        <v>100000</v>
      </c>
      <c r="G28" s="354">
        <f t="shared" si="0"/>
        <v>21364.03</v>
      </c>
      <c r="H28" s="357">
        <f t="shared" si="1"/>
        <v>0.27168266634213323</v>
      </c>
      <c r="I28" s="354">
        <f t="shared" si="2"/>
        <v>-3083.9700000000012</v>
      </c>
      <c r="J28" s="359">
        <f t="shared" si="3"/>
        <v>-2.991706663994409E-2</v>
      </c>
    </row>
    <row r="29" spans="2:10" x14ac:dyDescent="0.2">
      <c r="B29" s="301">
        <v>5045</v>
      </c>
      <c r="C29" s="287" t="s">
        <v>157</v>
      </c>
      <c r="D29" s="580">
        <f>VLOOKUP(B29,'[1]Trial Balance'!$A$277:$P$395,4,$B$16:$B$106)</f>
        <v>0</v>
      </c>
      <c r="E29" s="580">
        <f>VLOOKUP(B29,'[1]Trial Balance'!$A$277:$P$395,14,$B$16:$B$105)</f>
        <v>0</v>
      </c>
      <c r="F29" s="580">
        <f>VLOOKUP(B29,'[1]Trial Balance'!$A$277:$P$395,16,$B$16:$B$105)</f>
        <v>0</v>
      </c>
      <c r="G29" s="354">
        <f t="shared" si="0"/>
        <v>0</v>
      </c>
      <c r="H29" s="357" t="str">
        <f t="shared" si="1"/>
        <v/>
      </c>
      <c r="I29" s="354">
        <f t="shared" si="2"/>
        <v>0</v>
      </c>
      <c r="J29" s="359" t="str">
        <f t="shared" si="3"/>
        <v/>
      </c>
    </row>
    <row r="30" spans="2:10" x14ac:dyDescent="0.2">
      <c r="B30" s="301">
        <v>5050</v>
      </c>
      <c r="C30" s="287" t="s">
        <v>158</v>
      </c>
      <c r="D30" s="580">
        <f>VLOOKUP(B30,'[1]Trial Balance'!$A$277:$P$395,4,$B$16:$B$106)</f>
        <v>0</v>
      </c>
      <c r="E30" s="580">
        <f>VLOOKUP(B30,'[1]Trial Balance'!$A$277:$P$395,14,$B$16:$B$105)</f>
        <v>0</v>
      </c>
      <c r="F30" s="580">
        <f>VLOOKUP(B30,'[1]Trial Balance'!$A$277:$P$395,16,$B$16:$B$105)</f>
        <v>0</v>
      </c>
      <c r="G30" s="354">
        <f t="shared" si="0"/>
        <v>0</v>
      </c>
      <c r="H30" s="357" t="str">
        <f t="shared" si="1"/>
        <v/>
      </c>
      <c r="I30" s="354">
        <f t="shared" si="2"/>
        <v>0</v>
      </c>
      <c r="J30" s="359" t="str">
        <f t="shared" si="3"/>
        <v/>
      </c>
    </row>
    <row r="31" spans="2:10" x14ac:dyDescent="0.2">
      <c r="B31" s="301">
        <v>5055</v>
      </c>
      <c r="C31" s="287" t="s">
        <v>159</v>
      </c>
      <c r="D31" s="580">
        <f>VLOOKUP(B31,'[1]Trial Balance'!$A$277:$P$395,4,$B$16:$B$106)</f>
        <v>1328.2</v>
      </c>
      <c r="E31" s="580">
        <f>VLOOKUP(B31,'[1]Trial Balance'!$A$277:$P$395,14,$B$16:$B$105)</f>
        <v>2550.1</v>
      </c>
      <c r="F31" s="580">
        <f>VLOOKUP(B31,'[1]Trial Balance'!$A$277:$P$395,16,$B$16:$B$105)</f>
        <v>1000</v>
      </c>
      <c r="G31" s="354">
        <f t="shared" si="0"/>
        <v>-328.20000000000005</v>
      </c>
      <c r="H31" s="357">
        <f t="shared" si="1"/>
        <v>-0.24710134015961449</v>
      </c>
      <c r="I31" s="354">
        <f t="shared" si="2"/>
        <v>-1550.1</v>
      </c>
      <c r="J31" s="359">
        <f t="shared" si="3"/>
        <v>-0.60785851535233903</v>
      </c>
    </row>
    <row r="32" spans="2:10" x14ac:dyDescent="0.2">
      <c r="B32" s="301">
        <v>5060</v>
      </c>
      <c r="C32" s="287" t="s">
        <v>160</v>
      </c>
      <c r="D32" s="580">
        <f>VLOOKUP(B32,'[1]Trial Balance'!$A$277:$P$395,4,$B$16:$B$106)</f>
        <v>0</v>
      </c>
      <c r="E32" s="580">
        <f>VLOOKUP(B32,'[1]Trial Balance'!$A$277:$P$395,14,$B$16:$B$105)</f>
        <v>0</v>
      </c>
      <c r="F32" s="580">
        <f>VLOOKUP(B32,'[1]Trial Balance'!$A$277:$P$395,16,$B$16:$B$105)</f>
        <v>0</v>
      </c>
      <c r="G32" s="354">
        <f t="shared" si="0"/>
        <v>0</v>
      </c>
      <c r="H32" s="357" t="str">
        <f t="shared" si="1"/>
        <v/>
      </c>
      <c r="I32" s="354">
        <f t="shared" si="2"/>
        <v>0</v>
      </c>
      <c r="J32" s="359" t="str">
        <f t="shared" si="3"/>
        <v/>
      </c>
    </row>
    <row r="33" spans="2:10" x14ac:dyDescent="0.2">
      <c r="B33" s="286">
        <v>5065</v>
      </c>
      <c r="C33" s="64" t="s">
        <v>161</v>
      </c>
      <c r="D33" s="580">
        <f>VLOOKUP(B33,'[1]Trial Balance'!$A$277:$P$395,4,$B$16:$B$106)</f>
        <v>17365.150000000001</v>
      </c>
      <c r="E33" s="580">
        <f>VLOOKUP(B33,'[1]Trial Balance'!$A$277:$P$395,14,$B$16:$B$105)</f>
        <v>20936.900000000001</v>
      </c>
      <c r="F33" s="580">
        <f>VLOOKUP(B33,'[1]Trial Balance'!$A$277:$P$395,16,$B$16:$B$105)</f>
        <v>22000</v>
      </c>
      <c r="G33" s="355">
        <f t="shared" si="0"/>
        <v>4634.8499999999985</v>
      </c>
      <c r="H33" s="360">
        <f t="shared" si="1"/>
        <v>0.26690526715864804</v>
      </c>
      <c r="I33" s="355">
        <f t="shared" si="2"/>
        <v>1063.0999999999985</v>
      </c>
      <c r="J33" s="361">
        <f t="shared" si="3"/>
        <v>5.0776380457469683E-2</v>
      </c>
    </row>
    <row r="34" spans="2:10" x14ac:dyDescent="0.2">
      <c r="B34" s="301">
        <v>5070</v>
      </c>
      <c r="C34" s="287" t="s">
        <v>162</v>
      </c>
      <c r="D34" s="580">
        <f>VLOOKUP(B34,'[1]Trial Balance'!$A$277:$P$395,4,$B$16:$B$106)</f>
        <v>0</v>
      </c>
      <c r="E34" s="580">
        <f>VLOOKUP(B34,'[1]Trial Balance'!$A$277:$P$395,14,$B$16:$B$105)</f>
        <v>0</v>
      </c>
      <c r="F34" s="580">
        <f>VLOOKUP(B34,'[1]Trial Balance'!$A$277:$P$395,16,$B$16:$B$105)</f>
        <v>0</v>
      </c>
      <c r="G34" s="354">
        <f t="shared" si="0"/>
        <v>0</v>
      </c>
      <c r="H34" s="357" t="str">
        <f t="shared" si="1"/>
        <v/>
      </c>
      <c r="I34" s="354">
        <f t="shared" si="2"/>
        <v>0</v>
      </c>
      <c r="J34" s="359" t="str">
        <f t="shared" si="3"/>
        <v/>
      </c>
    </row>
    <row r="35" spans="2:10" x14ac:dyDescent="0.2">
      <c r="B35" s="286">
        <v>5075</v>
      </c>
      <c r="C35" s="64" t="s">
        <v>163</v>
      </c>
      <c r="D35" s="580">
        <f>VLOOKUP(B35,'[1]Trial Balance'!$A$277:$P$395,4,$B$16:$B$106)</f>
        <v>0</v>
      </c>
      <c r="E35" s="580">
        <f>VLOOKUP(B35,'[1]Trial Balance'!$A$277:$P$395,14,$B$16:$B$105)</f>
        <v>0</v>
      </c>
      <c r="F35" s="580">
        <f>VLOOKUP(B35,'[1]Trial Balance'!$A$277:$P$395,16,$B$16:$B$105)</f>
        <v>0</v>
      </c>
      <c r="G35" s="355">
        <f t="shared" si="0"/>
        <v>0</v>
      </c>
      <c r="H35" s="360" t="str">
        <f t="shared" si="1"/>
        <v/>
      </c>
      <c r="I35" s="355">
        <f t="shared" si="2"/>
        <v>0</v>
      </c>
      <c r="J35" s="361" t="str">
        <f t="shared" si="3"/>
        <v/>
      </c>
    </row>
    <row r="36" spans="2:10" x14ac:dyDescent="0.2">
      <c r="B36" s="301">
        <v>5085</v>
      </c>
      <c r="C36" s="287" t="s">
        <v>164</v>
      </c>
      <c r="D36" s="580">
        <f>VLOOKUP(B36,'[1]Trial Balance'!$A$277:$P$395,4,$B$16:$B$106)</f>
        <v>0</v>
      </c>
      <c r="E36" s="580">
        <f>VLOOKUP(B36,'[1]Trial Balance'!$A$277:$P$395,14,$B$16:$B$105)</f>
        <v>0</v>
      </c>
      <c r="F36" s="580">
        <f>VLOOKUP(B36,'[1]Trial Balance'!$A$277:$P$395,16,$B$16:$B$105)</f>
        <v>0</v>
      </c>
      <c r="G36" s="354">
        <f t="shared" si="0"/>
        <v>0</v>
      </c>
      <c r="H36" s="357" t="str">
        <f t="shared" si="1"/>
        <v/>
      </c>
      <c r="I36" s="354">
        <f t="shared" si="2"/>
        <v>0</v>
      </c>
      <c r="J36" s="359" t="str">
        <f t="shared" si="3"/>
        <v/>
      </c>
    </row>
    <row r="37" spans="2:10" x14ac:dyDescent="0.2">
      <c r="B37" s="286">
        <v>5090</v>
      </c>
      <c r="C37" s="64" t="s">
        <v>165</v>
      </c>
      <c r="D37" s="580">
        <f>VLOOKUP(B37,'[1]Trial Balance'!$A$277:$P$395,4,$B$16:$B$106)</f>
        <v>0</v>
      </c>
      <c r="E37" s="580">
        <f>VLOOKUP(B37,'[1]Trial Balance'!$A$277:$P$395,14,$B$16:$B$105)</f>
        <v>0</v>
      </c>
      <c r="F37" s="580">
        <f>VLOOKUP(B37,'[1]Trial Balance'!$A$277:$P$395,16,$B$16:$B$105)</f>
        <v>0</v>
      </c>
      <c r="G37" s="355">
        <f t="shared" si="0"/>
        <v>0</v>
      </c>
      <c r="H37" s="360" t="str">
        <f t="shared" si="1"/>
        <v/>
      </c>
      <c r="I37" s="355">
        <f t="shared" si="2"/>
        <v>0</v>
      </c>
      <c r="J37" s="361" t="str">
        <f t="shared" si="3"/>
        <v/>
      </c>
    </row>
    <row r="38" spans="2:10" x14ac:dyDescent="0.2">
      <c r="B38" s="301">
        <v>5095</v>
      </c>
      <c r="C38" s="287" t="s">
        <v>166</v>
      </c>
      <c r="D38" s="580">
        <f>VLOOKUP(B38,'[1]Trial Balance'!$A$277:$P$395,4,$B$16:$B$106)</f>
        <v>10179.52</v>
      </c>
      <c r="E38" s="580">
        <f>VLOOKUP(B38,'[1]Trial Balance'!$A$277:$P$395,14,$B$16:$B$105)</f>
        <v>14131.25</v>
      </c>
      <c r="F38" s="580">
        <f>VLOOKUP(B38,'[1]Trial Balance'!$A$277:$P$395,16,$B$16:$B$105)</f>
        <v>26000</v>
      </c>
      <c r="G38" s="354">
        <f t="shared" si="0"/>
        <v>15820.48</v>
      </c>
      <c r="H38" s="357">
        <f t="shared" si="1"/>
        <v>1.5541479362484676</v>
      </c>
      <c r="I38" s="354">
        <f t="shared" si="2"/>
        <v>11868.75</v>
      </c>
      <c r="J38" s="359">
        <f t="shared" si="3"/>
        <v>0.83989385227775326</v>
      </c>
    </row>
    <row r="39" spans="2:10" ht="13.5" thickBot="1" x14ac:dyDescent="0.25">
      <c r="B39" s="295">
        <v>5096</v>
      </c>
      <c r="C39" s="298" t="s">
        <v>167</v>
      </c>
      <c r="D39" s="580">
        <f>VLOOKUP(B39,'[1]Trial Balance'!$A$277:$P$395,4,$B$16:$B$106)</f>
        <v>0</v>
      </c>
      <c r="E39" s="580">
        <f>VLOOKUP(B39,'[1]Trial Balance'!$A$277:$P$395,14,$B$16:$B$105)</f>
        <v>0</v>
      </c>
      <c r="F39" s="580">
        <f>VLOOKUP(B39,'[1]Trial Balance'!$A$277:$P$395,16,$B$16:$B$105)</f>
        <v>0</v>
      </c>
      <c r="G39" s="356">
        <f t="shared" si="0"/>
        <v>0</v>
      </c>
      <c r="H39" s="362" t="str">
        <f t="shared" si="1"/>
        <v/>
      </c>
      <c r="I39" s="356">
        <f t="shared" si="2"/>
        <v>0</v>
      </c>
      <c r="J39" s="363" t="str">
        <f t="shared" si="3"/>
        <v/>
      </c>
    </row>
    <row r="40" spans="2:10" ht="14.25" thickTop="1" thickBot="1" x14ac:dyDescent="0.25">
      <c r="B40" s="717" t="s">
        <v>276</v>
      </c>
      <c r="C40" s="718"/>
      <c r="D40" s="347">
        <f>SUM(D17:D39)</f>
        <v>230557.75</v>
      </c>
      <c r="E40" s="348">
        <f>SUM(E17:E39)</f>
        <v>246823.08000000002</v>
      </c>
      <c r="F40" s="349">
        <f>SUM(F17:F39)</f>
        <v>291000</v>
      </c>
      <c r="G40" s="364">
        <f t="shared" si="0"/>
        <v>60442.25</v>
      </c>
      <c r="H40" s="365">
        <f t="shared" si="1"/>
        <v>0.2621566614004518</v>
      </c>
      <c r="I40" s="364">
        <f t="shared" si="2"/>
        <v>44176.919999999984</v>
      </c>
      <c r="J40" s="366">
        <f t="shared" si="3"/>
        <v>0.1789821276033019</v>
      </c>
    </row>
    <row r="41" spans="2:10" ht="13.5" customHeight="1" x14ac:dyDescent="0.2">
      <c r="B41" s="296" t="s">
        <v>625</v>
      </c>
      <c r="C41" s="730" t="s">
        <v>528</v>
      </c>
      <c r="D41" s="730"/>
      <c r="E41" s="730"/>
      <c r="F41" s="730"/>
      <c r="G41" s="730"/>
      <c r="H41" s="730"/>
      <c r="I41" s="730"/>
      <c r="J41" s="731"/>
    </row>
    <row r="42" spans="2:10" x14ac:dyDescent="0.2">
      <c r="B42" s="712" t="s">
        <v>277</v>
      </c>
      <c r="C42" s="713"/>
      <c r="D42" s="713"/>
      <c r="E42" s="713"/>
      <c r="F42" s="713"/>
      <c r="G42" s="713"/>
      <c r="H42" s="713"/>
      <c r="I42" s="713"/>
      <c r="J42" s="714"/>
    </row>
    <row r="43" spans="2:10" x14ac:dyDescent="0.2">
      <c r="B43" s="300">
        <v>5105</v>
      </c>
      <c r="C43" s="73" t="s">
        <v>169</v>
      </c>
      <c r="D43" s="580">
        <f>VLOOKUP(B43,'[1]Trial Balance'!$A$277:$P$395,4,$B$16:$B$106)</f>
        <v>0</v>
      </c>
      <c r="E43" s="580">
        <f>VLOOKUP(B43,'[1]Trial Balance'!$A$277:$P$395,14,$B$16:$B$105)</f>
        <v>0</v>
      </c>
      <c r="F43" s="580">
        <f>VLOOKUP(B43,'[1]Trial Balance'!$A$277:$P$395,16,$B$16:$B$105)</f>
        <v>0</v>
      </c>
      <c r="G43" s="353">
        <f t="shared" ref="G43:G61" si="4">F43-D43</f>
        <v>0</v>
      </c>
      <c r="H43" s="357" t="str">
        <f t="shared" ref="H43:H61" si="5">IF(D43=0,"",(F43/D43)-1)</f>
        <v/>
      </c>
      <c r="I43" s="353">
        <f t="shared" ref="I43:I61" si="6">F43-E43</f>
        <v>0</v>
      </c>
      <c r="J43" s="358" t="str">
        <f t="shared" ref="J43:J61" si="7">IF(E43=0,"",(F43/E43)-1)</f>
        <v/>
      </c>
    </row>
    <row r="44" spans="2:10" x14ac:dyDescent="0.2">
      <c r="B44" s="300">
        <v>5110</v>
      </c>
      <c r="C44" s="73" t="s">
        <v>201</v>
      </c>
      <c r="D44" s="580">
        <f>VLOOKUP(B44,'[1]Trial Balance'!$A$277:$P$395,4,$B$16:$B$106)</f>
        <v>0</v>
      </c>
      <c r="E44" s="580">
        <f>VLOOKUP(B44,'[1]Trial Balance'!$A$277:$P$395,14,$B$16:$B$105)</f>
        <v>0</v>
      </c>
      <c r="F44" s="580">
        <f>VLOOKUP(B44,'[1]Trial Balance'!$A$277:$P$395,16,$B$16:$B$105)</f>
        <v>0</v>
      </c>
      <c r="G44" s="354">
        <f t="shared" si="4"/>
        <v>0</v>
      </c>
      <c r="H44" s="357" t="str">
        <f t="shared" si="5"/>
        <v/>
      </c>
      <c r="I44" s="354">
        <f t="shared" si="6"/>
        <v>0</v>
      </c>
      <c r="J44" s="359" t="str">
        <f t="shared" si="7"/>
        <v/>
      </c>
    </row>
    <row r="45" spans="2:10" x14ac:dyDescent="0.2">
      <c r="B45" s="300">
        <v>5112</v>
      </c>
      <c r="C45" s="73" t="s">
        <v>202</v>
      </c>
      <c r="D45" s="580">
        <f>VLOOKUP(B45,'[1]Trial Balance'!$A$277:$P$395,4,$B$16:$B$106)</f>
        <v>0</v>
      </c>
      <c r="E45" s="580">
        <f>VLOOKUP(B45,'[1]Trial Balance'!$A$277:$P$395,14,$B$16:$B$105)</f>
        <v>0</v>
      </c>
      <c r="F45" s="580">
        <f>VLOOKUP(B45,'[1]Trial Balance'!$A$277:$P$395,16,$B$16:$B$105)</f>
        <v>0</v>
      </c>
      <c r="G45" s="355">
        <f t="shared" si="4"/>
        <v>0</v>
      </c>
      <c r="H45" s="360" t="str">
        <f t="shared" si="5"/>
        <v/>
      </c>
      <c r="I45" s="355">
        <f t="shared" si="6"/>
        <v>0</v>
      </c>
      <c r="J45" s="361" t="str">
        <f t="shared" si="7"/>
        <v/>
      </c>
    </row>
    <row r="46" spans="2:10" x14ac:dyDescent="0.2">
      <c r="B46" s="300">
        <v>5114</v>
      </c>
      <c r="C46" s="73" t="s">
        <v>204</v>
      </c>
      <c r="D46" s="580">
        <f>VLOOKUP(B46,'[1]Trial Balance'!$A$277:$P$395,4,$B$16:$B$106)</f>
        <v>0</v>
      </c>
      <c r="E46" s="580">
        <f>VLOOKUP(B46,'[1]Trial Balance'!$A$277:$P$395,14,$B$16:$B$105)</f>
        <v>0</v>
      </c>
      <c r="F46" s="580">
        <f>VLOOKUP(B46,'[1]Trial Balance'!$A$277:$P$395,16,$B$16:$B$105)</f>
        <v>0</v>
      </c>
      <c r="G46" s="354">
        <f t="shared" si="4"/>
        <v>0</v>
      </c>
      <c r="H46" s="357" t="str">
        <f t="shared" si="5"/>
        <v/>
      </c>
      <c r="I46" s="354">
        <f t="shared" si="6"/>
        <v>0</v>
      </c>
      <c r="J46" s="359" t="str">
        <f t="shared" si="7"/>
        <v/>
      </c>
    </row>
    <row r="47" spans="2:10" x14ac:dyDescent="0.2">
      <c r="B47" s="300">
        <v>5120</v>
      </c>
      <c r="C47" s="73" t="s">
        <v>203</v>
      </c>
      <c r="D47" s="580">
        <f>VLOOKUP(B47,'[1]Trial Balance'!$A$277:$P$395,4,$B$16:$B$106)</f>
        <v>7954.48</v>
      </c>
      <c r="E47" s="580">
        <f>VLOOKUP(B47,'[1]Trial Balance'!$A$277:$P$395,14,$B$16:$B$105)</f>
        <v>28939.599999999999</v>
      </c>
      <c r="F47" s="580">
        <f>VLOOKUP(B47,'[1]Trial Balance'!$A$277:$P$395,16,$B$16:$B$105)</f>
        <v>29000</v>
      </c>
      <c r="G47" s="354">
        <f t="shared" si="4"/>
        <v>21045.52</v>
      </c>
      <c r="H47" s="357">
        <f t="shared" si="5"/>
        <v>2.6457442849815451</v>
      </c>
      <c r="I47" s="354">
        <f t="shared" si="6"/>
        <v>60.400000000001455</v>
      </c>
      <c r="J47" s="359">
        <f t="shared" si="7"/>
        <v>2.0871055577824649E-3</v>
      </c>
    </row>
    <row r="48" spans="2:10" x14ac:dyDescent="0.2">
      <c r="B48" s="300">
        <v>5125</v>
      </c>
      <c r="C48" s="73" t="s">
        <v>205</v>
      </c>
      <c r="D48" s="580">
        <f>VLOOKUP(B48,'[1]Trial Balance'!$A$277:$P$395,4,$B$16:$B$106)</f>
        <v>55885.72</v>
      </c>
      <c r="E48" s="580">
        <f>VLOOKUP(B48,'[1]Trial Balance'!$A$277:$P$395,14,$B$16:$B$105)</f>
        <v>101474.41</v>
      </c>
      <c r="F48" s="580">
        <f>VLOOKUP(B48,'[1]Trial Balance'!$A$277:$P$395,16,$B$16:$B$105)</f>
        <v>90000</v>
      </c>
      <c r="G48" s="354">
        <f t="shared" si="4"/>
        <v>34114.28</v>
      </c>
      <c r="H48" s="357">
        <f t="shared" si="5"/>
        <v>0.61042928318718981</v>
      </c>
      <c r="I48" s="354">
        <f t="shared" si="6"/>
        <v>-11474.410000000003</v>
      </c>
      <c r="J48" s="359">
        <f t="shared" si="7"/>
        <v>-0.1130768831274801</v>
      </c>
    </row>
    <row r="49" spans="2:10" x14ac:dyDescent="0.2">
      <c r="B49" s="300">
        <v>5130</v>
      </c>
      <c r="C49" s="73" t="s">
        <v>206</v>
      </c>
      <c r="D49" s="580">
        <f>VLOOKUP(B49,'[1]Trial Balance'!$A$277:$P$395,4,$B$16:$B$106)</f>
        <v>28276.28</v>
      </c>
      <c r="E49" s="580">
        <f>VLOOKUP(B49,'[1]Trial Balance'!$A$277:$P$395,14,$B$16:$B$105)</f>
        <v>35287.29</v>
      </c>
      <c r="F49" s="580">
        <f>VLOOKUP(B49,'[1]Trial Balance'!$A$277:$P$395,16,$B$16:$B$105)</f>
        <v>35000</v>
      </c>
      <c r="G49" s="354">
        <f t="shared" si="4"/>
        <v>6723.7200000000012</v>
      </c>
      <c r="H49" s="357">
        <f t="shared" si="5"/>
        <v>0.23778658295928601</v>
      </c>
      <c r="I49" s="354">
        <f t="shared" si="6"/>
        <v>-287.29000000000087</v>
      </c>
      <c r="J49" s="359">
        <f t="shared" si="7"/>
        <v>-8.141458298441151E-3</v>
      </c>
    </row>
    <row r="50" spans="2:10" x14ac:dyDescent="0.2">
      <c r="B50" s="300">
        <v>5135</v>
      </c>
      <c r="C50" s="73" t="s">
        <v>207</v>
      </c>
      <c r="D50" s="580">
        <f>VLOOKUP(B50,'[1]Trial Balance'!$A$277:$P$395,4,$B$16:$B$106)</f>
        <v>23263.63</v>
      </c>
      <c r="E50" s="580">
        <f>VLOOKUP(B50,'[1]Trial Balance'!$A$277:$P$395,14,$B$16:$B$105)</f>
        <v>89165.51</v>
      </c>
      <c r="F50" s="580">
        <f>VLOOKUP(B50,'[1]Trial Balance'!$A$277:$P$395,16,$B$16:$B$105)</f>
        <v>81000</v>
      </c>
      <c r="G50" s="354">
        <f t="shared" si="4"/>
        <v>57736.369999999995</v>
      </c>
      <c r="H50" s="357">
        <f t="shared" si="5"/>
        <v>2.4818297918252652</v>
      </c>
      <c r="I50" s="354">
        <f t="shared" si="6"/>
        <v>-8165.5099999999948</v>
      </c>
      <c r="J50" s="359">
        <f t="shared" si="7"/>
        <v>-9.1577001017545845E-2</v>
      </c>
    </row>
    <row r="51" spans="2:10" x14ac:dyDescent="0.2">
      <c r="B51" s="300">
        <v>5145</v>
      </c>
      <c r="C51" s="73" t="s">
        <v>208</v>
      </c>
      <c r="D51" s="580">
        <f>VLOOKUP(B51,'[1]Trial Balance'!$A$277:$P$395,4,$B$16:$B$106)</f>
        <v>4604.17</v>
      </c>
      <c r="E51" s="580">
        <f>VLOOKUP(B51,'[1]Trial Balance'!$A$277:$P$395,14,$B$16:$B$105)</f>
        <v>0</v>
      </c>
      <c r="F51" s="580">
        <f>VLOOKUP(B51,'[1]Trial Balance'!$A$277:$P$395,16,$B$16:$B$105)</f>
        <v>0</v>
      </c>
      <c r="G51" s="354">
        <f t="shared" si="4"/>
        <v>-4604.17</v>
      </c>
      <c r="H51" s="357">
        <f t="shared" si="5"/>
        <v>-1</v>
      </c>
      <c r="I51" s="354">
        <f t="shared" si="6"/>
        <v>0</v>
      </c>
      <c r="J51" s="359" t="str">
        <f t="shared" si="7"/>
        <v/>
      </c>
    </row>
    <row r="52" spans="2:10" x14ac:dyDescent="0.2">
      <c r="B52" s="300">
        <v>5150</v>
      </c>
      <c r="C52" s="73" t="s">
        <v>209</v>
      </c>
      <c r="D52" s="580">
        <f>VLOOKUP(B52,'[1]Trial Balance'!$A$277:$P$395,4,$B$16:$B$106)</f>
        <v>30807.62</v>
      </c>
      <c r="E52" s="580">
        <f>VLOOKUP(B52,'[1]Trial Balance'!$A$277:$P$395,14,$B$16:$B$105)</f>
        <v>86462.14</v>
      </c>
      <c r="F52" s="580">
        <f>VLOOKUP(B52,'[1]Trial Balance'!$A$277:$P$395,16,$B$16:$B$105)</f>
        <v>76000</v>
      </c>
      <c r="G52" s="354">
        <f t="shared" si="4"/>
        <v>45192.380000000005</v>
      </c>
      <c r="H52" s="357">
        <f t="shared" si="5"/>
        <v>1.4669221445863068</v>
      </c>
      <c r="I52" s="354">
        <f t="shared" si="6"/>
        <v>-10462.14</v>
      </c>
      <c r="J52" s="359">
        <f t="shared" si="7"/>
        <v>-0.12100255672598437</v>
      </c>
    </row>
    <row r="53" spans="2:10" x14ac:dyDescent="0.2">
      <c r="B53" s="300">
        <v>5155</v>
      </c>
      <c r="C53" s="73" t="s">
        <v>210</v>
      </c>
      <c r="D53" s="580">
        <f>VLOOKUP(B53,'[1]Trial Balance'!$A$277:$P$395,4,$B$16:$B$106)</f>
        <v>58332.57</v>
      </c>
      <c r="E53" s="580">
        <f>VLOOKUP(B53,'[1]Trial Balance'!$A$277:$P$395,14,$B$16:$B$105)</f>
        <v>129762.18</v>
      </c>
      <c r="F53" s="580">
        <f>VLOOKUP(B53,'[1]Trial Balance'!$A$277:$P$395,16,$B$16:$B$105)</f>
        <v>94000</v>
      </c>
      <c r="G53" s="354">
        <f t="shared" si="4"/>
        <v>35667.43</v>
      </c>
      <c r="H53" s="357">
        <f t="shared" si="5"/>
        <v>0.61144965839838705</v>
      </c>
      <c r="I53" s="354">
        <f t="shared" si="6"/>
        <v>-35762.179999999993</v>
      </c>
      <c r="J53" s="359">
        <f t="shared" si="7"/>
        <v>-0.27559786680525866</v>
      </c>
    </row>
    <row r="54" spans="2:10" x14ac:dyDescent="0.2">
      <c r="B54" s="300">
        <v>5160</v>
      </c>
      <c r="C54" s="73" t="s">
        <v>211</v>
      </c>
      <c r="D54" s="580">
        <f>VLOOKUP(B54,'[1]Trial Balance'!$A$277:$P$395,4,$B$16:$B$106)</f>
        <v>24593.41</v>
      </c>
      <c r="E54" s="580">
        <f>VLOOKUP(B54,'[1]Trial Balance'!$A$277:$P$395,14,$B$16:$B$105)</f>
        <v>33009.25</v>
      </c>
      <c r="F54" s="580">
        <f>VLOOKUP(B54,'[1]Trial Balance'!$A$277:$P$395,16,$B$16:$B$105)</f>
        <v>32000</v>
      </c>
      <c r="G54" s="354">
        <f t="shared" si="4"/>
        <v>7406.59</v>
      </c>
      <c r="H54" s="357">
        <f t="shared" si="5"/>
        <v>0.30116157133150701</v>
      </c>
      <c r="I54" s="354">
        <f t="shared" si="6"/>
        <v>-1009.25</v>
      </c>
      <c r="J54" s="359">
        <f t="shared" si="7"/>
        <v>-3.0574763134575966E-2</v>
      </c>
    </row>
    <row r="55" spans="2:10" x14ac:dyDescent="0.2">
      <c r="B55" s="300">
        <v>5165</v>
      </c>
      <c r="C55" s="73" t="s">
        <v>212</v>
      </c>
      <c r="D55" s="580">
        <f>VLOOKUP(B55,'[1]Trial Balance'!$A$277:$P$395,4,$B$16:$B$106)</f>
        <v>0</v>
      </c>
      <c r="E55" s="580">
        <f>VLOOKUP(B55,'[1]Trial Balance'!$A$277:$P$395,14,$B$16:$B$105)</f>
        <v>0</v>
      </c>
      <c r="F55" s="580">
        <f>VLOOKUP(B55,'[1]Trial Balance'!$A$277:$P$395,16,$B$16:$B$105)</f>
        <v>0</v>
      </c>
      <c r="G55" s="354">
        <f t="shared" si="4"/>
        <v>0</v>
      </c>
      <c r="H55" s="357" t="str">
        <f t="shared" si="5"/>
        <v/>
      </c>
      <c r="I55" s="354">
        <f t="shared" si="6"/>
        <v>0</v>
      </c>
      <c r="J55" s="359" t="str">
        <f t="shared" si="7"/>
        <v/>
      </c>
    </row>
    <row r="56" spans="2:10" x14ac:dyDescent="0.2">
      <c r="B56" s="300">
        <v>5170</v>
      </c>
      <c r="C56" s="73" t="s">
        <v>213</v>
      </c>
      <c r="D56" s="580">
        <f>VLOOKUP(B56,'[1]Trial Balance'!$A$277:$P$395,4,$B$16:$B$106)</f>
        <v>0</v>
      </c>
      <c r="E56" s="580">
        <f>VLOOKUP(B56,'[1]Trial Balance'!$A$277:$P$395,14,$B$16:$B$105)</f>
        <v>0</v>
      </c>
      <c r="F56" s="580">
        <f>VLOOKUP(B56,'[1]Trial Balance'!$A$277:$P$395,16,$B$16:$B$105)</f>
        <v>0</v>
      </c>
      <c r="G56" s="354">
        <f t="shared" si="4"/>
        <v>0</v>
      </c>
      <c r="H56" s="357" t="str">
        <f t="shared" si="5"/>
        <v/>
      </c>
      <c r="I56" s="354">
        <f t="shared" si="6"/>
        <v>0</v>
      </c>
      <c r="J56" s="359" t="str">
        <f t="shared" si="7"/>
        <v/>
      </c>
    </row>
    <row r="57" spans="2:10" x14ac:dyDescent="0.2">
      <c r="B57" s="300">
        <v>5172</v>
      </c>
      <c r="C57" s="73" t="s">
        <v>214</v>
      </c>
      <c r="D57" s="580">
        <f>VLOOKUP(B57,'[1]Trial Balance'!$A$277:$P$395,4,$B$16:$B$106)</f>
        <v>0</v>
      </c>
      <c r="E57" s="580">
        <f>VLOOKUP(B57,'[1]Trial Balance'!$A$277:$P$395,14,$B$16:$B$105)</f>
        <v>0</v>
      </c>
      <c r="F57" s="580">
        <f>VLOOKUP(B57,'[1]Trial Balance'!$A$277:$P$395,16,$B$16:$B$105)</f>
        <v>0</v>
      </c>
      <c r="G57" s="354">
        <f t="shared" si="4"/>
        <v>0</v>
      </c>
      <c r="H57" s="357" t="str">
        <f t="shared" si="5"/>
        <v/>
      </c>
      <c r="I57" s="354">
        <f t="shared" si="6"/>
        <v>0</v>
      </c>
      <c r="J57" s="359" t="str">
        <f t="shared" si="7"/>
        <v/>
      </c>
    </row>
    <row r="58" spans="2:10" x14ac:dyDescent="0.2">
      <c r="B58" s="300">
        <v>5175</v>
      </c>
      <c r="C58" s="73" t="s">
        <v>215</v>
      </c>
      <c r="D58" s="580">
        <f>VLOOKUP(B58,'[1]Trial Balance'!$A$277:$P$395,4,$B$16:$B$106)</f>
        <v>11157.66</v>
      </c>
      <c r="E58" s="580">
        <f>VLOOKUP(B58,'[1]Trial Balance'!$A$277:$P$395,14,$B$16:$B$105)</f>
        <v>18462.64</v>
      </c>
      <c r="F58" s="580">
        <f>VLOOKUP(B58,'[1]Trial Balance'!$A$277:$P$395,16,$B$16:$B$105)</f>
        <v>18000</v>
      </c>
      <c r="G58" s="354">
        <f t="shared" si="4"/>
        <v>6842.34</v>
      </c>
      <c r="H58" s="357">
        <f t="shared" si="5"/>
        <v>0.61324148611805707</v>
      </c>
      <c r="I58" s="354">
        <f t="shared" si="6"/>
        <v>-462.63999999999942</v>
      </c>
      <c r="J58" s="359">
        <f t="shared" si="7"/>
        <v>-2.5058171529098727E-2</v>
      </c>
    </row>
    <row r="59" spans="2:10" x14ac:dyDescent="0.2">
      <c r="B59" s="300">
        <v>5178</v>
      </c>
      <c r="C59" s="73" t="s">
        <v>216</v>
      </c>
      <c r="D59" s="580">
        <f>VLOOKUP(B59,'[1]Trial Balance'!$A$277:$P$395,4,$B$16:$B$106)</f>
        <v>0</v>
      </c>
      <c r="E59" s="580">
        <f>VLOOKUP(B59,'[1]Trial Balance'!$A$277:$P$395,14,$B$16:$B$105)</f>
        <v>0</v>
      </c>
      <c r="F59" s="580">
        <f>VLOOKUP(B59,'[1]Trial Balance'!$A$277:$P$395,16,$B$16:$B$105)</f>
        <v>0</v>
      </c>
      <c r="G59" s="355">
        <f t="shared" si="4"/>
        <v>0</v>
      </c>
      <c r="H59" s="360" t="str">
        <f t="shared" si="5"/>
        <v/>
      </c>
      <c r="I59" s="355">
        <f t="shared" si="6"/>
        <v>0</v>
      </c>
      <c r="J59" s="361" t="str">
        <f t="shared" si="7"/>
        <v/>
      </c>
    </row>
    <row r="60" spans="2:10" ht="13.5" thickBot="1" x14ac:dyDescent="0.25">
      <c r="B60" s="306">
        <v>5195</v>
      </c>
      <c r="C60" s="73" t="s">
        <v>246</v>
      </c>
      <c r="D60" s="580">
        <f>VLOOKUP(B60,'[1]Trial Balance'!$A$277:$P$395,4,$B$16:$B$106)</f>
        <v>0</v>
      </c>
      <c r="E60" s="580">
        <f>VLOOKUP(B60,'[1]Trial Balance'!$A$277:$P$395,14,$B$16:$B$105)</f>
        <v>0</v>
      </c>
      <c r="F60" s="580">
        <f>VLOOKUP(B60,'[1]Trial Balance'!$A$277:$P$395,16,$B$16:$B$105)</f>
        <v>0</v>
      </c>
      <c r="G60" s="354">
        <f t="shared" si="4"/>
        <v>0</v>
      </c>
      <c r="H60" s="357" t="str">
        <f t="shared" si="5"/>
        <v/>
      </c>
      <c r="I60" s="354">
        <f t="shared" si="6"/>
        <v>0</v>
      </c>
      <c r="J60" s="359" t="str">
        <f t="shared" si="7"/>
        <v/>
      </c>
    </row>
    <row r="61" spans="2:10" ht="14.25" thickTop="1" thickBot="1" x14ac:dyDescent="0.25">
      <c r="B61" s="717" t="s">
        <v>278</v>
      </c>
      <c r="C61" s="718"/>
      <c r="D61" s="347">
        <f>SUM(D43:D60)</f>
        <v>244875.54</v>
      </c>
      <c r="E61" s="347">
        <f>SUM(E43:E60)</f>
        <v>522563.02</v>
      </c>
      <c r="F61" s="349">
        <f>SUM(F43:F60)</f>
        <v>455000</v>
      </c>
      <c r="G61" s="364">
        <f t="shared" si="4"/>
        <v>210124.46</v>
      </c>
      <c r="H61" s="365">
        <f t="shared" si="5"/>
        <v>0.85808676521958871</v>
      </c>
      <c r="I61" s="364">
        <f t="shared" si="6"/>
        <v>-67563.020000000019</v>
      </c>
      <c r="J61" s="367">
        <f t="shared" si="7"/>
        <v>-0.12929162113308368</v>
      </c>
    </row>
    <row r="62" spans="2:10" ht="13.5" customHeight="1" x14ac:dyDescent="0.2">
      <c r="B62" s="296" t="s">
        <v>625</v>
      </c>
      <c r="C62" s="730" t="s">
        <v>528</v>
      </c>
      <c r="D62" s="730"/>
      <c r="E62" s="730"/>
      <c r="F62" s="730"/>
      <c r="G62" s="730"/>
      <c r="H62" s="730"/>
      <c r="I62" s="730"/>
      <c r="J62" s="731"/>
    </row>
    <row r="63" spans="2:10" x14ac:dyDescent="0.2">
      <c r="B63" s="712" t="s">
        <v>217</v>
      </c>
      <c r="C63" s="713"/>
      <c r="D63" s="713"/>
      <c r="E63" s="713"/>
      <c r="F63" s="713"/>
      <c r="G63" s="713"/>
      <c r="H63" s="713"/>
      <c r="I63" s="713"/>
      <c r="J63" s="714"/>
    </row>
    <row r="64" spans="2:10" x14ac:dyDescent="0.2">
      <c r="B64" s="300">
        <v>5305</v>
      </c>
      <c r="C64" s="73" t="s">
        <v>237</v>
      </c>
      <c r="D64" s="580">
        <f>VLOOKUP(B64,'[1]Trial Balance'!$A$277:$P$395,4,$B$16:$B$106)</f>
        <v>88397.91</v>
      </c>
      <c r="E64" s="580">
        <f>VLOOKUP(B64,'[1]Trial Balance'!$A$277:$P$395,14,$B$16:$B$105)</f>
        <v>87990.61</v>
      </c>
      <c r="F64" s="580">
        <f>VLOOKUP(B64,'[1]Trial Balance'!$A$277:$P$395,16,$B$16:$B$105)</f>
        <v>90000</v>
      </c>
      <c r="G64" s="353">
        <f t="shared" ref="G64:G72" si="8">F64-D64</f>
        <v>1602.0899999999965</v>
      </c>
      <c r="H64" s="357">
        <f t="shared" ref="H64:H72" si="9">IF(D64=0,"",(F64/D64)-1)</f>
        <v>1.8123618533514962E-2</v>
      </c>
      <c r="I64" s="353">
        <f t="shared" ref="I64:I72" si="10">F64-E64</f>
        <v>2009.3899999999994</v>
      </c>
      <c r="J64" s="358">
        <f t="shared" ref="J64:J72" si="11">IF(E64=0,"",(F64/E64)-1)</f>
        <v>2.2836414021905282E-2</v>
      </c>
    </row>
    <row r="65" spans="2:10" x14ac:dyDescent="0.2">
      <c r="B65" s="300">
        <v>5310</v>
      </c>
      <c r="C65" s="73" t="s">
        <v>238</v>
      </c>
      <c r="D65" s="580">
        <f>VLOOKUP(B65,'[1]Trial Balance'!$A$277:$P$395,4,$B$16:$B$106)</f>
        <v>141705.60000000001</v>
      </c>
      <c r="E65" s="580">
        <f>VLOOKUP(B65,'[1]Trial Balance'!$A$277:$P$395,14,$B$16:$B$105)</f>
        <v>78664.73</v>
      </c>
      <c r="F65" s="580">
        <f>VLOOKUP(B65,'[1]Trial Balance'!$A$277:$P$395,16,$B$16:$B$105)</f>
        <v>110063.76</v>
      </c>
      <c r="G65" s="354">
        <f t="shared" si="8"/>
        <v>-31641.840000000011</v>
      </c>
      <c r="H65" s="357">
        <f t="shared" si="9"/>
        <v>-0.22329279859088147</v>
      </c>
      <c r="I65" s="354">
        <f t="shared" si="10"/>
        <v>31399.03</v>
      </c>
      <c r="J65" s="359">
        <f t="shared" si="11"/>
        <v>0.39915003839713181</v>
      </c>
    </row>
    <row r="66" spans="2:10" x14ac:dyDescent="0.2">
      <c r="B66" s="300">
        <v>5315</v>
      </c>
      <c r="C66" s="73" t="s">
        <v>239</v>
      </c>
      <c r="D66" s="580">
        <f>VLOOKUP(B66,'[1]Trial Balance'!$A$277:$P$395,4,$B$16:$B$106)</f>
        <v>195400.23</v>
      </c>
      <c r="E66" s="580">
        <f>VLOOKUP(B66,'[1]Trial Balance'!$A$277:$P$395,14,$B$16:$B$105)</f>
        <v>235490.29</v>
      </c>
      <c r="F66" s="580">
        <f>VLOOKUP(B66,'[1]Trial Balance'!$A$277:$P$395,16,$B$16:$B$105)</f>
        <v>241000</v>
      </c>
      <c r="G66" s="355">
        <f t="shared" si="8"/>
        <v>45599.76999999999</v>
      </c>
      <c r="H66" s="360">
        <f t="shared" si="9"/>
        <v>0.23336599962036875</v>
      </c>
      <c r="I66" s="355">
        <f t="shared" si="10"/>
        <v>5509.7099999999919</v>
      </c>
      <c r="J66" s="361">
        <f t="shared" si="11"/>
        <v>2.3396760860076249E-2</v>
      </c>
    </row>
    <row r="67" spans="2:10" x14ac:dyDescent="0.2">
      <c r="B67" s="300">
        <v>5320</v>
      </c>
      <c r="C67" s="73" t="s">
        <v>240</v>
      </c>
      <c r="D67" s="580">
        <f>VLOOKUP(B67,'[1]Trial Balance'!$A$277:$P$395,4,$B$16:$B$106)</f>
        <v>73051.5</v>
      </c>
      <c r="E67" s="580">
        <f>VLOOKUP(B67,'[1]Trial Balance'!$A$277:$P$395,14,$B$16:$B$105)</f>
        <v>79386.460000000006</v>
      </c>
      <c r="F67" s="580">
        <f>VLOOKUP(B67,'[1]Trial Balance'!$A$277:$P$395,16,$B$16:$B$105)</f>
        <v>80000</v>
      </c>
      <c r="G67" s="354">
        <f t="shared" si="8"/>
        <v>6948.5</v>
      </c>
      <c r="H67" s="357">
        <f t="shared" si="9"/>
        <v>9.5117827833788526E-2</v>
      </c>
      <c r="I67" s="354">
        <f t="shared" si="10"/>
        <v>613.5399999999936</v>
      </c>
      <c r="J67" s="359">
        <f t="shared" si="11"/>
        <v>7.7285219670961691E-3</v>
      </c>
    </row>
    <row r="68" spans="2:10" x14ac:dyDescent="0.2">
      <c r="B68" s="300">
        <v>5325</v>
      </c>
      <c r="C68" s="73" t="s">
        <v>241</v>
      </c>
      <c r="D68" s="580">
        <f>VLOOKUP(B68,'[1]Trial Balance'!$A$277:$P$395,4,$B$16:$B$106)</f>
        <v>-257</v>
      </c>
      <c r="E68" s="580">
        <f>VLOOKUP(B68,'[1]Trial Balance'!$A$277:$P$395,14,$B$16:$B$105)</f>
        <v>1333.77</v>
      </c>
      <c r="F68" s="580">
        <f>VLOOKUP(B68,'[1]Trial Balance'!$A$277:$P$395,16,$B$16:$B$105)</f>
        <v>1000</v>
      </c>
      <c r="G68" s="354">
        <f t="shared" si="8"/>
        <v>1257</v>
      </c>
      <c r="H68" s="357">
        <f t="shared" si="9"/>
        <v>-4.8910505836575879</v>
      </c>
      <c r="I68" s="354">
        <f t="shared" si="10"/>
        <v>-333.77</v>
      </c>
      <c r="J68" s="359">
        <f t="shared" si="11"/>
        <v>-0.25024554458414872</v>
      </c>
    </row>
    <row r="69" spans="2:10" x14ac:dyDescent="0.2">
      <c r="B69" s="300">
        <v>5330</v>
      </c>
      <c r="C69" s="73" t="s">
        <v>242</v>
      </c>
      <c r="D69" s="580">
        <f>VLOOKUP(B69,'[1]Trial Balance'!$A$277:$P$395,4,$B$16:$B$106)</f>
        <v>0</v>
      </c>
      <c r="E69" s="580">
        <f>VLOOKUP(B69,'[1]Trial Balance'!$A$277:$P$395,14,$B$16:$B$105)</f>
        <v>0</v>
      </c>
      <c r="F69" s="580">
        <f>VLOOKUP(B69,'[1]Trial Balance'!$A$277:$P$395,16,$B$16:$B$105)</f>
        <v>0</v>
      </c>
      <c r="G69" s="354">
        <f t="shared" si="8"/>
        <v>0</v>
      </c>
      <c r="H69" s="357" t="str">
        <f t="shared" si="9"/>
        <v/>
      </c>
      <c r="I69" s="354">
        <f t="shared" si="10"/>
        <v>0</v>
      </c>
      <c r="J69" s="359" t="str">
        <f t="shared" si="11"/>
        <v/>
      </c>
    </row>
    <row r="70" spans="2:10" x14ac:dyDescent="0.2">
      <c r="B70" s="300">
        <v>5335</v>
      </c>
      <c r="C70" s="73" t="s">
        <v>243</v>
      </c>
      <c r="D70" s="580">
        <f>VLOOKUP(B70,'[1]Trial Balance'!$A$277:$P$395,4,$B$16:$B$106)</f>
        <v>10916.56</v>
      </c>
      <c r="E70" s="580">
        <f>VLOOKUP(B70,'[1]Trial Balance'!$A$277:$P$395,14,$B$16:$B$105)</f>
        <v>312515.17</v>
      </c>
      <c r="F70" s="580">
        <f>VLOOKUP(B70,'[1]Trial Balance'!$A$277:$P$395,16,$B$16:$B$105)</f>
        <v>253000</v>
      </c>
      <c r="G70" s="354">
        <f t="shared" si="8"/>
        <v>242083.44</v>
      </c>
      <c r="H70" s="357">
        <f t="shared" si="9"/>
        <v>22.175798969638787</v>
      </c>
      <c r="I70" s="354">
        <f t="shared" si="10"/>
        <v>-59515.169999999984</v>
      </c>
      <c r="J70" s="359">
        <f t="shared" si="11"/>
        <v>-0.19043929931465398</v>
      </c>
    </row>
    <row r="71" spans="2:10" ht="13.5" thickBot="1" x14ac:dyDescent="0.25">
      <c r="B71" s="306">
        <v>5340</v>
      </c>
      <c r="C71" s="73" t="s">
        <v>244</v>
      </c>
      <c r="D71" s="580">
        <f>VLOOKUP(B71,'[1]Trial Balance'!$A$277:$P$395,4,$B$16:$B$106)</f>
        <v>4594.42</v>
      </c>
      <c r="E71" s="580">
        <f>VLOOKUP(B71,'[1]Trial Balance'!$A$277:$P$395,14,$B$16:$B$105)</f>
        <v>0</v>
      </c>
      <c r="F71" s="580">
        <f>VLOOKUP(B71,'[1]Trial Balance'!$A$277:$P$395,16,$B$16:$B$105)</f>
        <v>0</v>
      </c>
      <c r="G71" s="354">
        <f t="shared" si="8"/>
        <v>-4594.42</v>
      </c>
      <c r="H71" s="357">
        <f t="shared" si="9"/>
        <v>-1</v>
      </c>
      <c r="I71" s="354">
        <f t="shared" si="10"/>
        <v>0</v>
      </c>
      <c r="J71" s="368" t="str">
        <f t="shared" si="11"/>
        <v/>
      </c>
    </row>
    <row r="72" spans="2:10" ht="14.25" thickTop="1" thickBot="1" x14ac:dyDescent="0.25">
      <c r="B72" s="717" t="s">
        <v>279</v>
      </c>
      <c r="C72" s="718"/>
      <c r="D72" s="347">
        <f>SUM(D64:D71)</f>
        <v>513809.22</v>
      </c>
      <c r="E72" s="347">
        <f>SUM(E64:E71)</f>
        <v>795381.03</v>
      </c>
      <c r="F72" s="349">
        <f>SUM(F64:F71)</f>
        <v>775063.76</v>
      </c>
      <c r="G72" s="364">
        <f t="shared" si="8"/>
        <v>261254.54000000004</v>
      </c>
      <c r="H72" s="365">
        <f t="shared" si="9"/>
        <v>0.50846604115044891</v>
      </c>
      <c r="I72" s="364">
        <f t="shared" si="10"/>
        <v>-20317.270000000019</v>
      </c>
      <c r="J72" s="365">
        <f t="shared" si="11"/>
        <v>-2.554407162564587E-2</v>
      </c>
    </row>
    <row r="73" spans="2:10" ht="13.5" customHeight="1" x14ac:dyDescent="0.2">
      <c r="B73" s="296" t="s">
        <v>625</v>
      </c>
      <c r="C73" s="730" t="s">
        <v>528</v>
      </c>
      <c r="D73" s="730"/>
      <c r="E73" s="730"/>
      <c r="F73" s="730"/>
      <c r="G73" s="730"/>
      <c r="H73" s="730"/>
      <c r="I73" s="730"/>
      <c r="J73" s="731"/>
    </row>
    <row r="74" spans="2:10" x14ac:dyDescent="0.2">
      <c r="B74" s="712" t="s">
        <v>280</v>
      </c>
      <c r="C74" s="713"/>
      <c r="D74" s="713"/>
      <c r="E74" s="713"/>
      <c r="F74" s="713"/>
      <c r="G74" s="713"/>
      <c r="H74" s="713"/>
      <c r="I74" s="713"/>
      <c r="J74" s="714"/>
    </row>
    <row r="75" spans="2:10" x14ac:dyDescent="0.2">
      <c r="B75" s="300">
        <v>5405</v>
      </c>
      <c r="C75" s="73" t="s">
        <v>237</v>
      </c>
      <c r="D75" s="580">
        <f>VLOOKUP(B75,'[1]Trial Balance'!$A$277:$P$395,4,$B$16:$B$106)</f>
        <v>0</v>
      </c>
      <c r="E75" s="580">
        <f>VLOOKUP(B75,'[1]Trial Balance'!$A$277:$P$395,14,$B$16:$B$105)</f>
        <v>0</v>
      </c>
      <c r="F75" s="580">
        <f>VLOOKUP(B75,'[1]Trial Balance'!$A$277:$P$395,16,$B$16:$B$105)</f>
        <v>0</v>
      </c>
      <c r="G75" s="353">
        <f t="shared" ref="G75:G84" si="12">F75-D75</f>
        <v>0</v>
      </c>
      <c r="H75" s="357" t="str">
        <f t="shared" ref="H75:H84" si="13">IF(D75=0,"",(F75/D75)-1)</f>
        <v/>
      </c>
      <c r="I75" s="353">
        <f t="shared" ref="I75:I84" si="14">F75-E75</f>
        <v>0</v>
      </c>
      <c r="J75" s="358" t="str">
        <f t="shared" ref="J75:J84" si="15">IF(E75=0,"",(F75/E75)-1)</f>
        <v/>
      </c>
    </row>
    <row r="76" spans="2:10" x14ac:dyDescent="0.2">
      <c r="B76" s="300">
        <v>5410</v>
      </c>
      <c r="C76" s="73" t="s">
        <v>247</v>
      </c>
      <c r="D76" s="580">
        <f>VLOOKUP(B76,'[1]Trial Balance'!$A$277:$P$395,4,$B$16:$B$106)</f>
        <v>4879.16</v>
      </c>
      <c r="E76" s="580">
        <f>VLOOKUP(B76,'[1]Trial Balance'!$A$277:$P$395,14,$B$16:$B$105)</f>
        <v>3794.8</v>
      </c>
      <c r="F76" s="580">
        <f>VLOOKUP(B76,'[1]Trial Balance'!$A$277:$P$395,16,$B$16:$B$105)</f>
        <v>3000</v>
      </c>
      <c r="G76" s="354">
        <f t="shared" si="12"/>
        <v>-1879.1599999999999</v>
      </c>
      <c r="H76" s="357">
        <f t="shared" si="13"/>
        <v>-0.38514006509317178</v>
      </c>
      <c r="I76" s="354">
        <f t="shared" si="14"/>
        <v>-794.80000000000018</v>
      </c>
      <c r="J76" s="359">
        <f t="shared" si="15"/>
        <v>-0.20944450300411088</v>
      </c>
    </row>
    <row r="77" spans="2:10" x14ac:dyDescent="0.2">
      <c r="B77" s="300">
        <v>5415</v>
      </c>
      <c r="C77" s="73" t="s">
        <v>249</v>
      </c>
      <c r="D77" s="580">
        <f>VLOOKUP(B77,'[1]Trial Balance'!$A$277:$P$395,4,$B$16:$B$106)</f>
        <v>6812.57</v>
      </c>
      <c r="E77" s="580">
        <f>VLOOKUP(B77,'[1]Trial Balance'!$A$277:$P$395,14,$B$16:$B$105)</f>
        <v>0</v>
      </c>
      <c r="F77" s="580">
        <f>VLOOKUP(B77,'[1]Trial Balance'!$A$277:$P$395,16,$B$16:$B$105)</f>
        <v>0</v>
      </c>
      <c r="G77" s="355">
        <f t="shared" si="12"/>
        <v>-6812.57</v>
      </c>
      <c r="H77" s="360">
        <f t="shared" si="13"/>
        <v>-1</v>
      </c>
      <c r="I77" s="355">
        <f t="shared" si="14"/>
        <v>0</v>
      </c>
      <c r="J77" s="361" t="str">
        <f t="shared" si="15"/>
        <v/>
      </c>
    </row>
    <row r="78" spans="2:10" x14ac:dyDescent="0.2">
      <c r="B78" s="300">
        <v>5420</v>
      </c>
      <c r="C78" s="73" t="s">
        <v>250</v>
      </c>
      <c r="D78" s="580">
        <f>VLOOKUP(B78,'[1]Trial Balance'!$A$277:$P$395,4,$B$16:$B$106)</f>
        <v>312.94</v>
      </c>
      <c r="E78" s="580">
        <f>VLOOKUP(B78,'[1]Trial Balance'!$A$277:$P$395,14,$B$16:$B$105)</f>
        <v>0</v>
      </c>
      <c r="F78" s="580">
        <f>VLOOKUP(B78,'[1]Trial Balance'!$A$277:$P$395,16,$B$16:$B$105)</f>
        <v>0</v>
      </c>
      <c r="G78" s="354">
        <f t="shared" si="12"/>
        <v>-312.94</v>
      </c>
      <c r="H78" s="357">
        <f t="shared" si="13"/>
        <v>-1</v>
      </c>
      <c r="I78" s="354">
        <f t="shared" si="14"/>
        <v>0</v>
      </c>
      <c r="J78" s="359" t="str">
        <f t="shared" si="15"/>
        <v/>
      </c>
    </row>
    <row r="79" spans="2:10" x14ac:dyDescent="0.2">
      <c r="B79" s="300">
        <v>5425</v>
      </c>
      <c r="C79" s="73" t="s">
        <v>251</v>
      </c>
      <c r="D79" s="580">
        <f>VLOOKUP(B79,'[1]Trial Balance'!$A$277:$P$395,4,$B$16:$B$106)</f>
        <v>0</v>
      </c>
      <c r="E79" s="580">
        <f>VLOOKUP(B79,'[1]Trial Balance'!$A$277:$P$395,14,$B$16:$B$105)</f>
        <v>0</v>
      </c>
      <c r="F79" s="580">
        <f>VLOOKUP(B79,'[1]Trial Balance'!$A$277:$P$395,16,$B$16:$B$105)</f>
        <v>0</v>
      </c>
      <c r="G79" s="354">
        <f t="shared" si="12"/>
        <v>0</v>
      </c>
      <c r="H79" s="357" t="str">
        <f t="shared" si="13"/>
        <v/>
      </c>
      <c r="I79" s="354">
        <f t="shared" si="14"/>
        <v>0</v>
      </c>
      <c r="J79" s="359" t="str">
        <f t="shared" si="15"/>
        <v/>
      </c>
    </row>
    <row r="80" spans="2:10" x14ac:dyDescent="0.2">
      <c r="B80" s="300">
        <v>5505</v>
      </c>
      <c r="C80" s="73" t="s">
        <v>237</v>
      </c>
      <c r="D80" s="580">
        <f>VLOOKUP(B80,'[1]Trial Balance'!$A$277:$P$395,4,$B$16:$B$106)</f>
        <v>0</v>
      </c>
      <c r="E80" s="580">
        <f>VLOOKUP(B80,'[1]Trial Balance'!$A$277:$P$395,14,$B$16:$B$105)</f>
        <v>0</v>
      </c>
      <c r="F80" s="580">
        <f>VLOOKUP(B80,'[1]Trial Balance'!$A$277:$P$395,16,$B$16:$B$105)</f>
        <v>0</v>
      </c>
      <c r="G80" s="354">
        <f t="shared" si="12"/>
        <v>0</v>
      </c>
      <c r="H80" s="357" t="str">
        <f t="shared" si="13"/>
        <v/>
      </c>
      <c r="I80" s="354">
        <f t="shared" si="14"/>
        <v>0</v>
      </c>
      <c r="J80" s="359" t="str">
        <f t="shared" si="15"/>
        <v/>
      </c>
    </row>
    <row r="81" spans="2:10" x14ac:dyDescent="0.2">
      <c r="B81" s="300">
        <v>5510</v>
      </c>
      <c r="C81" s="73" t="s">
        <v>252</v>
      </c>
      <c r="D81" s="580">
        <f>VLOOKUP(B81,'[1]Trial Balance'!$A$277:$P$395,4,$B$16:$B$106)</f>
        <v>0</v>
      </c>
      <c r="E81" s="580">
        <f>VLOOKUP(B81,'[1]Trial Balance'!$A$277:$P$395,14,$B$16:$B$105)</f>
        <v>0</v>
      </c>
      <c r="F81" s="580">
        <f>VLOOKUP(B81,'[1]Trial Balance'!$A$277:$P$395,16,$B$16:$B$105)</f>
        <v>0</v>
      </c>
      <c r="G81" s="354">
        <f t="shared" si="12"/>
        <v>0</v>
      </c>
      <c r="H81" s="357" t="str">
        <f t="shared" si="13"/>
        <v/>
      </c>
      <c r="I81" s="354">
        <f t="shared" si="14"/>
        <v>0</v>
      </c>
      <c r="J81" s="359" t="str">
        <f t="shared" si="15"/>
        <v/>
      </c>
    </row>
    <row r="82" spans="2:10" x14ac:dyDescent="0.2">
      <c r="B82" s="300">
        <v>5515</v>
      </c>
      <c r="C82" s="73" t="s">
        <v>253</v>
      </c>
      <c r="D82" s="580">
        <f>VLOOKUP(B82,'[1]Trial Balance'!$A$277:$P$395,4,$B$16:$B$106)</f>
        <v>1416.54</v>
      </c>
      <c r="E82" s="580">
        <f>VLOOKUP(B82,'[1]Trial Balance'!$A$277:$P$395,14,$B$16:$B$105)</f>
        <v>0</v>
      </c>
      <c r="F82" s="580">
        <f>VLOOKUP(B82,'[1]Trial Balance'!$A$277:$P$395,16,$B$16:$B$105)</f>
        <v>7000</v>
      </c>
      <c r="G82" s="354">
        <f t="shared" si="12"/>
        <v>5583.46</v>
      </c>
      <c r="H82" s="357">
        <f t="shared" si="13"/>
        <v>3.9416183094017816</v>
      </c>
      <c r="I82" s="354">
        <f t="shared" si="14"/>
        <v>7000</v>
      </c>
      <c r="J82" s="359" t="str">
        <f t="shared" si="15"/>
        <v/>
      </c>
    </row>
    <row r="83" spans="2:10" ht="13.5" thickBot="1" x14ac:dyDescent="0.25">
      <c r="B83" s="286">
        <v>5520</v>
      </c>
      <c r="C83" s="73" t="s">
        <v>254</v>
      </c>
      <c r="D83" s="580">
        <f>VLOOKUP(B83,'[1]Trial Balance'!$A$277:$P$395,4,$B$16:$B$106)</f>
        <v>0</v>
      </c>
      <c r="E83" s="580">
        <f>VLOOKUP(B83,'[1]Trial Balance'!$A$277:$P$395,14,$B$16:$B$105)</f>
        <v>0</v>
      </c>
      <c r="F83" s="580">
        <f>VLOOKUP(B83,'[1]Trial Balance'!$A$277:$P$395,16,$B$16:$B$105)</f>
        <v>0</v>
      </c>
      <c r="G83" s="354">
        <f t="shared" si="12"/>
        <v>0</v>
      </c>
      <c r="H83" s="357" t="str">
        <f t="shared" si="13"/>
        <v/>
      </c>
      <c r="I83" s="354">
        <f t="shared" si="14"/>
        <v>0</v>
      </c>
      <c r="J83" s="369" t="str">
        <f t="shared" si="15"/>
        <v/>
      </c>
    </row>
    <row r="84" spans="2:10" ht="14.25" thickTop="1" thickBot="1" x14ac:dyDescent="0.25">
      <c r="B84" s="309" t="s">
        <v>314</v>
      </c>
      <c r="C84" s="302"/>
      <c r="D84" s="347">
        <f>SUM(D75:D83)</f>
        <v>13421.21</v>
      </c>
      <c r="E84" s="347">
        <f>SUM(E75:E83)</f>
        <v>3794.8</v>
      </c>
      <c r="F84" s="349">
        <f>SUM(F75:F83)</f>
        <v>10000</v>
      </c>
      <c r="G84" s="364">
        <f t="shared" si="12"/>
        <v>-3421.2099999999991</v>
      </c>
      <c r="H84" s="365">
        <f t="shared" si="13"/>
        <v>-0.25491069732162741</v>
      </c>
      <c r="I84" s="364">
        <f t="shared" si="14"/>
        <v>6205.2</v>
      </c>
      <c r="J84" s="366">
        <f t="shared" si="15"/>
        <v>1.6351849899862971</v>
      </c>
    </row>
    <row r="85" spans="2:10" ht="13.5" customHeight="1" x14ac:dyDescent="0.2">
      <c r="B85" s="296" t="s">
        <v>625</v>
      </c>
      <c r="C85" s="730" t="s">
        <v>528</v>
      </c>
      <c r="D85" s="730"/>
      <c r="E85" s="730"/>
      <c r="F85" s="730"/>
      <c r="G85" s="730"/>
      <c r="H85" s="730"/>
      <c r="I85" s="730"/>
      <c r="J85" s="731"/>
    </row>
    <row r="86" spans="2:10" x14ac:dyDescent="0.2">
      <c r="B86" s="712" t="s">
        <v>255</v>
      </c>
      <c r="C86" s="713"/>
      <c r="D86" s="713"/>
      <c r="E86" s="713"/>
      <c r="F86" s="713"/>
      <c r="G86" s="713"/>
      <c r="H86" s="713"/>
      <c r="I86" s="713"/>
      <c r="J86" s="714"/>
    </row>
    <row r="87" spans="2:10" x14ac:dyDescent="0.2">
      <c r="B87" s="300">
        <v>5605</v>
      </c>
      <c r="C87" s="73" t="s">
        <v>256</v>
      </c>
      <c r="D87" s="580">
        <f>VLOOKUP(B87,'[1]Trial Balance'!$A$277:$P$395,4,$B$16:$B$106)</f>
        <v>29779.96</v>
      </c>
      <c r="E87" s="580">
        <f>VLOOKUP(B87,'[1]Trial Balance'!$A$277:$P$395,14,$B$16:$B$105)</f>
        <v>19660.8</v>
      </c>
      <c r="F87" s="580">
        <f>VLOOKUP(B87,'[1]Trial Balance'!$A$277:$P$395,16,$B$16:$B$105)</f>
        <v>20000</v>
      </c>
      <c r="G87" s="353">
        <f t="shared" ref="G87:G108" si="16">F87-D87</f>
        <v>-9779.9599999999991</v>
      </c>
      <c r="H87" s="357">
        <f t="shared" ref="H87:H108" si="17">IF(D87=0,"",(F87/D87)-1)</f>
        <v>-0.32840742566477588</v>
      </c>
      <c r="I87" s="353">
        <f t="shared" ref="I87:I108" si="18">F87-E87</f>
        <v>339.20000000000073</v>
      </c>
      <c r="J87" s="358">
        <f t="shared" ref="J87:J108" si="19">IF(E87=0,"",(F87/E87)-1)</f>
        <v>1.7252604166666741E-2</v>
      </c>
    </row>
    <row r="88" spans="2:10" x14ac:dyDescent="0.2">
      <c r="B88" s="300">
        <v>5610</v>
      </c>
      <c r="C88" s="73" t="s">
        <v>257</v>
      </c>
      <c r="D88" s="580">
        <f>VLOOKUP(B88,'[1]Trial Balance'!$A$277:$P$395,4,$B$16:$B$106)</f>
        <v>248232.7</v>
      </c>
      <c r="E88" s="580">
        <f>VLOOKUP(B88,'[1]Trial Balance'!$A$277:$P$395,14,$B$16:$B$105)</f>
        <v>316300.40999999997</v>
      </c>
      <c r="F88" s="580">
        <f>VLOOKUP(B88,'[1]Trial Balance'!$A$277:$P$395,16,$B$16:$B$105)</f>
        <v>505000</v>
      </c>
      <c r="G88" s="354">
        <f t="shared" si="16"/>
        <v>256767.3</v>
      </c>
      <c r="H88" s="357">
        <f t="shared" si="17"/>
        <v>1.0343814493416863</v>
      </c>
      <c r="I88" s="354">
        <f t="shared" si="18"/>
        <v>188699.59000000003</v>
      </c>
      <c r="J88" s="359">
        <f t="shared" si="19"/>
        <v>0.59658345052413941</v>
      </c>
    </row>
    <row r="89" spans="2:10" x14ac:dyDescent="0.2">
      <c r="B89" s="300">
        <v>5615</v>
      </c>
      <c r="C89" s="73" t="s">
        <v>258</v>
      </c>
      <c r="D89" s="580">
        <f>VLOOKUP(B89,'[1]Trial Balance'!$A$277:$P$395,4,$B$16:$B$106)</f>
        <v>59075.51</v>
      </c>
      <c r="E89" s="580">
        <f>VLOOKUP(B89,'[1]Trial Balance'!$A$277:$P$395,14,$B$16:$B$105)</f>
        <v>61904.57</v>
      </c>
      <c r="F89" s="580">
        <f>VLOOKUP(B89,'[1]Trial Balance'!$A$277:$P$395,16,$B$16:$B$105)</f>
        <v>65000</v>
      </c>
      <c r="G89" s="355">
        <f t="shared" si="16"/>
        <v>5924.489999999998</v>
      </c>
      <c r="H89" s="360">
        <f t="shared" si="17"/>
        <v>0.1002867347230687</v>
      </c>
      <c r="I89" s="355">
        <f t="shared" si="18"/>
        <v>3095.4300000000003</v>
      </c>
      <c r="J89" s="361">
        <f t="shared" si="19"/>
        <v>5.0003255010090619E-2</v>
      </c>
    </row>
    <row r="90" spans="2:10" x14ac:dyDescent="0.2">
      <c r="B90" s="300">
        <v>5620</v>
      </c>
      <c r="C90" s="73" t="s">
        <v>259</v>
      </c>
      <c r="D90" s="580">
        <f>VLOOKUP(B90,'[1]Trial Balance'!$A$277:$P$395,4,$B$16:$B$106)</f>
        <v>113824.32000000001</v>
      </c>
      <c r="E90" s="580">
        <f>VLOOKUP(B90,'[1]Trial Balance'!$A$277:$P$395,14,$B$16:$B$105)</f>
        <v>81983.63</v>
      </c>
      <c r="F90" s="580">
        <f>VLOOKUP(B90,'[1]Trial Balance'!$A$277:$P$395,16,$B$16:$B$105)</f>
        <v>87000</v>
      </c>
      <c r="G90" s="354">
        <f t="shared" si="16"/>
        <v>-26824.320000000007</v>
      </c>
      <c r="H90" s="357">
        <f t="shared" si="17"/>
        <v>-0.23566422360353223</v>
      </c>
      <c r="I90" s="354">
        <f t="shared" si="18"/>
        <v>5016.3699999999953</v>
      </c>
      <c r="J90" s="359">
        <f t="shared" si="19"/>
        <v>6.1187459008585021E-2</v>
      </c>
    </row>
    <row r="91" spans="2:10" x14ac:dyDescent="0.2">
      <c r="B91" s="300">
        <v>5625</v>
      </c>
      <c r="C91" s="73" t="s">
        <v>260</v>
      </c>
      <c r="D91" s="580">
        <f>VLOOKUP(B91,'[1]Trial Balance'!$A$277:$P$395,4,$B$16:$B$106)</f>
        <v>0</v>
      </c>
      <c r="E91" s="580">
        <f>VLOOKUP(B91,'[1]Trial Balance'!$A$277:$P$395,14,$B$16:$B$105)</f>
        <v>0</v>
      </c>
      <c r="F91" s="580">
        <f>VLOOKUP(B91,'[1]Trial Balance'!$A$277:$P$395,16,$B$16:$B$105)</f>
        <v>0</v>
      </c>
      <c r="G91" s="354">
        <f t="shared" si="16"/>
        <v>0</v>
      </c>
      <c r="H91" s="357" t="str">
        <f t="shared" si="17"/>
        <v/>
      </c>
      <c r="I91" s="354">
        <f t="shared" si="18"/>
        <v>0</v>
      </c>
      <c r="J91" s="359" t="str">
        <f t="shared" si="19"/>
        <v/>
      </c>
    </row>
    <row r="92" spans="2:10" x14ac:dyDescent="0.2">
      <c r="B92" s="300">
        <v>5630</v>
      </c>
      <c r="C92" s="73" t="s">
        <v>261</v>
      </c>
      <c r="D92" s="580">
        <f>VLOOKUP(B92,'[1]Trial Balance'!$A$277:$P$395,4,$B$16:$B$106)</f>
        <v>110401.65</v>
      </c>
      <c r="E92" s="580">
        <f>VLOOKUP(B92,'[1]Trial Balance'!$A$277:$P$395,14,$B$16:$B$105)</f>
        <v>109678.65</v>
      </c>
      <c r="F92" s="580">
        <f>VLOOKUP(B92,'[1]Trial Balance'!$A$277:$P$395,16,$B$16:$B$105)</f>
        <v>122000</v>
      </c>
      <c r="G92" s="354">
        <f t="shared" si="16"/>
        <v>11598.350000000006</v>
      </c>
      <c r="H92" s="357">
        <f t="shared" si="17"/>
        <v>0.1050559479862847</v>
      </c>
      <c r="I92" s="354">
        <f t="shared" si="18"/>
        <v>12321.350000000006</v>
      </c>
      <c r="J92" s="359">
        <f t="shared" si="19"/>
        <v>0.11234046006219089</v>
      </c>
    </row>
    <row r="93" spans="2:10" x14ac:dyDescent="0.2">
      <c r="B93" s="300">
        <v>5635</v>
      </c>
      <c r="C93" s="73" t="s">
        <v>262</v>
      </c>
      <c r="D93" s="580">
        <f>VLOOKUP(B93,'[1]Trial Balance'!$A$277:$P$395,4,$B$16:$B$106)</f>
        <v>35627.800000000003</v>
      </c>
      <c r="E93" s="580">
        <f>VLOOKUP(B93,'[1]Trial Balance'!$A$277:$P$395,14,$B$16:$B$105)</f>
        <v>41995.66</v>
      </c>
      <c r="F93" s="580">
        <f>VLOOKUP(B93,'[1]Trial Balance'!$A$277:$P$395,16,$B$16:$B$105)</f>
        <v>28000</v>
      </c>
      <c r="G93" s="354">
        <f t="shared" si="16"/>
        <v>-7627.8000000000029</v>
      </c>
      <c r="H93" s="357">
        <f t="shared" si="17"/>
        <v>-0.21409685694878722</v>
      </c>
      <c r="I93" s="354">
        <f t="shared" si="18"/>
        <v>-13995.660000000003</v>
      </c>
      <c r="J93" s="359">
        <f t="shared" si="19"/>
        <v>-0.33326443732519029</v>
      </c>
    </row>
    <row r="94" spans="2:10" x14ac:dyDescent="0.2">
      <c r="B94" s="300">
        <v>5640</v>
      </c>
      <c r="C94" s="73" t="s">
        <v>263</v>
      </c>
      <c r="D94" s="580">
        <f>VLOOKUP(B94,'[1]Trial Balance'!$A$277:$P$395,4,$B$16:$B$106)</f>
        <v>50547.72</v>
      </c>
      <c r="E94" s="580">
        <f>VLOOKUP(B94,'[1]Trial Balance'!$A$277:$P$395,14,$B$16:$B$105)</f>
        <v>33797.870000000003</v>
      </c>
      <c r="F94" s="580">
        <f>VLOOKUP(B94,'[1]Trial Balance'!$A$277:$P$395,16,$B$16:$B$105)</f>
        <v>58000</v>
      </c>
      <c r="G94" s="354">
        <f t="shared" si="16"/>
        <v>7452.2799999999988</v>
      </c>
      <c r="H94" s="357">
        <f t="shared" si="17"/>
        <v>0.14743058638450957</v>
      </c>
      <c r="I94" s="354">
        <f t="shared" si="18"/>
        <v>24202.129999999997</v>
      </c>
      <c r="J94" s="359">
        <f t="shared" si="19"/>
        <v>0.71608447514591878</v>
      </c>
    </row>
    <row r="95" spans="2:10" x14ac:dyDescent="0.2">
      <c r="B95" s="300">
        <v>5645</v>
      </c>
      <c r="C95" s="73" t="s">
        <v>264</v>
      </c>
      <c r="D95" s="580">
        <f>VLOOKUP(B95,'[1]Trial Balance'!$A$277:$P$395,4,$B$16:$B$106)</f>
        <v>4838</v>
      </c>
      <c r="E95" s="580">
        <f>VLOOKUP(B95,'[1]Trial Balance'!$A$277:$P$395,14,$B$16:$B$105)</f>
        <v>2228.87</v>
      </c>
      <c r="F95" s="580">
        <f>VLOOKUP(B95,'[1]Trial Balance'!$A$277:$P$395,16,$B$16:$B$105)</f>
        <v>1000</v>
      </c>
      <c r="G95" s="354">
        <f t="shared" si="16"/>
        <v>-3838</v>
      </c>
      <c r="H95" s="357">
        <f t="shared" si="17"/>
        <v>-0.79330301777594048</v>
      </c>
      <c r="I95" s="354">
        <f t="shared" si="18"/>
        <v>-1228.8699999999999</v>
      </c>
      <c r="J95" s="359">
        <f t="shared" si="19"/>
        <v>-0.55134215992857372</v>
      </c>
    </row>
    <row r="96" spans="2:10" x14ac:dyDescent="0.2">
      <c r="B96" s="300">
        <v>5650</v>
      </c>
      <c r="C96" s="73" t="s">
        <v>265</v>
      </c>
      <c r="D96" s="580">
        <f>VLOOKUP(B96,'[1]Trial Balance'!$A$277:$P$395,4,$B$16:$B$106)</f>
        <v>0</v>
      </c>
      <c r="E96" s="580">
        <f>VLOOKUP(B96,'[1]Trial Balance'!$A$277:$P$395,14,$B$16:$B$105)</f>
        <v>0</v>
      </c>
      <c r="F96" s="580">
        <f>VLOOKUP(B96,'[1]Trial Balance'!$A$277:$P$395,16,$B$16:$B$105)</f>
        <v>0</v>
      </c>
      <c r="G96" s="354">
        <f t="shared" si="16"/>
        <v>0</v>
      </c>
      <c r="H96" s="357" t="str">
        <f t="shared" si="17"/>
        <v/>
      </c>
      <c r="I96" s="354">
        <f t="shared" si="18"/>
        <v>0</v>
      </c>
      <c r="J96" s="359" t="str">
        <f t="shared" si="19"/>
        <v/>
      </c>
    </row>
    <row r="97" spans="2:10" x14ac:dyDescent="0.2">
      <c r="B97" s="300">
        <v>5655</v>
      </c>
      <c r="C97" s="73" t="s">
        <v>266</v>
      </c>
      <c r="D97" s="580">
        <f>VLOOKUP(B97,'[1]Trial Balance'!$A$277:$P$395,4,$B$16:$B$106)</f>
        <v>33791</v>
      </c>
      <c r="E97" s="580">
        <f>VLOOKUP(B97,'[1]Trial Balance'!$A$277:$P$395,14,$B$16:$B$105)</f>
        <v>48176.38</v>
      </c>
      <c r="F97" s="580">
        <f>VLOOKUP(B97,'[1]Trial Balance'!$A$277:$P$395,16,$B$16:$B$105)</f>
        <v>109408.015</v>
      </c>
      <c r="G97" s="354">
        <f t="shared" si="16"/>
        <v>75617.014999999999</v>
      </c>
      <c r="H97" s="357">
        <f t="shared" si="17"/>
        <v>2.2377856529845226</v>
      </c>
      <c r="I97" s="354">
        <f t="shared" si="18"/>
        <v>61231.635000000002</v>
      </c>
      <c r="J97" s="359">
        <f t="shared" si="19"/>
        <v>1.2709887085746168</v>
      </c>
    </row>
    <row r="98" spans="2:10" x14ac:dyDescent="0.2">
      <c r="B98" s="300">
        <v>5660</v>
      </c>
      <c r="C98" s="73" t="s">
        <v>267</v>
      </c>
      <c r="D98" s="580">
        <f>VLOOKUP(B98,'[1]Trial Balance'!$A$277:$P$395,4,$B$16:$B$106)</f>
        <v>6111.56</v>
      </c>
      <c r="E98" s="580">
        <f>VLOOKUP(B98,'[1]Trial Balance'!$A$277:$P$395,14,$B$16:$B$105)</f>
        <v>0</v>
      </c>
      <c r="F98" s="580">
        <f>VLOOKUP(B98,'[1]Trial Balance'!$A$277:$P$395,16,$B$16:$B$105)</f>
        <v>0</v>
      </c>
      <c r="G98" s="354">
        <f t="shared" si="16"/>
        <v>-6111.56</v>
      </c>
      <c r="H98" s="357">
        <f t="shared" si="17"/>
        <v>-1</v>
      </c>
      <c r="I98" s="354">
        <f t="shared" si="18"/>
        <v>0</v>
      </c>
      <c r="J98" s="359" t="str">
        <f t="shared" si="19"/>
        <v/>
      </c>
    </row>
    <row r="99" spans="2:10" x14ac:dyDescent="0.2">
      <c r="B99" s="300">
        <v>5665</v>
      </c>
      <c r="C99" s="73" t="s">
        <v>34</v>
      </c>
      <c r="D99" s="580">
        <f>VLOOKUP(B99,'[1]Trial Balance'!$A$277:$P$395,4,$B$16:$B$106)</f>
        <v>5556.91</v>
      </c>
      <c r="E99" s="580">
        <f>VLOOKUP(B99,'[1]Trial Balance'!$A$277:$P$395,14,$B$16:$B$105)</f>
        <v>9133.76</v>
      </c>
      <c r="F99" s="580">
        <f>VLOOKUP(B99,'[1]Trial Balance'!$A$277:$P$395,16,$B$16:$B$105)</f>
        <v>10000</v>
      </c>
      <c r="G99" s="354">
        <f t="shared" si="16"/>
        <v>4443.09</v>
      </c>
      <c r="H99" s="357">
        <f t="shared" si="17"/>
        <v>0.79956126696311447</v>
      </c>
      <c r="I99" s="354">
        <f t="shared" si="18"/>
        <v>866.23999999999978</v>
      </c>
      <c r="J99" s="359">
        <f t="shared" si="19"/>
        <v>9.4839365168342571E-2</v>
      </c>
    </row>
    <row r="100" spans="2:10" x14ac:dyDescent="0.2">
      <c r="B100" s="300">
        <v>5670</v>
      </c>
      <c r="C100" s="73" t="s">
        <v>268</v>
      </c>
      <c r="D100" s="580">
        <f>VLOOKUP(B100,'[1]Trial Balance'!$A$277:$P$395,4,$B$16:$B$106)</f>
        <v>0</v>
      </c>
      <c r="E100" s="580">
        <f>VLOOKUP(B100,'[1]Trial Balance'!$A$277:$P$395,14,$B$16:$B$105)</f>
        <v>0</v>
      </c>
      <c r="F100" s="580">
        <f>VLOOKUP(B100,'[1]Trial Balance'!$A$277:$P$395,16,$B$16:$B$105)</f>
        <v>0</v>
      </c>
      <c r="G100" s="354">
        <f t="shared" si="16"/>
        <v>0</v>
      </c>
      <c r="H100" s="357" t="str">
        <f t="shared" si="17"/>
        <v/>
      </c>
      <c r="I100" s="354">
        <f t="shared" si="18"/>
        <v>0</v>
      </c>
      <c r="J100" s="359" t="str">
        <f t="shared" si="19"/>
        <v/>
      </c>
    </row>
    <row r="101" spans="2:10" x14ac:dyDescent="0.2">
      <c r="B101" s="300">
        <v>5675</v>
      </c>
      <c r="C101" s="73" t="s">
        <v>269</v>
      </c>
      <c r="D101" s="580">
        <f>VLOOKUP(B101,'[1]Trial Balance'!$A$277:$P$395,4,$B$16:$B$106)</f>
        <v>92854.86</v>
      </c>
      <c r="E101" s="580">
        <f>VLOOKUP(B101,'[1]Trial Balance'!$A$277:$P$395,14,$B$16:$B$105)</f>
        <v>83538.490000000005</v>
      </c>
      <c r="F101" s="580">
        <f>VLOOKUP(B101,'[1]Trial Balance'!$A$277:$P$395,16,$B$16:$B$105)</f>
        <v>64000</v>
      </c>
      <c r="G101" s="354">
        <f t="shared" si="16"/>
        <v>-28854.86</v>
      </c>
      <c r="H101" s="357">
        <f t="shared" si="17"/>
        <v>-0.31075228587927439</v>
      </c>
      <c r="I101" s="354">
        <f t="shared" si="18"/>
        <v>-19538.490000000005</v>
      </c>
      <c r="J101" s="359">
        <f t="shared" si="19"/>
        <v>-0.23388608053604998</v>
      </c>
    </row>
    <row r="102" spans="2:10" x14ac:dyDescent="0.2">
      <c r="B102" s="300">
        <v>5680</v>
      </c>
      <c r="C102" s="73" t="s">
        <v>270</v>
      </c>
      <c r="D102" s="580">
        <f>VLOOKUP(B102,'[1]Trial Balance'!$A$277:$P$395,4,$B$16:$B$106)</f>
        <v>5088.2700000000004</v>
      </c>
      <c r="E102" s="580">
        <f>VLOOKUP(B102,'[1]Trial Balance'!$A$277:$P$395,14,$B$16:$B$105)</f>
        <v>5522.79</v>
      </c>
      <c r="F102" s="580">
        <f>VLOOKUP(B102,'[1]Trial Balance'!$A$277:$P$395,16,$B$16:$B$105)</f>
        <v>6000</v>
      </c>
      <c r="G102" s="354">
        <f t="shared" si="16"/>
        <v>911.72999999999956</v>
      </c>
      <c r="H102" s="357">
        <f t="shared" si="17"/>
        <v>0.17918270846476303</v>
      </c>
      <c r="I102" s="354">
        <f t="shared" si="18"/>
        <v>477.21000000000004</v>
      </c>
      <c r="J102" s="359">
        <f t="shared" si="19"/>
        <v>8.64074136441908E-2</v>
      </c>
    </row>
    <row r="103" spans="2:10" x14ac:dyDescent="0.2">
      <c r="B103" s="300">
        <v>5681</v>
      </c>
      <c r="C103" s="73" t="s">
        <v>764</v>
      </c>
      <c r="D103" s="580">
        <f>VLOOKUP(B103,'[1]Trial Balance'!$A$277:$P$395,4,$B$16:$B$106)</f>
        <v>0</v>
      </c>
      <c r="E103" s="580">
        <f>VLOOKUP(B103,'[1]Trial Balance'!$A$277:$P$395,14,$B$16:$B$105)</f>
        <v>35213.43</v>
      </c>
      <c r="F103" s="580">
        <f>VLOOKUP(B103,'[1]Trial Balance'!$A$277:$P$395,16,$B$16:$B$105)</f>
        <v>0</v>
      </c>
      <c r="G103" s="355"/>
      <c r="H103" s="360"/>
      <c r="I103" s="355"/>
      <c r="J103" s="361"/>
    </row>
    <row r="104" spans="2:10" x14ac:dyDescent="0.2">
      <c r="B104" s="300">
        <v>5685</v>
      </c>
      <c r="C104" s="73" t="s">
        <v>271</v>
      </c>
      <c r="D104" s="580">
        <f>VLOOKUP(B104,'[1]Trial Balance'!$A$277:$P$395,4,$B$16:$B$106)</f>
        <v>0</v>
      </c>
      <c r="E104" s="580">
        <f>VLOOKUP(B104,'[1]Trial Balance'!$A$277:$P$395,14,$B$16:$B$105)</f>
        <v>0</v>
      </c>
      <c r="F104" s="580">
        <f>VLOOKUP(B104,'[1]Trial Balance'!$A$277:$P$395,16,$B$16:$B$105)</f>
        <v>0</v>
      </c>
      <c r="G104" s="355">
        <f t="shared" si="16"/>
        <v>0</v>
      </c>
      <c r="H104" s="360" t="str">
        <f t="shared" si="17"/>
        <v/>
      </c>
      <c r="I104" s="355">
        <f t="shared" si="18"/>
        <v>0</v>
      </c>
      <c r="J104" s="361" t="str">
        <f t="shared" si="19"/>
        <v/>
      </c>
    </row>
    <row r="105" spans="2:10" x14ac:dyDescent="0.2">
      <c r="B105" s="300">
        <v>5695</v>
      </c>
      <c r="C105" s="73" t="s">
        <v>272</v>
      </c>
      <c r="D105" s="580">
        <f>VLOOKUP(B105,'[1]Trial Balance'!$A$277:$P$395,4,$B$16:$B$106)</f>
        <v>0</v>
      </c>
      <c r="E105" s="580">
        <f>VLOOKUP(B105,'[1]Trial Balance'!$A$277:$P$395,14,$B$16:$B$105)</f>
        <v>0</v>
      </c>
      <c r="F105" s="580">
        <f>VLOOKUP(B105,'[1]Trial Balance'!$A$277:$P$395,16,$B$16:$B$105)</f>
        <v>0</v>
      </c>
      <c r="G105" s="354">
        <f t="shared" si="16"/>
        <v>0</v>
      </c>
      <c r="H105" s="357" t="str">
        <f t="shared" si="17"/>
        <v/>
      </c>
      <c r="I105" s="354">
        <f t="shared" si="18"/>
        <v>0</v>
      </c>
      <c r="J105" s="359" t="str">
        <f t="shared" si="19"/>
        <v/>
      </c>
    </row>
    <row r="106" spans="2:10" ht="13.5" thickBot="1" x14ac:dyDescent="0.25">
      <c r="B106" s="306">
        <v>6205</v>
      </c>
      <c r="C106" s="73" t="s">
        <v>35</v>
      </c>
      <c r="D106" s="580">
        <f>VLOOKUP(B106,'[1]Trial Balance'!$A$277:$P$395,4,$B$16:$B$106)</f>
        <v>0</v>
      </c>
      <c r="E106" s="346">
        <f>'App.2-F_Detailed_OM&amp;A_Expenses'!I105</f>
        <v>25</v>
      </c>
      <c r="F106" s="346">
        <f>'App.2-F_Detailed_OM&amp;A_Expenses'!J105</f>
        <v>37.5</v>
      </c>
      <c r="G106" s="355">
        <f t="shared" si="16"/>
        <v>37.5</v>
      </c>
      <c r="H106" s="360" t="str">
        <f t="shared" si="17"/>
        <v/>
      </c>
      <c r="I106" s="355">
        <f t="shared" si="18"/>
        <v>12.5</v>
      </c>
      <c r="J106" s="361">
        <f t="shared" si="19"/>
        <v>0.5</v>
      </c>
    </row>
    <row r="107" spans="2:10" ht="14.25" thickTop="1" thickBot="1" x14ac:dyDescent="0.25">
      <c r="B107" s="270" t="s">
        <v>315</v>
      </c>
      <c r="C107" s="302"/>
      <c r="D107" s="347">
        <f>SUM(D87:D106)</f>
        <v>795730.26000000013</v>
      </c>
      <c r="E107" s="347">
        <f>SUM(E87:E106)</f>
        <v>849160.31</v>
      </c>
      <c r="F107" s="349">
        <f>SUM(F87:F106)</f>
        <v>1075445.5150000001</v>
      </c>
      <c r="G107" s="364">
        <f t="shared" si="16"/>
        <v>279715.255</v>
      </c>
      <c r="H107" s="365">
        <f t="shared" si="17"/>
        <v>0.35152019353895114</v>
      </c>
      <c r="I107" s="364">
        <f t="shared" si="18"/>
        <v>226285.20500000007</v>
      </c>
      <c r="J107" s="365">
        <f t="shared" si="19"/>
        <v>0.26648113711296761</v>
      </c>
    </row>
    <row r="108" spans="2:10" ht="13.5" thickBot="1" x14ac:dyDescent="0.25">
      <c r="B108" s="695" t="s">
        <v>313</v>
      </c>
      <c r="C108" s="697"/>
      <c r="D108" s="350">
        <f>D107+D84+D72+D61+D40</f>
        <v>1798393.98</v>
      </c>
      <c r="E108" s="351">
        <f>E107+E84+E72+E61+E40</f>
        <v>2417722.2400000002</v>
      </c>
      <c r="F108" s="352">
        <f>F107+F84+F72+F61+F40</f>
        <v>2606509.2750000004</v>
      </c>
      <c r="G108" s="370">
        <f t="shared" si="16"/>
        <v>808115.29500000039</v>
      </c>
      <c r="H108" s="371">
        <f t="shared" si="17"/>
        <v>0.44935387016809325</v>
      </c>
      <c r="I108" s="370">
        <f t="shared" si="18"/>
        <v>188787.03500000015</v>
      </c>
      <c r="J108" s="371">
        <f t="shared" si="19"/>
        <v>7.808466658270885E-2</v>
      </c>
    </row>
  </sheetData>
  <mergeCells count="23">
    <mergeCell ref="B108:C108"/>
    <mergeCell ref="B74:J74"/>
    <mergeCell ref="B86:J86"/>
    <mergeCell ref="B42:J42"/>
    <mergeCell ref="B63:J63"/>
    <mergeCell ref="B72:C72"/>
    <mergeCell ref="C62:J62"/>
    <mergeCell ref="B9:J9"/>
    <mergeCell ref="B10:J10"/>
    <mergeCell ref="B11:J11"/>
    <mergeCell ref="B40:C40"/>
    <mergeCell ref="B16:J16"/>
    <mergeCell ref="B14:B15"/>
    <mergeCell ref="C14:C15"/>
    <mergeCell ref="I14:J14"/>
    <mergeCell ref="G14:H14"/>
    <mergeCell ref="D14:D15"/>
    <mergeCell ref="E14:E15"/>
    <mergeCell ref="F14:F15"/>
    <mergeCell ref="B61:C61"/>
    <mergeCell ref="C73:J73"/>
    <mergeCell ref="C85:J85"/>
    <mergeCell ref="C41:J41"/>
  </mergeCells>
  <phoneticPr fontId="3" type="noConversion"/>
  <dataValidations count="1">
    <dataValidation allowBlank="1" showInputMessage="1" showErrorMessage="1" promptTitle="Date Format" prompt="E.g:  &quot;August 1, 2011&quot;" sqref="J7"/>
  </dataValidations>
  <pageMargins left="0.75" right="0.75" top="1" bottom="1" header="0.5" footer="0.5"/>
  <pageSetup scale="72" fitToHeight="0" orientation="landscape" r:id="rId1"/>
  <headerFooter alignWithMargins="0"/>
  <rowBreaks count="2" manualBreakCount="2">
    <brk id="40" max="9" man="1"/>
    <brk id="72" max="9" man="1"/>
  </rowBreaks>
  <colBreaks count="1" manualBreakCount="1">
    <brk id="1" max="10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pageSetUpPr autoPageBreaks="0"/>
  </sheetPr>
  <dimension ref="B1:J85"/>
  <sheetViews>
    <sheetView showGridLines="0" topLeftCell="A61" zoomScaleNormal="100" workbookViewId="0">
      <selection activeCell="D84" sqref="D84:I84"/>
    </sheetView>
  </sheetViews>
  <sheetFormatPr defaultRowHeight="12.75" x14ac:dyDescent="0.2"/>
  <cols>
    <col min="1" max="1" width="2.7109375" customWidth="1"/>
    <col min="2" max="2" width="36" customWidth="1"/>
    <col min="3" max="9" width="15.7109375" customWidth="1"/>
  </cols>
  <sheetData>
    <row r="1" spans="2:10" x14ac:dyDescent="0.2">
      <c r="H1" s="52" t="s">
        <v>581</v>
      </c>
      <c r="I1" s="151" t="s">
        <v>170</v>
      </c>
    </row>
    <row r="2" spans="2:10" x14ac:dyDescent="0.2">
      <c r="H2" s="52" t="s">
        <v>582</v>
      </c>
      <c r="I2" s="151" t="s">
        <v>587</v>
      </c>
    </row>
    <row r="3" spans="2:10" x14ac:dyDescent="0.2">
      <c r="H3" s="52" t="s">
        <v>583</v>
      </c>
      <c r="I3" s="151" t="s">
        <v>588</v>
      </c>
    </row>
    <row r="4" spans="2:10" x14ac:dyDescent="0.2">
      <c r="H4" s="52" t="s">
        <v>584</v>
      </c>
      <c r="I4" s="151" t="s">
        <v>589</v>
      </c>
    </row>
    <row r="5" spans="2:10" x14ac:dyDescent="0.2">
      <c r="H5" s="52" t="s">
        <v>585</v>
      </c>
      <c r="I5" s="151" t="s">
        <v>590</v>
      </c>
    </row>
    <row r="6" spans="2:10" ht="9" customHeight="1" x14ac:dyDescent="0.2">
      <c r="H6" s="52"/>
    </row>
    <row r="7" spans="2:10" x14ac:dyDescent="0.2">
      <c r="H7" s="52" t="s">
        <v>586</v>
      </c>
      <c r="I7" s="472"/>
    </row>
    <row r="8" spans="2:10" ht="9" customHeight="1" x14ac:dyDescent="0.2"/>
    <row r="9" spans="2:10" ht="17.25" customHeight="1" x14ac:dyDescent="0.25">
      <c r="B9" s="659" t="s">
        <v>229</v>
      </c>
      <c r="C9" s="659"/>
      <c r="D9" s="659"/>
      <c r="E9" s="659"/>
      <c r="F9" s="659"/>
      <c r="G9" s="659"/>
      <c r="H9" s="659"/>
      <c r="I9" s="659"/>
    </row>
    <row r="10" spans="2:10" ht="18" x14ac:dyDescent="0.25">
      <c r="B10" s="659" t="s">
        <v>623</v>
      </c>
      <c r="C10" s="659"/>
      <c r="D10" s="659"/>
      <c r="E10" s="659"/>
      <c r="F10" s="659"/>
      <c r="G10" s="659"/>
      <c r="H10" s="659"/>
      <c r="I10" s="659"/>
    </row>
    <row r="11" spans="2:10" ht="9" customHeight="1" x14ac:dyDescent="0.2"/>
    <row r="12" spans="2:10" ht="29.25" customHeight="1" x14ac:dyDescent="0.2">
      <c r="B12" s="2"/>
      <c r="C12" s="424">
        <v>2006</v>
      </c>
      <c r="D12" s="424">
        <v>2007</v>
      </c>
      <c r="E12" s="424">
        <v>2008</v>
      </c>
      <c r="F12" s="424">
        <v>2009</v>
      </c>
      <c r="G12" s="424">
        <v>2010</v>
      </c>
      <c r="H12" s="424">
        <v>2011</v>
      </c>
      <c r="I12" s="424">
        <v>2012</v>
      </c>
      <c r="J12" s="25"/>
    </row>
    <row r="13" spans="2:10" ht="14.25" x14ac:dyDescent="0.2">
      <c r="B13" s="738" t="s">
        <v>185</v>
      </c>
      <c r="C13" s="739"/>
      <c r="D13" s="739"/>
      <c r="E13" s="739"/>
      <c r="F13" s="739"/>
      <c r="G13" s="739"/>
      <c r="H13" s="739"/>
      <c r="I13" s="740"/>
    </row>
    <row r="14" spans="2:10" x14ac:dyDescent="0.2">
      <c r="B14" s="2" t="s">
        <v>610</v>
      </c>
      <c r="C14" s="172">
        <v>0</v>
      </c>
      <c r="D14" s="172">
        <v>0</v>
      </c>
      <c r="E14" s="172">
        <v>0</v>
      </c>
      <c r="F14" s="172">
        <v>0</v>
      </c>
      <c r="G14" s="172">
        <v>0</v>
      </c>
      <c r="H14" s="172">
        <v>0</v>
      </c>
      <c r="I14" s="172">
        <v>0</v>
      </c>
    </row>
    <row r="15" spans="2:10" x14ac:dyDescent="0.2">
      <c r="B15" s="2" t="s">
        <v>611</v>
      </c>
      <c r="C15" s="172">
        <v>4</v>
      </c>
      <c r="D15" s="172">
        <v>4</v>
      </c>
      <c r="E15" s="172">
        <v>4</v>
      </c>
      <c r="F15" s="172">
        <v>5</v>
      </c>
      <c r="G15" s="172">
        <v>5</v>
      </c>
      <c r="H15" s="172">
        <v>5</v>
      </c>
      <c r="I15" s="172">
        <v>6</v>
      </c>
    </row>
    <row r="16" spans="2:10" x14ac:dyDescent="0.2">
      <c r="B16" s="2" t="s">
        <v>612</v>
      </c>
      <c r="C16" s="172">
        <v>0</v>
      </c>
      <c r="D16" s="172">
        <v>0</v>
      </c>
      <c r="E16" s="172">
        <v>0</v>
      </c>
      <c r="F16" s="172">
        <v>0</v>
      </c>
      <c r="G16" s="172">
        <v>0</v>
      </c>
      <c r="H16" s="172">
        <v>0</v>
      </c>
      <c r="I16" s="172">
        <v>0</v>
      </c>
    </row>
    <row r="17" spans="2:9" x14ac:dyDescent="0.2">
      <c r="B17" s="2" t="s">
        <v>613</v>
      </c>
      <c r="C17" s="172">
        <v>15</v>
      </c>
      <c r="D17" s="172">
        <v>15</v>
      </c>
      <c r="E17" s="172">
        <v>15</v>
      </c>
      <c r="F17" s="172">
        <v>15</v>
      </c>
      <c r="G17" s="172">
        <v>15</v>
      </c>
      <c r="H17" s="172">
        <v>15</v>
      </c>
      <c r="I17" s="172">
        <v>15</v>
      </c>
    </row>
    <row r="18" spans="2:9" x14ac:dyDescent="0.2">
      <c r="B18" s="2" t="s">
        <v>573</v>
      </c>
      <c r="C18" s="30">
        <f t="shared" ref="C18:I18" si="0">SUM(C14:C17)</f>
        <v>19</v>
      </c>
      <c r="D18" s="30">
        <f t="shared" si="0"/>
        <v>19</v>
      </c>
      <c r="E18" s="30">
        <f t="shared" si="0"/>
        <v>19</v>
      </c>
      <c r="F18" s="30">
        <f t="shared" si="0"/>
        <v>20</v>
      </c>
      <c r="G18" s="30">
        <f t="shared" si="0"/>
        <v>20</v>
      </c>
      <c r="H18" s="30">
        <f t="shared" si="0"/>
        <v>20</v>
      </c>
      <c r="I18" s="30">
        <f t="shared" si="0"/>
        <v>21</v>
      </c>
    </row>
    <row r="19" spans="2:9" x14ac:dyDescent="0.2">
      <c r="B19" s="738" t="s">
        <v>614</v>
      </c>
      <c r="C19" s="739"/>
      <c r="D19" s="739"/>
      <c r="E19" s="739"/>
      <c r="F19" s="739"/>
      <c r="G19" s="739"/>
      <c r="H19" s="739"/>
      <c r="I19" s="740"/>
    </row>
    <row r="20" spans="2:9" x14ac:dyDescent="0.2">
      <c r="B20" s="2" t="s">
        <v>610</v>
      </c>
      <c r="C20" s="172"/>
      <c r="D20" s="172"/>
      <c r="E20" s="172"/>
      <c r="F20" s="172"/>
      <c r="G20" s="172"/>
      <c r="H20" s="172"/>
      <c r="I20" s="172"/>
    </row>
    <row r="21" spans="2:9" x14ac:dyDescent="0.2">
      <c r="B21" s="2" t="s">
        <v>611</v>
      </c>
      <c r="C21" s="172"/>
      <c r="D21" s="172"/>
      <c r="E21" s="172"/>
      <c r="F21" s="172"/>
      <c r="G21" s="172"/>
      <c r="H21" s="172"/>
      <c r="I21" s="172"/>
    </row>
    <row r="22" spans="2:9" x14ac:dyDescent="0.2">
      <c r="B22" s="2" t="s">
        <v>612</v>
      </c>
      <c r="C22" s="172">
        <v>3</v>
      </c>
      <c r="D22" s="172">
        <v>6</v>
      </c>
      <c r="E22" s="172">
        <v>4</v>
      </c>
      <c r="F22" s="172">
        <v>4</v>
      </c>
      <c r="G22" s="172">
        <v>2</v>
      </c>
      <c r="H22" s="172">
        <v>2</v>
      </c>
      <c r="I22" s="172">
        <v>2</v>
      </c>
    </row>
    <row r="23" spans="2:9" x14ac:dyDescent="0.2">
      <c r="B23" s="2" t="s">
        <v>613</v>
      </c>
      <c r="C23" s="172"/>
      <c r="D23" s="172"/>
      <c r="E23" s="172"/>
      <c r="F23" s="172"/>
      <c r="G23" s="172"/>
      <c r="H23" s="172"/>
      <c r="I23" s="172"/>
    </row>
    <row r="24" spans="2:9" x14ac:dyDescent="0.2">
      <c r="B24" s="2" t="s">
        <v>573</v>
      </c>
      <c r="C24" s="30">
        <f t="shared" ref="C24:I24" si="1">SUM(C20:C23)</f>
        <v>3</v>
      </c>
      <c r="D24" s="30">
        <f t="shared" si="1"/>
        <v>6</v>
      </c>
      <c r="E24" s="30">
        <f t="shared" si="1"/>
        <v>4</v>
      </c>
      <c r="F24" s="30">
        <f t="shared" si="1"/>
        <v>4</v>
      </c>
      <c r="G24" s="30">
        <f t="shared" si="1"/>
        <v>2</v>
      </c>
      <c r="H24" s="30">
        <f t="shared" si="1"/>
        <v>2</v>
      </c>
      <c r="I24" s="30">
        <f t="shared" si="1"/>
        <v>2</v>
      </c>
    </row>
    <row r="25" spans="2:9" x14ac:dyDescent="0.2">
      <c r="B25" s="738" t="s">
        <v>615</v>
      </c>
      <c r="C25" s="739"/>
      <c r="D25" s="739"/>
      <c r="E25" s="739"/>
      <c r="F25" s="739"/>
      <c r="G25" s="739"/>
      <c r="H25" s="739"/>
      <c r="I25" s="740"/>
    </row>
    <row r="26" spans="2:9" x14ac:dyDescent="0.2">
      <c r="B26" s="2" t="s">
        <v>610</v>
      </c>
      <c r="C26" s="173">
        <v>0</v>
      </c>
      <c r="D26" s="173">
        <v>0</v>
      </c>
      <c r="E26" s="173">
        <v>0</v>
      </c>
      <c r="F26" s="173">
        <v>0</v>
      </c>
      <c r="G26" s="173">
        <v>0</v>
      </c>
      <c r="H26" s="173">
        <v>0</v>
      </c>
      <c r="I26" s="173">
        <v>0</v>
      </c>
    </row>
    <row r="27" spans="2:9" x14ac:dyDescent="0.2">
      <c r="B27" s="2" t="s">
        <v>611</v>
      </c>
      <c r="C27" s="173">
        <v>335781</v>
      </c>
      <c r="D27" s="173">
        <v>347406</v>
      </c>
      <c r="E27" s="173">
        <v>374393</v>
      </c>
      <c r="F27" s="173">
        <v>371490</v>
      </c>
      <c r="G27" s="173">
        <v>445661</v>
      </c>
      <c r="H27" s="173">
        <v>409368</v>
      </c>
      <c r="I27" s="173">
        <v>505000</v>
      </c>
    </row>
    <row r="28" spans="2:9" x14ac:dyDescent="0.2">
      <c r="B28" s="2" t="s">
        <v>612</v>
      </c>
      <c r="C28" s="173">
        <v>35935</v>
      </c>
      <c r="D28" s="173">
        <v>34537</v>
      </c>
      <c r="E28" s="173">
        <v>41067</v>
      </c>
      <c r="F28" s="173">
        <v>60787</v>
      </c>
      <c r="G28" s="173">
        <v>35283</v>
      </c>
      <c r="H28" s="173">
        <v>38123</v>
      </c>
      <c r="I28" s="173">
        <v>42128</v>
      </c>
    </row>
    <row r="29" spans="2:9" x14ac:dyDescent="0.2">
      <c r="B29" s="2" t="s">
        <v>613</v>
      </c>
      <c r="C29" s="173">
        <v>935966</v>
      </c>
      <c r="D29" s="173">
        <v>1016991</v>
      </c>
      <c r="E29" s="173">
        <v>1049375</v>
      </c>
      <c r="F29" s="173">
        <v>1035527</v>
      </c>
      <c r="G29" s="173">
        <v>1057267</v>
      </c>
      <c r="H29" s="173">
        <v>1102552</v>
      </c>
      <c r="I29" s="173">
        <v>1064488</v>
      </c>
    </row>
    <row r="30" spans="2:9" x14ac:dyDescent="0.2">
      <c r="B30" s="2" t="s">
        <v>573</v>
      </c>
      <c r="C30" s="31">
        <f t="shared" ref="C30:I30" si="2">SUM(C26:C29)</f>
        <v>1307682</v>
      </c>
      <c r="D30" s="31">
        <f t="shared" si="2"/>
        <v>1398934</v>
      </c>
      <c r="E30" s="31">
        <f t="shared" si="2"/>
        <v>1464835</v>
      </c>
      <c r="F30" s="31">
        <f t="shared" si="2"/>
        <v>1467804</v>
      </c>
      <c r="G30" s="31">
        <f t="shared" si="2"/>
        <v>1538211</v>
      </c>
      <c r="H30" s="31">
        <f t="shared" si="2"/>
        <v>1550043</v>
      </c>
      <c r="I30" s="31">
        <f t="shared" si="2"/>
        <v>1611616</v>
      </c>
    </row>
    <row r="31" spans="2:9" x14ac:dyDescent="0.2">
      <c r="B31" s="738" t="s">
        <v>620</v>
      </c>
      <c r="C31" s="739"/>
      <c r="D31" s="739"/>
      <c r="E31" s="739"/>
      <c r="F31" s="739"/>
      <c r="G31" s="739"/>
      <c r="H31" s="739"/>
      <c r="I31" s="740"/>
    </row>
    <row r="32" spans="2:9" x14ac:dyDescent="0.2">
      <c r="B32" s="2" t="s">
        <v>610</v>
      </c>
      <c r="C32" s="173">
        <v>0</v>
      </c>
      <c r="D32" s="173">
        <v>0</v>
      </c>
      <c r="E32" s="173">
        <v>0</v>
      </c>
      <c r="F32" s="173">
        <v>0</v>
      </c>
      <c r="G32" s="173">
        <v>0</v>
      </c>
      <c r="H32" s="173">
        <v>0</v>
      </c>
      <c r="I32" s="173">
        <v>0</v>
      </c>
    </row>
    <row r="33" spans="2:9" x14ac:dyDescent="0.2">
      <c r="B33" s="2" t="s">
        <v>611</v>
      </c>
      <c r="C33" s="173">
        <v>21543</v>
      </c>
      <c r="D33" s="173">
        <v>23251</v>
      </c>
      <c r="E33" s="173">
        <v>24021</v>
      </c>
      <c r="F33" s="173">
        <v>28175</v>
      </c>
      <c r="G33" s="173">
        <v>27057</v>
      </c>
      <c r="H33" s="161">
        <v>28054</v>
      </c>
      <c r="I33" s="173">
        <v>29989</v>
      </c>
    </row>
    <row r="34" spans="2:9" x14ac:dyDescent="0.2">
      <c r="B34" s="2" t="s">
        <v>612</v>
      </c>
      <c r="C34" s="173">
        <v>0</v>
      </c>
      <c r="D34" s="173">
        <v>0</v>
      </c>
      <c r="E34" s="173">
        <v>0</v>
      </c>
      <c r="F34" s="173">
        <v>0</v>
      </c>
      <c r="G34" s="173">
        <v>0</v>
      </c>
      <c r="H34" s="173">
        <v>0</v>
      </c>
      <c r="I34" s="173">
        <v>0</v>
      </c>
    </row>
    <row r="35" spans="2:9" x14ac:dyDescent="0.2">
      <c r="B35" s="2" t="s">
        <v>613</v>
      </c>
      <c r="C35" s="173">
        <v>115397</v>
      </c>
      <c r="D35" s="173">
        <v>94961</v>
      </c>
      <c r="E35" s="173">
        <v>97653</v>
      </c>
      <c r="F35" s="173">
        <v>111984</v>
      </c>
      <c r="G35" s="173">
        <v>89841</v>
      </c>
      <c r="H35" s="173">
        <v>110651</v>
      </c>
      <c r="I35" s="173">
        <v>85770</v>
      </c>
    </row>
    <row r="36" spans="2:9" x14ac:dyDescent="0.2">
      <c r="B36" s="2" t="s">
        <v>573</v>
      </c>
      <c r="C36" s="31">
        <f t="shared" ref="C36:I36" si="3">SUM(C32:C35)</f>
        <v>136940</v>
      </c>
      <c r="D36" s="31">
        <f t="shared" si="3"/>
        <v>118212</v>
      </c>
      <c r="E36" s="31">
        <f t="shared" si="3"/>
        <v>121674</v>
      </c>
      <c r="F36" s="31">
        <f t="shared" si="3"/>
        <v>140159</v>
      </c>
      <c r="G36" s="31">
        <f t="shared" si="3"/>
        <v>116898</v>
      </c>
      <c r="H36" s="31">
        <f t="shared" si="3"/>
        <v>138705</v>
      </c>
      <c r="I36" s="31">
        <f t="shared" si="3"/>
        <v>115759</v>
      </c>
    </row>
    <row r="37" spans="2:9" x14ac:dyDescent="0.2">
      <c r="B37" s="738" t="s">
        <v>621</v>
      </c>
      <c r="C37" s="739"/>
      <c r="D37" s="739"/>
      <c r="E37" s="739"/>
      <c r="F37" s="739"/>
      <c r="G37" s="739"/>
      <c r="H37" s="739"/>
      <c r="I37" s="740"/>
    </row>
    <row r="38" spans="2:9" x14ac:dyDescent="0.2">
      <c r="B38" s="573" t="s">
        <v>610</v>
      </c>
      <c r="C38" s="576"/>
      <c r="D38" s="576"/>
      <c r="E38" s="576"/>
      <c r="F38" s="576"/>
      <c r="G38" s="576"/>
      <c r="H38" s="576"/>
      <c r="I38" s="576"/>
    </row>
    <row r="39" spans="2:9" x14ac:dyDescent="0.2">
      <c r="B39" s="573" t="s">
        <v>611</v>
      </c>
      <c r="C39" s="576">
        <v>1612</v>
      </c>
      <c r="D39" s="576">
        <v>5094</v>
      </c>
      <c r="E39" s="576">
        <v>5341</v>
      </c>
      <c r="F39" s="576">
        <v>111</v>
      </c>
      <c r="G39" s="576">
        <v>131</v>
      </c>
      <c r="H39" s="576">
        <v>427</v>
      </c>
      <c r="I39" s="576">
        <v>427</v>
      </c>
    </row>
    <row r="40" spans="2:9" x14ac:dyDescent="0.2">
      <c r="B40" s="573" t="s">
        <v>612</v>
      </c>
      <c r="C40" s="576">
        <v>1612</v>
      </c>
      <c r="D40" s="576">
        <v>5094</v>
      </c>
      <c r="E40" s="576">
        <v>5341</v>
      </c>
      <c r="F40" s="576">
        <v>111</v>
      </c>
      <c r="G40" s="576">
        <v>131</v>
      </c>
      <c r="H40" s="576">
        <v>427</v>
      </c>
      <c r="I40" s="576">
        <v>427</v>
      </c>
    </row>
    <row r="41" spans="2:9" x14ac:dyDescent="0.2">
      <c r="B41" s="573" t="s">
        <v>613</v>
      </c>
      <c r="C41" s="576">
        <v>1612</v>
      </c>
      <c r="D41" s="576">
        <v>5094</v>
      </c>
      <c r="E41" s="576">
        <v>5341</v>
      </c>
      <c r="F41" s="576">
        <v>111</v>
      </c>
      <c r="G41" s="576">
        <v>131</v>
      </c>
      <c r="H41" s="576">
        <v>427</v>
      </c>
      <c r="I41" s="576">
        <v>427</v>
      </c>
    </row>
    <row r="42" spans="2:9" x14ac:dyDescent="0.2">
      <c r="B42" s="2" t="s">
        <v>573</v>
      </c>
      <c r="C42" s="31">
        <f t="shared" ref="C42:I42" si="4">SUM(C38:C41)</f>
        <v>4836</v>
      </c>
      <c r="D42" s="31">
        <f t="shared" si="4"/>
        <v>15282</v>
      </c>
      <c r="E42" s="31">
        <f t="shared" si="4"/>
        <v>16023</v>
      </c>
      <c r="F42" s="31">
        <f t="shared" si="4"/>
        <v>333</v>
      </c>
      <c r="G42" s="31">
        <f t="shared" si="4"/>
        <v>393</v>
      </c>
      <c r="H42" s="31">
        <f t="shared" si="4"/>
        <v>1281</v>
      </c>
      <c r="I42" s="31">
        <f t="shared" si="4"/>
        <v>1281</v>
      </c>
    </row>
    <row r="43" spans="2:9" x14ac:dyDescent="0.2">
      <c r="B43" s="738" t="s">
        <v>622</v>
      </c>
      <c r="C43" s="739"/>
      <c r="D43" s="739"/>
      <c r="E43" s="739"/>
      <c r="F43" s="739"/>
      <c r="G43" s="739"/>
      <c r="H43" s="739"/>
      <c r="I43" s="740"/>
    </row>
    <row r="44" spans="2:9" x14ac:dyDescent="0.2">
      <c r="B44" s="2" t="s">
        <v>610</v>
      </c>
      <c r="C44" s="31">
        <f t="shared" ref="C44:F48" si="5">C32+C38</f>
        <v>0</v>
      </c>
      <c r="D44" s="31">
        <f t="shared" si="5"/>
        <v>0</v>
      </c>
      <c r="E44" s="31">
        <f t="shared" si="5"/>
        <v>0</v>
      </c>
      <c r="F44" s="31">
        <f t="shared" si="5"/>
        <v>0</v>
      </c>
      <c r="G44" s="31"/>
      <c r="H44" s="31">
        <f t="shared" ref="H44:I48" si="6">H32+H38</f>
        <v>0</v>
      </c>
      <c r="I44" s="31">
        <f t="shared" si="6"/>
        <v>0</v>
      </c>
    </row>
    <row r="45" spans="2:9" x14ac:dyDescent="0.2">
      <c r="B45" s="2" t="s">
        <v>611</v>
      </c>
      <c r="C45" s="31">
        <f t="shared" si="5"/>
        <v>23155</v>
      </c>
      <c r="D45" s="31">
        <f t="shared" si="5"/>
        <v>28345</v>
      </c>
      <c r="E45" s="31">
        <f t="shared" si="5"/>
        <v>29362</v>
      </c>
      <c r="F45" s="31">
        <f t="shared" si="5"/>
        <v>28286</v>
      </c>
      <c r="G45" s="31"/>
      <c r="H45" s="31">
        <f t="shared" si="6"/>
        <v>28481</v>
      </c>
      <c r="I45" s="31">
        <f t="shared" si="6"/>
        <v>30416</v>
      </c>
    </row>
    <row r="46" spans="2:9" x14ac:dyDescent="0.2">
      <c r="B46" s="2" t="s">
        <v>612</v>
      </c>
      <c r="C46" s="31">
        <f t="shared" si="5"/>
        <v>1612</v>
      </c>
      <c r="D46" s="31">
        <f t="shared" si="5"/>
        <v>5094</v>
      </c>
      <c r="E46" s="31">
        <f t="shared" si="5"/>
        <v>5341</v>
      </c>
      <c r="F46" s="31">
        <f t="shared" si="5"/>
        <v>111</v>
      </c>
      <c r="G46" s="31">
        <f>G34+G40</f>
        <v>131</v>
      </c>
      <c r="H46" s="31">
        <f t="shared" si="6"/>
        <v>427</v>
      </c>
      <c r="I46" s="31">
        <f t="shared" si="6"/>
        <v>427</v>
      </c>
    </row>
    <row r="47" spans="2:9" x14ac:dyDescent="0.2">
      <c r="B47" s="2" t="s">
        <v>613</v>
      </c>
      <c r="C47" s="31">
        <f t="shared" si="5"/>
        <v>117009</v>
      </c>
      <c r="D47" s="31">
        <f t="shared" si="5"/>
        <v>100055</v>
      </c>
      <c r="E47" s="31">
        <f t="shared" si="5"/>
        <v>102994</v>
      </c>
      <c r="F47" s="31">
        <f t="shared" si="5"/>
        <v>112095</v>
      </c>
      <c r="G47" s="31">
        <f>G35+G41</f>
        <v>89972</v>
      </c>
      <c r="H47" s="31">
        <f t="shared" si="6"/>
        <v>111078</v>
      </c>
      <c r="I47" s="31">
        <f t="shared" si="6"/>
        <v>86197</v>
      </c>
    </row>
    <row r="48" spans="2:9" x14ac:dyDescent="0.2">
      <c r="B48" s="2" t="s">
        <v>573</v>
      </c>
      <c r="C48" s="31">
        <f t="shared" si="5"/>
        <v>141776</v>
      </c>
      <c r="D48" s="31">
        <f t="shared" si="5"/>
        <v>133494</v>
      </c>
      <c r="E48" s="31">
        <f t="shared" si="5"/>
        <v>137697</v>
      </c>
      <c r="F48" s="31">
        <f t="shared" si="5"/>
        <v>140492</v>
      </c>
      <c r="G48" s="31">
        <f>G36+G42</f>
        <v>117291</v>
      </c>
      <c r="H48" s="31">
        <f t="shared" si="6"/>
        <v>139986</v>
      </c>
      <c r="I48" s="31">
        <f t="shared" si="6"/>
        <v>117040</v>
      </c>
    </row>
    <row r="49" spans="2:9" x14ac:dyDescent="0.2">
      <c r="B49" s="738" t="s">
        <v>616</v>
      </c>
      <c r="C49" s="739"/>
      <c r="D49" s="739"/>
      <c r="E49" s="739"/>
      <c r="F49" s="739"/>
      <c r="G49" s="739"/>
      <c r="H49" s="739"/>
      <c r="I49" s="740"/>
    </row>
    <row r="50" spans="2:9" x14ac:dyDescent="0.2">
      <c r="B50" s="2" t="s">
        <v>610</v>
      </c>
      <c r="C50" s="31">
        <f t="shared" ref="C50:I50" si="7">C26+C44</f>
        <v>0</v>
      </c>
      <c r="D50" s="31">
        <f t="shared" si="7"/>
        <v>0</v>
      </c>
      <c r="E50" s="31">
        <f t="shared" si="7"/>
        <v>0</v>
      </c>
      <c r="F50" s="31">
        <f t="shared" si="7"/>
        <v>0</v>
      </c>
      <c r="G50" s="31">
        <f t="shared" si="7"/>
        <v>0</v>
      </c>
      <c r="H50" s="31">
        <f t="shared" si="7"/>
        <v>0</v>
      </c>
      <c r="I50" s="31">
        <f t="shared" si="7"/>
        <v>0</v>
      </c>
    </row>
    <row r="51" spans="2:9" x14ac:dyDescent="0.2">
      <c r="B51" s="2" t="s">
        <v>611</v>
      </c>
      <c r="C51" s="31">
        <f>C27+C45</f>
        <v>358936</v>
      </c>
      <c r="D51" s="31">
        <f>D27+D45</f>
        <v>375751</v>
      </c>
      <c r="E51" s="31">
        <f>E27+E45</f>
        <v>403755</v>
      </c>
      <c r="F51" s="31">
        <f>F27+F45</f>
        <v>399776</v>
      </c>
      <c r="G51" s="31">
        <f>G27+G33</f>
        <v>472718</v>
      </c>
      <c r="H51" s="31">
        <f>H27+H45</f>
        <v>437849</v>
      </c>
      <c r="I51" s="31">
        <f>I27+I45</f>
        <v>535416</v>
      </c>
    </row>
    <row r="52" spans="2:9" x14ac:dyDescent="0.2">
      <c r="B52" s="2" t="s">
        <v>612</v>
      </c>
      <c r="C52" s="31">
        <f t="shared" ref="C52:F53" si="8">C28+C34</f>
        <v>35935</v>
      </c>
      <c r="D52" s="31">
        <f t="shared" si="8"/>
        <v>34537</v>
      </c>
      <c r="E52" s="31">
        <f t="shared" si="8"/>
        <v>41067</v>
      </c>
      <c r="F52" s="31">
        <f t="shared" si="8"/>
        <v>60787</v>
      </c>
      <c r="G52" s="31">
        <f>G28+G34</f>
        <v>35283</v>
      </c>
      <c r="H52" s="31">
        <f>H28+H34</f>
        <v>38123</v>
      </c>
      <c r="I52" s="31">
        <f>I28+I34</f>
        <v>42128</v>
      </c>
    </row>
    <row r="53" spans="2:9" x14ac:dyDescent="0.2">
      <c r="B53" s="2" t="s">
        <v>613</v>
      </c>
      <c r="C53" s="31">
        <f t="shared" si="8"/>
        <v>1051363</v>
      </c>
      <c r="D53" s="31">
        <f t="shared" si="8"/>
        <v>1111952</v>
      </c>
      <c r="E53" s="31">
        <f t="shared" si="8"/>
        <v>1147028</v>
      </c>
      <c r="F53" s="31">
        <f t="shared" si="8"/>
        <v>1147511</v>
      </c>
      <c r="G53" s="31">
        <f>G29+G35</f>
        <v>1147108</v>
      </c>
      <c r="H53" s="31">
        <f>H29+H35</f>
        <v>1213203</v>
      </c>
      <c r="I53" s="31">
        <f>I29+I35</f>
        <v>1150258</v>
      </c>
    </row>
    <row r="54" spans="2:9" x14ac:dyDescent="0.2">
      <c r="B54" s="2" t="s">
        <v>573</v>
      </c>
      <c r="C54" s="31">
        <f t="shared" ref="C54:I54" si="9">C30+C48</f>
        <v>1449458</v>
      </c>
      <c r="D54" s="31">
        <f t="shared" si="9"/>
        <v>1532428</v>
      </c>
      <c r="E54" s="31">
        <f t="shared" si="9"/>
        <v>1602532</v>
      </c>
      <c r="F54" s="31">
        <f t="shared" si="9"/>
        <v>1608296</v>
      </c>
      <c r="G54" s="31">
        <f t="shared" si="9"/>
        <v>1655502</v>
      </c>
      <c r="H54" s="31">
        <f t="shared" si="9"/>
        <v>1690029</v>
      </c>
      <c r="I54" s="31">
        <f t="shared" si="9"/>
        <v>1728656</v>
      </c>
    </row>
    <row r="55" spans="2:9" x14ac:dyDescent="0.2">
      <c r="B55" s="738" t="s">
        <v>687</v>
      </c>
      <c r="C55" s="739"/>
      <c r="D55" s="739"/>
      <c r="E55" s="739"/>
      <c r="F55" s="739"/>
      <c r="G55" s="739"/>
      <c r="H55" s="739"/>
      <c r="I55" s="740"/>
    </row>
    <row r="56" spans="2:9" x14ac:dyDescent="0.2">
      <c r="B56" s="2" t="s">
        <v>610</v>
      </c>
      <c r="C56" s="174">
        <v>0</v>
      </c>
      <c r="D56" s="173">
        <v>0</v>
      </c>
      <c r="E56" s="173">
        <v>0</v>
      </c>
      <c r="F56" s="174">
        <v>0</v>
      </c>
      <c r="G56" s="174">
        <v>0</v>
      </c>
      <c r="H56" s="174">
        <v>0</v>
      </c>
      <c r="I56" s="174">
        <v>0</v>
      </c>
    </row>
    <row r="57" spans="2:9" x14ac:dyDescent="0.2">
      <c r="B57" s="2" t="s">
        <v>611</v>
      </c>
      <c r="C57" s="174">
        <v>335780.6</v>
      </c>
      <c r="D57" s="173">
        <v>347406.2</v>
      </c>
      <c r="E57" s="173">
        <v>374393.27</v>
      </c>
      <c r="F57" s="174">
        <v>371490.07</v>
      </c>
      <c r="G57" s="174">
        <v>445660.82</v>
      </c>
      <c r="H57" s="174">
        <v>409368.47</v>
      </c>
      <c r="I57" s="174">
        <v>392410.55</v>
      </c>
    </row>
    <row r="58" spans="2:9" x14ac:dyDescent="0.2">
      <c r="B58" s="2" t="s">
        <v>612</v>
      </c>
      <c r="C58" s="174">
        <v>35935.01</v>
      </c>
      <c r="D58" s="173">
        <v>34537.18</v>
      </c>
      <c r="E58" s="173">
        <v>41066.83</v>
      </c>
      <c r="F58" s="174">
        <v>60787.05</v>
      </c>
      <c r="G58" s="174">
        <v>35282.99</v>
      </c>
      <c r="H58" s="174">
        <v>38123.31</v>
      </c>
      <c r="I58" s="174">
        <v>42127.64</v>
      </c>
    </row>
    <row r="59" spans="2:9" x14ac:dyDescent="0.2">
      <c r="B59" s="2" t="s">
        <v>613</v>
      </c>
      <c r="C59" s="174">
        <v>935966.42</v>
      </c>
      <c r="D59" s="173">
        <v>1016991.25</v>
      </c>
      <c r="E59" s="173">
        <v>1049375.47</v>
      </c>
      <c r="F59" s="174">
        <v>1035526.8</v>
      </c>
      <c r="G59" s="174">
        <v>1057266.8500000001</v>
      </c>
      <c r="H59" s="174">
        <v>1102551.55</v>
      </c>
      <c r="I59" s="174">
        <v>1064487.74</v>
      </c>
    </row>
    <row r="60" spans="2:9" x14ac:dyDescent="0.2">
      <c r="B60" s="2" t="s">
        <v>573</v>
      </c>
      <c r="C60" s="174">
        <f t="shared" ref="C60:I60" si="10">SUM(C56:C59)</f>
        <v>1307682.03</v>
      </c>
      <c r="D60" s="174">
        <f t="shared" si="10"/>
        <v>1398934.63</v>
      </c>
      <c r="E60" s="174">
        <f t="shared" si="10"/>
        <v>1464835.57</v>
      </c>
      <c r="F60" s="174">
        <f t="shared" si="10"/>
        <v>1467803.92</v>
      </c>
      <c r="G60" s="174">
        <f t="shared" si="10"/>
        <v>1538210.6600000001</v>
      </c>
      <c r="H60" s="174">
        <f t="shared" si="10"/>
        <v>1550043.33</v>
      </c>
      <c r="I60" s="174">
        <f t="shared" si="10"/>
        <v>1499025.93</v>
      </c>
    </row>
    <row r="61" spans="2:9" x14ac:dyDescent="0.2">
      <c r="B61" s="738" t="s">
        <v>688</v>
      </c>
      <c r="C61" s="739"/>
      <c r="D61" s="739"/>
      <c r="E61" s="739"/>
      <c r="F61" s="739"/>
      <c r="G61" s="739"/>
      <c r="H61" s="739"/>
      <c r="I61" s="740"/>
    </row>
    <row r="62" spans="2:9" x14ac:dyDescent="0.2">
      <c r="B62" s="2" t="s">
        <v>610</v>
      </c>
      <c r="C62" s="174">
        <v>0</v>
      </c>
      <c r="D62" s="173">
        <v>0</v>
      </c>
      <c r="E62" s="173">
        <v>0</v>
      </c>
      <c r="F62" s="174">
        <v>0</v>
      </c>
      <c r="G62" s="174">
        <v>0</v>
      </c>
      <c r="H62" s="174">
        <v>0</v>
      </c>
      <c r="I62" s="174">
        <v>0</v>
      </c>
    </row>
    <row r="63" spans="2:9" x14ac:dyDescent="0.2">
      <c r="B63" s="2" t="s">
        <v>611</v>
      </c>
      <c r="C63" s="174">
        <v>9580.6200000000008</v>
      </c>
      <c r="D63" s="173">
        <v>10001</v>
      </c>
      <c r="E63" s="173">
        <v>12922</v>
      </c>
      <c r="F63" s="174">
        <v>10539.2</v>
      </c>
      <c r="G63" s="174">
        <v>12855.58</v>
      </c>
      <c r="H63" s="174">
        <v>11808.69</v>
      </c>
      <c r="I63" s="174">
        <v>11808.69</v>
      </c>
    </row>
    <row r="64" spans="2:9" x14ac:dyDescent="0.2">
      <c r="B64" s="2" t="s">
        <v>612</v>
      </c>
      <c r="C64" s="174">
        <v>0</v>
      </c>
      <c r="D64" s="173">
        <v>0</v>
      </c>
      <c r="E64" s="173">
        <v>0</v>
      </c>
      <c r="F64" s="174">
        <v>0</v>
      </c>
      <c r="G64" s="174">
        <v>0</v>
      </c>
      <c r="H64" s="174">
        <v>0</v>
      </c>
      <c r="I64" s="174">
        <v>0</v>
      </c>
    </row>
    <row r="65" spans="2:9" x14ac:dyDescent="0.2">
      <c r="B65" s="2" t="s">
        <v>613</v>
      </c>
      <c r="C65" s="174">
        <v>61453.71</v>
      </c>
      <c r="D65" s="173">
        <v>59192</v>
      </c>
      <c r="E65" s="173">
        <v>74014</v>
      </c>
      <c r="F65" s="174">
        <v>38520.769999999997</v>
      </c>
      <c r="G65" s="174">
        <v>45846.82</v>
      </c>
      <c r="H65" s="174">
        <v>56197.69</v>
      </c>
      <c r="I65" s="174">
        <v>56197.69</v>
      </c>
    </row>
    <row r="66" spans="2:9" x14ac:dyDescent="0.2">
      <c r="B66" s="2" t="s">
        <v>573</v>
      </c>
      <c r="C66" s="174">
        <f>SUM(C62:C65)</f>
        <v>71034.33</v>
      </c>
      <c r="D66" s="174">
        <f t="shared" ref="D66:I66" si="11">SUM(D62:D65)</f>
        <v>69193</v>
      </c>
      <c r="E66" s="174">
        <f t="shared" si="11"/>
        <v>86936</v>
      </c>
      <c r="F66" s="174">
        <f t="shared" si="11"/>
        <v>49059.97</v>
      </c>
      <c r="G66" s="174">
        <f t="shared" si="11"/>
        <v>58702.400000000001</v>
      </c>
      <c r="H66" s="174">
        <f t="shared" si="11"/>
        <v>68006.38</v>
      </c>
      <c r="I66" s="174">
        <f t="shared" si="11"/>
        <v>68006.38</v>
      </c>
    </row>
    <row r="67" spans="2:9" x14ac:dyDescent="0.2">
      <c r="B67" s="738" t="s">
        <v>689</v>
      </c>
      <c r="C67" s="739"/>
      <c r="D67" s="739"/>
      <c r="E67" s="739"/>
      <c r="F67" s="739"/>
      <c r="G67" s="739"/>
      <c r="H67" s="739"/>
      <c r="I67" s="740"/>
    </row>
    <row r="68" spans="2:9" x14ac:dyDescent="0.2">
      <c r="B68" s="2" t="s">
        <v>610</v>
      </c>
      <c r="C68" s="174"/>
      <c r="D68" s="173"/>
      <c r="E68" s="173"/>
      <c r="F68" s="174"/>
      <c r="G68" s="174"/>
      <c r="H68" s="174"/>
      <c r="I68" s="174"/>
    </row>
    <row r="69" spans="2:9" x14ac:dyDescent="0.2">
      <c r="B69" s="2" t="s">
        <v>611</v>
      </c>
      <c r="C69" s="174"/>
      <c r="D69" s="173"/>
      <c r="E69" s="173"/>
      <c r="F69" s="174"/>
      <c r="G69" s="174"/>
      <c r="H69" s="174"/>
      <c r="I69" s="174"/>
    </row>
    <row r="70" spans="2:9" x14ac:dyDescent="0.2">
      <c r="B70" s="2" t="s">
        <v>612</v>
      </c>
      <c r="C70" s="174"/>
      <c r="D70" s="173"/>
      <c r="E70" s="173"/>
      <c r="F70" s="174"/>
      <c r="G70" s="174"/>
      <c r="H70" s="174"/>
      <c r="I70" s="174"/>
    </row>
    <row r="71" spans="2:9" x14ac:dyDescent="0.2">
      <c r="B71" s="2" t="s">
        <v>613</v>
      </c>
      <c r="C71" s="174"/>
      <c r="D71" s="173"/>
      <c r="E71" s="173"/>
      <c r="F71" s="174"/>
      <c r="G71" s="174"/>
      <c r="H71" s="174"/>
      <c r="I71" s="174"/>
    </row>
    <row r="72" spans="2:9" x14ac:dyDescent="0.2">
      <c r="B72" s="2" t="s">
        <v>573</v>
      </c>
      <c r="C72" s="174">
        <f>SUM(C68:C71)</f>
        <v>0</v>
      </c>
      <c r="D72" s="174">
        <f t="shared" ref="D72:I72" si="12">SUM(D68:D71)</f>
        <v>0</v>
      </c>
      <c r="E72" s="174">
        <f t="shared" si="12"/>
        <v>0</v>
      </c>
      <c r="F72" s="174">
        <f t="shared" si="12"/>
        <v>0</v>
      </c>
      <c r="G72" s="174">
        <f t="shared" si="12"/>
        <v>0</v>
      </c>
      <c r="H72" s="174">
        <f t="shared" si="12"/>
        <v>0</v>
      </c>
      <c r="I72" s="174">
        <f t="shared" si="12"/>
        <v>0</v>
      </c>
    </row>
    <row r="73" spans="2:9" x14ac:dyDescent="0.2">
      <c r="B73" s="738" t="s">
        <v>690</v>
      </c>
      <c r="C73" s="739"/>
      <c r="D73" s="739"/>
      <c r="E73" s="739"/>
      <c r="F73" s="739"/>
      <c r="G73" s="739"/>
      <c r="H73" s="739"/>
      <c r="I73" s="740"/>
    </row>
    <row r="74" spans="2:9" x14ac:dyDescent="0.2">
      <c r="B74" s="2" t="s">
        <v>610</v>
      </c>
      <c r="C74" s="173">
        <f>C44</f>
        <v>0</v>
      </c>
      <c r="D74" s="173">
        <f t="shared" ref="D74:I74" si="13">D44</f>
        <v>0</v>
      </c>
      <c r="E74" s="173">
        <f t="shared" si="13"/>
        <v>0</v>
      </c>
      <c r="F74" s="173">
        <f t="shared" si="13"/>
        <v>0</v>
      </c>
      <c r="G74" s="173">
        <f t="shared" si="13"/>
        <v>0</v>
      </c>
      <c r="H74" s="173">
        <f t="shared" si="13"/>
        <v>0</v>
      </c>
      <c r="I74" s="173">
        <f t="shared" si="13"/>
        <v>0</v>
      </c>
    </row>
    <row r="75" spans="2:9" x14ac:dyDescent="0.2">
      <c r="B75" s="2" t="s">
        <v>611</v>
      </c>
      <c r="C75" s="173">
        <f>C45</f>
        <v>23155</v>
      </c>
      <c r="D75" s="173">
        <f t="shared" ref="D75:I77" si="14">D45</f>
        <v>28345</v>
      </c>
      <c r="E75" s="173">
        <f t="shared" si="14"/>
        <v>29362</v>
      </c>
      <c r="F75" s="173">
        <f t="shared" si="14"/>
        <v>28286</v>
      </c>
      <c r="G75" s="173">
        <f t="shared" si="14"/>
        <v>0</v>
      </c>
      <c r="H75" s="173">
        <f t="shared" si="14"/>
        <v>28481</v>
      </c>
      <c r="I75" s="173">
        <f t="shared" si="14"/>
        <v>30416</v>
      </c>
    </row>
    <row r="76" spans="2:9" x14ac:dyDescent="0.2">
      <c r="B76" s="2" t="s">
        <v>612</v>
      </c>
      <c r="C76" s="173">
        <f>C46</f>
        <v>1612</v>
      </c>
      <c r="D76" s="173">
        <f t="shared" si="14"/>
        <v>5094</v>
      </c>
      <c r="E76" s="173">
        <f t="shared" si="14"/>
        <v>5341</v>
      </c>
      <c r="F76" s="173">
        <f t="shared" si="14"/>
        <v>111</v>
      </c>
      <c r="G76" s="173">
        <f t="shared" si="14"/>
        <v>131</v>
      </c>
      <c r="H76" s="173">
        <f t="shared" si="14"/>
        <v>427</v>
      </c>
      <c r="I76" s="173">
        <f t="shared" si="14"/>
        <v>427</v>
      </c>
    </row>
    <row r="77" spans="2:9" x14ac:dyDescent="0.2">
      <c r="B77" s="2" t="s">
        <v>613</v>
      </c>
      <c r="C77" s="173">
        <f>C47</f>
        <v>117009</v>
      </c>
      <c r="D77" s="173">
        <f t="shared" si="14"/>
        <v>100055</v>
      </c>
      <c r="E77" s="173">
        <f t="shared" si="14"/>
        <v>102994</v>
      </c>
      <c r="F77" s="173">
        <f t="shared" si="14"/>
        <v>112095</v>
      </c>
      <c r="G77" s="173">
        <f t="shared" si="14"/>
        <v>89972</v>
      </c>
      <c r="H77" s="173">
        <f t="shared" si="14"/>
        <v>111078</v>
      </c>
      <c r="I77" s="173">
        <f t="shared" si="14"/>
        <v>86197</v>
      </c>
    </row>
    <row r="78" spans="2:9" x14ac:dyDescent="0.2">
      <c r="B78" s="2" t="s">
        <v>573</v>
      </c>
      <c r="C78" s="173">
        <f t="shared" ref="C78:I78" si="15">SUM(C74:C77)</f>
        <v>141776</v>
      </c>
      <c r="D78" s="173">
        <f t="shared" si="15"/>
        <v>133494</v>
      </c>
      <c r="E78" s="173">
        <f t="shared" si="15"/>
        <v>137697</v>
      </c>
      <c r="F78" s="173">
        <f t="shared" si="15"/>
        <v>140492</v>
      </c>
      <c r="G78" s="173">
        <f t="shared" si="15"/>
        <v>90103</v>
      </c>
      <c r="H78" s="173">
        <f t="shared" si="15"/>
        <v>139986</v>
      </c>
      <c r="I78" s="173">
        <f t="shared" si="15"/>
        <v>117040</v>
      </c>
    </row>
    <row r="79" spans="2:9" x14ac:dyDescent="0.2">
      <c r="B79" s="741"/>
      <c r="C79" s="742"/>
      <c r="D79" s="742"/>
      <c r="E79" s="742"/>
      <c r="F79" s="742"/>
      <c r="G79" s="742"/>
      <c r="H79" s="742"/>
      <c r="I79" s="743"/>
    </row>
    <row r="80" spans="2:9" x14ac:dyDescent="0.2">
      <c r="B80" s="567" t="s">
        <v>617</v>
      </c>
      <c r="C80" s="566">
        <f t="shared" ref="C80:I80" si="16">SUM(C50:C53)</f>
        <v>1446234</v>
      </c>
      <c r="D80" s="566">
        <f t="shared" si="16"/>
        <v>1522240</v>
      </c>
      <c r="E80" s="566">
        <f t="shared" si="16"/>
        <v>1591850</v>
      </c>
      <c r="F80" s="566">
        <f t="shared" si="16"/>
        <v>1608074</v>
      </c>
      <c r="G80" s="566">
        <f t="shared" si="16"/>
        <v>1655109</v>
      </c>
      <c r="H80" s="566">
        <f t="shared" si="16"/>
        <v>1689175</v>
      </c>
      <c r="I80" s="566">
        <f t="shared" si="16"/>
        <v>1727802</v>
      </c>
    </row>
    <row r="81" spans="2:9" x14ac:dyDescent="0.2">
      <c r="B81" s="567" t="s">
        <v>618</v>
      </c>
      <c r="C81" s="173">
        <f>C80*0.81</f>
        <v>1171449.54</v>
      </c>
      <c r="D81" s="173">
        <f>D80*0.85</f>
        <v>1293904</v>
      </c>
      <c r="E81" s="173">
        <f>E80*0.8</f>
        <v>1273480</v>
      </c>
      <c r="F81" s="173">
        <f>F80*0.85</f>
        <v>1366862.9</v>
      </c>
      <c r="G81" s="173">
        <f>G80*0.75</f>
        <v>1241331.75</v>
      </c>
      <c r="H81" s="173">
        <f>0.78*H80</f>
        <v>1317556.5</v>
      </c>
      <c r="I81" s="173">
        <f>I80*0.8</f>
        <v>1382241.6</v>
      </c>
    </row>
    <row r="82" spans="2:9" x14ac:dyDescent="0.2">
      <c r="B82" s="567" t="s">
        <v>619</v>
      </c>
      <c r="C82" s="566">
        <f t="shared" ref="C82:I82" si="17">C80-C81</f>
        <v>274784.45999999996</v>
      </c>
      <c r="D82" s="566">
        <f t="shared" si="17"/>
        <v>228336</v>
      </c>
      <c r="E82" s="566">
        <f t="shared" si="17"/>
        <v>318370</v>
      </c>
      <c r="F82" s="566">
        <f t="shared" si="17"/>
        <v>241211.10000000009</v>
      </c>
      <c r="G82" s="566">
        <f t="shared" si="17"/>
        <v>413777.25</v>
      </c>
      <c r="H82" s="566">
        <f t="shared" si="17"/>
        <v>371618.5</v>
      </c>
      <c r="I82" s="566">
        <f t="shared" si="17"/>
        <v>345560.39999999991</v>
      </c>
    </row>
    <row r="84" spans="2:9" ht="19.5" customHeight="1" x14ac:dyDescent="0.2">
      <c r="B84" s="509" t="s">
        <v>281</v>
      </c>
      <c r="D84" s="581"/>
      <c r="E84" s="581"/>
      <c r="F84" s="581"/>
      <c r="G84" s="581"/>
      <c r="H84" s="581"/>
      <c r="I84" s="581"/>
    </row>
    <row r="85" spans="2:9" ht="14.25" x14ac:dyDescent="0.2">
      <c r="B85" s="508" t="s">
        <v>186</v>
      </c>
    </row>
  </sheetData>
  <mergeCells count="14">
    <mergeCell ref="B31:I31"/>
    <mergeCell ref="B37:I37"/>
    <mergeCell ref="B43:I43"/>
    <mergeCell ref="B73:I73"/>
    <mergeCell ref="B79:I79"/>
    <mergeCell ref="B49:I49"/>
    <mergeCell ref="B55:I55"/>
    <mergeCell ref="B61:I61"/>
    <mergeCell ref="B67:I67"/>
    <mergeCell ref="B10:I10"/>
    <mergeCell ref="B9:I9"/>
    <mergeCell ref="B13:I13"/>
    <mergeCell ref="B19:I19"/>
    <mergeCell ref="B25:I25"/>
  </mergeCells>
  <phoneticPr fontId="3" type="noConversion"/>
  <dataValidations disablePrompts="1" count="1">
    <dataValidation allowBlank="1" showInputMessage="1" showErrorMessage="1" promptTitle="Date Format" prompt="E.g:  &quot;August 1, 2011&quot;" sqref="I7"/>
  </dataValidations>
  <printOptions horizontalCentered="1"/>
  <pageMargins left="0.74803149606299213" right="0.74803149606299213" top="0.98425196850393704" bottom="0.98425196850393704" header="0.51181102362204722" footer="0.51181102362204722"/>
  <pageSetup scale="5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H29"/>
  <sheetViews>
    <sheetView showGridLines="0" zoomScaleNormal="100" workbookViewId="0">
      <selection activeCell="G19" sqref="G19"/>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2006</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264000</v>
      </c>
      <c r="G17" s="575">
        <v>264000</v>
      </c>
      <c r="H17" s="574">
        <v>100</v>
      </c>
    </row>
    <row r="18" spans="2:8" ht="38.25" x14ac:dyDescent="0.2">
      <c r="B18" s="168" t="s">
        <v>701</v>
      </c>
      <c r="C18" s="159" t="s">
        <v>703</v>
      </c>
      <c r="D18" s="568" t="s">
        <v>704</v>
      </c>
      <c r="E18" s="572" t="s">
        <v>731</v>
      </c>
      <c r="F18" s="575">
        <v>295000</v>
      </c>
      <c r="G18" s="575">
        <v>245833</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B28:H29"/>
    <mergeCell ref="B9:H9"/>
    <mergeCell ref="B10:H10"/>
    <mergeCell ref="B14:C14"/>
    <mergeCell ref="D14:D16"/>
    <mergeCell ref="E14:E16"/>
    <mergeCell ref="F14:F15"/>
    <mergeCell ref="G14:G15"/>
    <mergeCell ref="H14:H15"/>
    <mergeCell ref="B15:B16"/>
    <mergeCell ref="C15:C16"/>
  </mergeCells>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H29"/>
  <sheetViews>
    <sheetView showGridLines="0" zoomScaleNormal="100" workbookViewId="0">
      <selection activeCell="H18" sqref="H18"/>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2007</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213000</v>
      </c>
      <c r="G17" s="575">
        <v>213000</v>
      </c>
      <c r="H17" s="574">
        <v>100</v>
      </c>
    </row>
    <row r="18" spans="2:8" ht="38.25" x14ac:dyDescent="0.2">
      <c r="B18" s="168" t="s">
        <v>701</v>
      </c>
      <c r="C18" s="159" t="s">
        <v>703</v>
      </c>
      <c r="D18" s="568" t="s">
        <v>704</v>
      </c>
      <c r="E18" s="572" t="s">
        <v>731</v>
      </c>
      <c r="F18" s="575">
        <v>281000</v>
      </c>
      <c r="G18" s="575">
        <v>234167</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B28:H29"/>
    <mergeCell ref="B9:H9"/>
    <mergeCell ref="B10:H10"/>
    <mergeCell ref="B14:C14"/>
    <mergeCell ref="D14:D16"/>
    <mergeCell ref="E14:E16"/>
    <mergeCell ref="F14:F15"/>
    <mergeCell ref="G14:G15"/>
    <mergeCell ref="H14:H15"/>
    <mergeCell ref="B15:B16"/>
    <mergeCell ref="C15:C16"/>
  </mergeCells>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H29"/>
  <sheetViews>
    <sheetView showGridLines="0" zoomScaleNormal="100" workbookViewId="0">
      <selection activeCell="G18" sqref="G18"/>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2008</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171000</v>
      </c>
      <c r="G17" s="575">
        <v>171000</v>
      </c>
      <c r="H17" s="574">
        <v>100</v>
      </c>
    </row>
    <row r="18" spans="2:8" ht="38.25" x14ac:dyDescent="0.2">
      <c r="B18" s="168" t="s">
        <v>701</v>
      </c>
      <c r="C18" s="159" t="s">
        <v>703</v>
      </c>
      <c r="D18" s="568" t="s">
        <v>704</v>
      </c>
      <c r="E18" s="572" t="s">
        <v>731</v>
      </c>
      <c r="F18" s="575">
        <v>267000</v>
      </c>
      <c r="G18" s="575">
        <v>222500</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B28:H29"/>
    <mergeCell ref="B9:H9"/>
    <mergeCell ref="B10:H10"/>
    <mergeCell ref="B14:C14"/>
    <mergeCell ref="D14:D16"/>
    <mergeCell ref="E14:E16"/>
    <mergeCell ref="F14:F15"/>
    <mergeCell ref="G14:G15"/>
    <mergeCell ref="H14:H15"/>
    <mergeCell ref="B15:B16"/>
    <mergeCell ref="C15:C16"/>
  </mergeCells>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H29"/>
  <sheetViews>
    <sheetView showGridLines="0" zoomScaleNormal="100" workbookViewId="0">
      <selection activeCell="F19" sqref="F19"/>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2009</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144000</v>
      </c>
      <c r="G17" s="575">
        <v>144000</v>
      </c>
      <c r="H17" s="574">
        <v>100</v>
      </c>
    </row>
    <row r="18" spans="2:8" ht="38.25" x14ac:dyDescent="0.2">
      <c r="B18" s="168" t="s">
        <v>701</v>
      </c>
      <c r="C18" s="159" t="s">
        <v>703</v>
      </c>
      <c r="D18" s="568" t="s">
        <v>704</v>
      </c>
      <c r="E18" s="572" t="s">
        <v>731</v>
      </c>
      <c r="F18" s="575">
        <v>253000</v>
      </c>
      <c r="G18" s="575">
        <v>210833</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B28:H29"/>
    <mergeCell ref="B9:H9"/>
    <mergeCell ref="B10:H10"/>
    <mergeCell ref="B14:C14"/>
    <mergeCell ref="D14:D16"/>
    <mergeCell ref="E14:E16"/>
    <mergeCell ref="F14:F15"/>
    <mergeCell ref="G14:G15"/>
    <mergeCell ref="H14:H15"/>
    <mergeCell ref="B15:B16"/>
    <mergeCell ref="C15:C16"/>
  </mergeCells>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
  <sheetViews>
    <sheetView showGridLines="0" topLeftCell="A7" zoomScaleNormal="100" workbookViewId="0">
      <selection activeCell="L16" sqref="L16"/>
    </sheetView>
  </sheetViews>
  <sheetFormatPr defaultRowHeight="12.75" x14ac:dyDescent="0.2"/>
  <cols>
    <col min="1" max="1" width="2.42578125" customWidth="1"/>
    <col min="3" max="3" width="26.7109375" customWidth="1"/>
    <col min="4" max="4" width="10.5703125" customWidth="1"/>
    <col min="5" max="5" width="10.85546875" customWidth="1"/>
    <col min="6" max="6" width="14.42578125" bestFit="1" customWidth="1"/>
    <col min="7" max="7" width="14.42578125" customWidth="1"/>
    <col min="8" max="18" width="12.7109375" customWidth="1"/>
  </cols>
  <sheetData>
    <row r="1" spans="2:18" x14ac:dyDescent="0.2">
      <c r="Q1" s="52" t="s">
        <v>581</v>
      </c>
      <c r="R1" s="151" t="s">
        <v>170</v>
      </c>
    </row>
    <row r="2" spans="2:18" x14ac:dyDescent="0.2">
      <c r="Q2" s="52" t="s">
        <v>582</v>
      </c>
      <c r="R2" s="151" t="s">
        <v>587</v>
      </c>
    </row>
    <row r="3" spans="2:18" x14ac:dyDescent="0.2">
      <c r="Q3" s="52" t="s">
        <v>583</v>
      </c>
      <c r="R3" s="151" t="s">
        <v>588</v>
      </c>
    </row>
    <row r="4" spans="2:18" x14ac:dyDescent="0.2">
      <c r="Q4" s="52" t="s">
        <v>584</v>
      </c>
      <c r="R4" s="151" t="s">
        <v>589</v>
      </c>
    </row>
    <row r="5" spans="2:18" x14ac:dyDescent="0.2">
      <c r="Q5" s="52" t="s">
        <v>585</v>
      </c>
      <c r="R5" s="151" t="s">
        <v>590</v>
      </c>
    </row>
    <row r="6" spans="2:18" x14ac:dyDescent="0.2">
      <c r="Q6" s="52"/>
    </row>
    <row r="7" spans="2:18" x14ac:dyDescent="0.2">
      <c r="Q7" s="52" t="s">
        <v>586</v>
      </c>
      <c r="R7" s="472"/>
    </row>
    <row r="9" spans="2:18" ht="18" x14ac:dyDescent="0.25">
      <c r="B9" s="659" t="s">
        <v>26</v>
      </c>
      <c r="C9" s="659"/>
      <c r="D9" s="659"/>
      <c r="E9" s="659"/>
      <c r="F9" s="659"/>
      <c r="G9" s="659"/>
      <c r="H9" s="659"/>
      <c r="I9" s="659"/>
      <c r="J9" s="659"/>
      <c r="K9" s="659"/>
      <c r="L9" s="659"/>
      <c r="M9" s="659"/>
      <c r="N9" s="659"/>
      <c r="O9" s="659"/>
      <c r="P9" s="659"/>
      <c r="Q9" s="659"/>
      <c r="R9" s="659"/>
    </row>
    <row r="10" spans="2:18" ht="18" x14ac:dyDescent="0.25">
      <c r="B10" s="659" t="s">
        <v>25</v>
      </c>
      <c r="C10" s="659"/>
      <c r="D10" s="659"/>
      <c r="E10" s="659"/>
      <c r="F10" s="659"/>
      <c r="G10" s="659"/>
      <c r="H10" s="659"/>
      <c r="I10" s="659"/>
      <c r="J10" s="659"/>
      <c r="K10" s="659"/>
      <c r="L10" s="659"/>
      <c r="M10" s="659"/>
      <c r="N10" s="659"/>
      <c r="O10" s="659"/>
      <c r="P10" s="659"/>
      <c r="Q10" s="659"/>
      <c r="R10" s="659"/>
    </row>
    <row r="12" spans="2:18" ht="24.75" customHeight="1" x14ac:dyDescent="0.2">
      <c r="B12" s="657" t="s">
        <v>429</v>
      </c>
      <c r="C12" s="657"/>
      <c r="D12" s="657"/>
      <c r="E12" s="657"/>
      <c r="F12" s="657"/>
      <c r="G12" s="657"/>
      <c r="H12" s="657"/>
      <c r="I12" s="657"/>
      <c r="J12" s="657"/>
      <c r="K12" s="657"/>
      <c r="L12" s="657"/>
      <c r="M12" s="657"/>
      <c r="N12" s="657"/>
      <c r="O12" s="657"/>
      <c r="P12" s="657"/>
      <c r="Q12" s="657"/>
      <c r="R12" s="657"/>
    </row>
    <row r="14" spans="2:18" x14ac:dyDescent="0.2">
      <c r="H14" s="52" t="s">
        <v>27</v>
      </c>
      <c r="I14" s="151">
        <v>2007</v>
      </c>
      <c r="J14" s="623" t="s">
        <v>30</v>
      </c>
    </row>
    <row r="15" spans="2:18" ht="13.5" thickBot="1" x14ac:dyDescent="0.25"/>
    <row r="16" spans="2:18" ht="51" x14ac:dyDescent="0.2">
      <c r="B16" s="155" t="s">
        <v>28</v>
      </c>
      <c r="C16" s="156" t="s">
        <v>528</v>
      </c>
      <c r="D16" s="156" t="s">
        <v>526</v>
      </c>
      <c r="E16" s="625" t="s">
        <v>751</v>
      </c>
      <c r="F16" s="625" t="s">
        <v>752</v>
      </c>
      <c r="G16" s="625" t="s">
        <v>753</v>
      </c>
      <c r="H16" s="625" t="s">
        <v>786</v>
      </c>
      <c r="I16" s="160" t="s">
        <v>739</v>
      </c>
      <c r="J16" s="160" t="s">
        <v>740</v>
      </c>
      <c r="K16" s="625" t="s">
        <v>741</v>
      </c>
      <c r="L16" s="625" t="s">
        <v>787</v>
      </c>
      <c r="M16" s="625" t="s">
        <v>742</v>
      </c>
      <c r="N16" s="625" t="s">
        <v>542</v>
      </c>
      <c r="O16" s="625" t="s">
        <v>784</v>
      </c>
      <c r="P16" s="160" t="s">
        <v>737</v>
      </c>
      <c r="Q16" s="160" t="s">
        <v>738</v>
      </c>
      <c r="R16" s="626" t="s">
        <v>573</v>
      </c>
    </row>
    <row r="17" spans="2:18" x14ac:dyDescent="0.2">
      <c r="B17" s="627">
        <v>1830</v>
      </c>
      <c r="C17" s="622" t="s">
        <v>719</v>
      </c>
      <c r="D17" s="159"/>
      <c r="E17" s="643"/>
      <c r="F17" s="643"/>
      <c r="G17" s="643"/>
      <c r="H17" s="644">
        <f>2483.02+1578.08</f>
        <v>4061.1</v>
      </c>
      <c r="I17" s="644"/>
      <c r="J17" s="644">
        <f>991.44+1218.98</f>
        <v>2210.42</v>
      </c>
      <c r="K17" s="644"/>
      <c r="L17" s="644"/>
      <c r="M17" s="644"/>
      <c r="N17" s="644"/>
      <c r="O17" s="644"/>
      <c r="P17" s="644"/>
      <c r="Q17" s="644">
        <v>90792</v>
      </c>
      <c r="R17" s="645">
        <f>SUM(E17:Q17)</f>
        <v>97063.52</v>
      </c>
    </row>
    <row r="18" spans="2:18" ht="25.5" x14ac:dyDescent="0.2">
      <c r="B18" s="627">
        <v>1835</v>
      </c>
      <c r="C18" s="622" t="s">
        <v>463</v>
      </c>
      <c r="D18" s="159"/>
      <c r="E18" s="643"/>
      <c r="F18" s="643"/>
      <c r="G18" s="643"/>
      <c r="H18" s="644">
        <f>52.02+33.06</f>
        <v>85.080000000000013</v>
      </c>
      <c r="I18" s="644"/>
      <c r="J18" s="644">
        <f>658.01+809.03</f>
        <v>1467.04</v>
      </c>
      <c r="K18" s="644"/>
      <c r="L18" s="644"/>
      <c r="M18" s="644"/>
      <c r="N18" s="644"/>
      <c r="O18" s="644"/>
      <c r="P18" s="644"/>
      <c r="Q18" s="644">
        <v>107873</v>
      </c>
      <c r="R18" s="645">
        <f t="shared" ref="R18:R31" si="0">SUM(E18:Q18)</f>
        <v>109425.12</v>
      </c>
    </row>
    <row r="19" spans="2:18" x14ac:dyDescent="0.2">
      <c r="B19" s="627">
        <v>1840</v>
      </c>
      <c r="C19" s="622" t="s">
        <v>464</v>
      </c>
      <c r="D19" s="159"/>
      <c r="E19" s="643"/>
      <c r="F19" s="643"/>
      <c r="G19" s="643"/>
      <c r="H19" s="644">
        <f>4683.57+2976.64</f>
        <v>7660.2099999999991</v>
      </c>
      <c r="I19" s="644"/>
      <c r="J19" s="644">
        <f>306.84+377.26</f>
        <v>684.09999999999991</v>
      </c>
      <c r="K19" s="644">
        <v>2479.36</v>
      </c>
      <c r="L19" s="644">
        <f>1631.09+526.66</f>
        <v>2157.75</v>
      </c>
      <c r="M19" s="644"/>
      <c r="N19" s="644"/>
      <c r="O19" s="644"/>
      <c r="P19" s="644"/>
      <c r="Q19" s="644">
        <v>63123</v>
      </c>
      <c r="R19" s="645">
        <f t="shared" si="0"/>
        <v>76104.42</v>
      </c>
    </row>
    <row r="20" spans="2:18" ht="25.5" x14ac:dyDescent="0.2">
      <c r="B20" s="627">
        <v>1845</v>
      </c>
      <c r="C20" s="622" t="s">
        <v>465</v>
      </c>
      <c r="D20" s="159"/>
      <c r="E20" s="643"/>
      <c r="F20" s="643"/>
      <c r="G20" s="643"/>
      <c r="H20" s="644">
        <f>4208.26+2674.55</f>
        <v>6882.81</v>
      </c>
      <c r="I20" s="644">
        <f>103.68+75.09</f>
        <v>178.77</v>
      </c>
      <c r="J20" s="644">
        <f>7543.8+9275.17</f>
        <v>16818.97</v>
      </c>
      <c r="K20" s="644"/>
      <c r="L20" s="644">
        <f>2783.98+898.92</f>
        <v>3682.9</v>
      </c>
      <c r="M20" s="644"/>
      <c r="N20" s="644"/>
      <c r="O20" s="644"/>
      <c r="P20" s="644"/>
      <c r="Q20" s="644">
        <v>200624</v>
      </c>
      <c r="R20" s="645">
        <f t="shared" si="0"/>
        <v>228187.45</v>
      </c>
    </row>
    <row r="21" spans="2:18" x14ac:dyDescent="0.2">
      <c r="B21" s="627">
        <v>1850</v>
      </c>
      <c r="C21" s="622" t="s">
        <v>541</v>
      </c>
      <c r="D21" s="159"/>
      <c r="E21" s="643"/>
      <c r="F21" s="643"/>
      <c r="G21" s="643"/>
      <c r="H21" s="644">
        <f>9516.91+6048.46</f>
        <v>15565.369999999999</v>
      </c>
      <c r="I21" s="644">
        <f>4939.69+3577.37</f>
        <v>8517.06</v>
      </c>
      <c r="J21" s="644">
        <f>10214.91+12559.32</f>
        <v>22774.23</v>
      </c>
      <c r="K21" s="644"/>
      <c r="L21" s="644">
        <f>15475.41+4996.87</f>
        <v>20472.28</v>
      </c>
      <c r="M21" s="644">
        <f>398.52+992.37</f>
        <v>1390.8899999999999</v>
      </c>
      <c r="N21" s="644"/>
      <c r="O21" s="644">
        <v>192272</v>
      </c>
      <c r="P21" s="644">
        <v>226219</v>
      </c>
      <c r="Q21" s="646"/>
      <c r="R21" s="645">
        <f>SUM(E21:P21)</f>
        <v>487210.83</v>
      </c>
    </row>
    <row r="22" spans="2:18" x14ac:dyDescent="0.2">
      <c r="B22" s="627">
        <v>1855</v>
      </c>
      <c r="C22" s="622" t="s">
        <v>720</v>
      </c>
      <c r="D22" s="159"/>
      <c r="E22" s="643"/>
      <c r="F22" s="643"/>
      <c r="G22" s="643"/>
      <c r="H22" s="644"/>
      <c r="I22" s="644"/>
      <c r="J22" s="644"/>
      <c r="K22" s="644"/>
      <c r="L22" s="644">
        <f>518.17+167.31</f>
        <v>685.48</v>
      </c>
      <c r="M22" s="644"/>
      <c r="N22" s="644"/>
      <c r="O22" s="644"/>
      <c r="P22" s="644"/>
      <c r="Q22" s="644">
        <v>87428</v>
      </c>
      <c r="R22" s="645">
        <f t="shared" si="0"/>
        <v>88113.48</v>
      </c>
    </row>
    <row r="23" spans="2:18" x14ac:dyDescent="0.2">
      <c r="B23" s="627">
        <v>1860</v>
      </c>
      <c r="C23" s="573" t="s">
        <v>542</v>
      </c>
      <c r="D23" s="159"/>
      <c r="E23" s="643"/>
      <c r="F23" s="643"/>
      <c r="G23" s="643"/>
      <c r="H23" s="644">
        <f>1225.36+778.78</f>
        <v>2004.1399999999999</v>
      </c>
      <c r="I23" s="644"/>
      <c r="J23" s="644"/>
      <c r="K23" s="644"/>
      <c r="L23" s="644"/>
      <c r="M23" s="644"/>
      <c r="N23" s="644">
        <v>274446</v>
      </c>
      <c r="O23" s="644"/>
      <c r="P23" s="644"/>
      <c r="Q23" s="644"/>
      <c r="R23" s="645">
        <f t="shared" si="0"/>
        <v>276450.14</v>
      </c>
    </row>
    <row r="24" spans="2:18" x14ac:dyDescent="0.2">
      <c r="B24" s="627">
        <v>1908</v>
      </c>
      <c r="C24" s="573" t="s">
        <v>546</v>
      </c>
      <c r="D24" s="159"/>
      <c r="E24" s="643"/>
      <c r="F24" s="643"/>
      <c r="G24" s="643">
        <v>57481</v>
      </c>
      <c r="H24" s="644"/>
      <c r="I24" s="644"/>
      <c r="J24" s="644"/>
      <c r="K24" s="644"/>
      <c r="L24" s="644"/>
      <c r="M24" s="644"/>
      <c r="N24" s="644"/>
      <c r="O24" s="644"/>
      <c r="P24" s="644"/>
      <c r="Q24" s="644"/>
      <c r="R24" s="645">
        <f t="shared" si="0"/>
        <v>57481</v>
      </c>
    </row>
    <row r="25" spans="2:18" x14ac:dyDescent="0.2">
      <c r="B25" s="627">
        <v>1915</v>
      </c>
      <c r="C25" s="573" t="s">
        <v>750</v>
      </c>
      <c r="D25" s="159"/>
      <c r="E25" s="643"/>
      <c r="F25" s="643"/>
      <c r="G25" s="643"/>
      <c r="H25" s="644"/>
      <c r="I25" s="644"/>
      <c r="J25" s="644"/>
      <c r="K25" s="644"/>
      <c r="L25" s="644"/>
      <c r="M25" s="644"/>
      <c r="N25" s="644"/>
      <c r="O25" s="644"/>
      <c r="P25" s="644">
        <v>5514</v>
      </c>
      <c r="Q25" s="644"/>
      <c r="R25" s="645">
        <f t="shared" si="0"/>
        <v>5514</v>
      </c>
    </row>
    <row r="26" spans="2:18" x14ac:dyDescent="0.2">
      <c r="B26" s="627">
        <v>1920</v>
      </c>
      <c r="C26" s="573" t="s">
        <v>730</v>
      </c>
      <c r="D26" s="159"/>
      <c r="E26" s="643"/>
      <c r="F26" s="643"/>
      <c r="G26" s="643"/>
      <c r="H26" s="644"/>
      <c r="I26" s="644"/>
      <c r="J26" s="644"/>
      <c r="K26" s="644"/>
      <c r="L26" s="644"/>
      <c r="M26" s="644"/>
      <c r="N26" s="644"/>
      <c r="O26" s="644"/>
      <c r="P26" s="644">
        <v>47141</v>
      </c>
      <c r="Q26" s="644"/>
      <c r="R26" s="645">
        <f t="shared" si="0"/>
        <v>47141</v>
      </c>
    </row>
    <row r="27" spans="2:18" x14ac:dyDescent="0.2">
      <c r="B27" s="627">
        <v>1925</v>
      </c>
      <c r="C27" s="573" t="s">
        <v>563</v>
      </c>
      <c r="D27" s="159"/>
      <c r="E27" s="628">
        <v>85691</v>
      </c>
      <c r="F27" s="628"/>
      <c r="G27" s="628"/>
      <c r="H27" s="644"/>
      <c r="I27" s="644"/>
      <c r="J27" s="644"/>
      <c r="K27" s="644"/>
      <c r="L27" s="644"/>
      <c r="M27" s="644"/>
      <c r="N27" s="644"/>
      <c r="O27" s="644"/>
      <c r="P27" s="644"/>
      <c r="Q27" s="644"/>
      <c r="R27" s="645">
        <f t="shared" si="0"/>
        <v>85691</v>
      </c>
    </row>
    <row r="28" spans="2:18" x14ac:dyDescent="0.2">
      <c r="B28" s="627">
        <v>1930</v>
      </c>
      <c r="C28" s="573" t="s">
        <v>721</v>
      </c>
      <c r="D28" s="159"/>
      <c r="E28" s="628"/>
      <c r="F28" s="628">
        <v>483870</v>
      </c>
      <c r="G28" s="628"/>
      <c r="H28" s="644"/>
      <c r="I28" s="644"/>
      <c r="J28" s="644"/>
      <c r="K28" s="644"/>
      <c r="L28" s="644"/>
      <c r="M28" s="644"/>
      <c r="N28" s="644"/>
      <c r="O28" s="644"/>
      <c r="P28" s="644"/>
      <c r="Q28" s="644"/>
      <c r="R28" s="645">
        <f t="shared" si="0"/>
        <v>483870</v>
      </c>
    </row>
    <row r="29" spans="2:18" x14ac:dyDescent="0.2">
      <c r="B29" s="627">
        <v>1940</v>
      </c>
      <c r="C29" s="573" t="s">
        <v>722</v>
      </c>
      <c r="D29" s="159"/>
      <c r="E29" s="643"/>
      <c r="F29" s="643"/>
      <c r="G29" s="643"/>
      <c r="H29" s="644"/>
      <c r="I29" s="644"/>
      <c r="J29" s="644"/>
      <c r="K29" s="644"/>
      <c r="L29" s="644"/>
      <c r="M29" s="644"/>
      <c r="N29" s="644"/>
      <c r="O29" s="644"/>
      <c r="P29" s="644">
        <v>12035</v>
      </c>
      <c r="Q29" s="644"/>
      <c r="R29" s="645">
        <f t="shared" si="0"/>
        <v>12035</v>
      </c>
    </row>
    <row r="30" spans="2:18" ht="26.25" thickBot="1" x14ac:dyDescent="0.25">
      <c r="B30" s="631">
        <v>1995</v>
      </c>
      <c r="C30" s="633" t="s">
        <v>29</v>
      </c>
      <c r="D30" s="159"/>
      <c r="E30" s="643"/>
      <c r="F30" s="643"/>
      <c r="G30" s="643"/>
      <c r="H30" s="644"/>
      <c r="I30" s="644"/>
      <c r="J30" s="644"/>
      <c r="K30" s="628">
        <v>-130957.65</v>
      </c>
      <c r="L30" s="628">
        <v>-37623.31</v>
      </c>
      <c r="M30" s="628">
        <v>-71687.649999999994</v>
      </c>
      <c r="N30" s="628"/>
      <c r="O30" s="628"/>
      <c r="P30" s="644">
        <v>-213817</v>
      </c>
      <c r="Q30" s="644"/>
      <c r="R30" s="645">
        <f t="shared" si="0"/>
        <v>-454085.61</v>
      </c>
    </row>
    <row r="31" spans="2:18" ht="14.25" thickTop="1" thickBot="1" x14ac:dyDescent="0.25">
      <c r="B31" s="631"/>
      <c r="C31" s="634"/>
      <c r="D31" s="171"/>
      <c r="E31" s="647"/>
      <c r="F31" s="647"/>
      <c r="G31" s="647"/>
      <c r="H31" s="648"/>
      <c r="I31" s="649"/>
      <c r="J31" s="648"/>
      <c r="K31" s="648"/>
      <c r="L31" s="648"/>
      <c r="M31" s="648"/>
      <c r="N31" s="648"/>
      <c r="O31" s="648"/>
      <c r="P31" s="648"/>
      <c r="Q31" s="649"/>
      <c r="R31" s="645">
        <f t="shared" si="0"/>
        <v>0</v>
      </c>
    </row>
    <row r="32" spans="2:18" ht="14.25" thickTop="1" thickBot="1" x14ac:dyDescent="0.25">
      <c r="B32" s="638" t="s">
        <v>573</v>
      </c>
      <c r="C32" s="639"/>
      <c r="D32" s="639"/>
      <c r="E32" s="640">
        <f t="shared" ref="E32:P32" si="1">SUM(E17:E31)</f>
        <v>85691</v>
      </c>
      <c r="F32" s="640">
        <f t="shared" si="1"/>
        <v>483870</v>
      </c>
      <c r="G32" s="640">
        <f t="shared" si="1"/>
        <v>57481</v>
      </c>
      <c r="H32" s="640">
        <f t="shared" si="1"/>
        <v>36258.71</v>
      </c>
      <c r="I32" s="641">
        <f t="shared" si="1"/>
        <v>8695.83</v>
      </c>
      <c r="J32" s="640">
        <f t="shared" si="1"/>
        <v>43954.759999999995</v>
      </c>
      <c r="K32" s="640">
        <f t="shared" si="1"/>
        <v>-128478.29</v>
      </c>
      <c r="L32" s="640">
        <f t="shared" si="1"/>
        <v>-10624.899999999998</v>
      </c>
      <c r="M32" s="640">
        <f t="shared" si="1"/>
        <v>-70296.759999999995</v>
      </c>
      <c r="N32" s="640">
        <f t="shared" si="1"/>
        <v>274446</v>
      </c>
      <c r="O32" s="640">
        <f t="shared" si="1"/>
        <v>192272</v>
      </c>
      <c r="P32" s="640">
        <f t="shared" si="1"/>
        <v>77092</v>
      </c>
      <c r="Q32" s="640">
        <f>SUM(Q17:Q31)</f>
        <v>549840</v>
      </c>
      <c r="R32" s="642">
        <f>SUM(E32:Q32)-2</f>
        <v>1600199.3499999999</v>
      </c>
    </row>
    <row r="37" spans="2:2" x14ac:dyDescent="0.2">
      <c r="B37" s="52" t="s">
        <v>562</v>
      </c>
    </row>
  </sheetData>
  <mergeCells count="3">
    <mergeCell ref="B9:R9"/>
    <mergeCell ref="B10:R10"/>
    <mergeCell ref="B12:R12"/>
  </mergeCells>
  <dataValidations count="1">
    <dataValidation allowBlank="1" showInputMessage="1" showErrorMessage="1" promptTitle="Date Format" prompt="E.g:  &quot;August 1, 2011&quot;" sqref="R7"/>
  </dataValidations>
  <pageMargins left="0.75" right="0.75" top="1" bottom="1" header="0.5" footer="0.5"/>
  <pageSetup scale="5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1:H29"/>
  <sheetViews>
    <sheetView showGridLines="0" zoomScaleNormal="100" workbookViewId="0">
      <selection activeCell="H17" sqref="H17"/>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2010</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174000</v>
      </c>
      <c r="G17" s="575">
        <v>174000</v>
      </c>
      <c r="H17" s="574">
        <v>100</v>
      </c>
    </row>
    <row r="18" spans="2:8" ht="38.25" x14ac:dyDescent="0.2">
      <c r="B18" s="168" t="s">
        <v>701</v>
      </c>
      <c r="C18" s="159" t="s">
        <v>703</v>
      </c>
      <c r="D18" s="568" t="s">
        <v>704</v>
      </c>
      <c r="E18" s="572" t="s">
        <v>731</v>
      </c>
      <c r="F18" s="575">
        <v>234000</v>
      </c>
      <c r="G18" s="575">
        <v>195000</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B28:H29"/>
    <mergeCell ref="B9:H9"/>
    <mergeCell ref="B10:H10"/>
    <mergeCell ref="B14:C14"/>
    <mergeCell ref="D14:D16"/>
    <mergeCell ref="E14:E16"/>
    <mergeCell ref="F14:F15"/>
    <mergeCell ref="G14:G15"/>
    <mergeCell ref="H14:H15"/>
    <mergeCell ref="B15:B16"/>
    <mergeCell ref="C15:C16"/>
  </mergeCells>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H29"/>
  <sheetViews>
    <sheetView showGridLines="0" zoomScaleNormal="100" workbookViewId="0">
      <selection activeCell="G18" sqref="G18"/>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2011</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103000</v>
      </c>
      <c r="G17" s="575">
        <v>103000</v>
      </c>
      <c r="H17" s="574">
        <v>100</v>
      </c>
    </row>
    <row r="18" spans="2:8" ht="38.25" x14ac:dyDescent="0.2">
      <c r="B18" s="168" t="s">
        <v>701</v>
      </c>
      <c r="C18" s="159" t="s">
        <v>703</v>
      </c>
      <c r="D18" s="568" t="s">
        <v>704</v>
      </c>
      <c r="E18" s="572" t="s">
        <v>731</v>
      </c>
      <c r="F18" s="575">
        <v>238000</v>
      </c>
      <c r="G18" s="575">
        <v>198333</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B28:H29"/>
    <mergeCell ref="B9:H9"/>
    <mergeCell ref="B10:H10"/>
    <mergeCell ref="B14:C14"/>
    <mergeCell ref="D14:D16"/>
    <mergeCell ref="E14:E16"/>
    <mergeCell ref="F14:F15"/>
    <mergeCell ref="G14:G15"/>
    <mergeCell ref="H14:H15"/>
    <mergeCell ref="B15:B16"/>
    <mergeCell ref="C15:C16"/>
  </mergeCells>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pageSetUpPr fitToPage="1"/>
  </sheetPr>
  <dimension ref="B1:H29"/>
  <sheetViews>
    <sheetView showGridLines="0" zoomScaleNormal="100" workbookViewId="0">
      <selection activeCell="F17" sqref="F17"/>
    </sheetView>
  </sheetViews>
  <sheetFormatPr defaultRowHeight="12.75" x14ac:dyDescent="0.2"/>
  <cols>
    <col min="1" max="1" width="2.85546875" customWidth="1"/>
    <col min="2" max="3" width="20.7109375" customWidth="1"/>
    <col min="4" max="5" width="15.7109375" customWidth="1"/>
    <col min="6" max="6" width="13.5703125" customWidth="1"/>
    <col min="7" max="7" width="13.7109375" customWidth="1"/>
    <col min="8" max="8" width="13.5703125" customWidth="1"/>
  </cols>
  <sheetData>
    <row r="1" spans="2:8" x14ac:dyDescent="0.2">
      <c r="G1" s="52" t="s">
        <v>581</v>
      </c>
      <c r="H1" s="151" t="s">
        <v>170</v>
      </c>
    </row>
    <row r="2" spans="2:8" x14ac:dyDescent="0.2">
      <c r="G2" s="52" t="s">
        <v>582</v>
      </c>
      <c r="H2" s="151" t="s">
        <v>587</v>
      </c>
    </row>
    <row r="3" spans="2:8" x14ac:dyDescent="0.2">
      <c r="G3" s="52" t="s">
        <v>583</v>
      </c>
      <c r="H3" s="151" t="s">
        <v>588</v>
      </c>
    </row>
    <row r="4" spans="2:8" x14ac:dyDescent="0.2">
      <c r="G4" s="52" t="s">
        <v>584</v>
      </c>
      <c r="H4" s="151" t="s">
        <v>589</v>
      </c>
    </row>
    <row r="5" spans="2:8" x14ac:dyDescent="0.2">
      <c r="G5" s="52" t="s">
        <v>585</v>
      </c>
      <c r="H5" s="151" t="s">
        <v>590</v>
      </c>
    </row>
    <row r="6" spans="2:8" x14ac:dyDescent="0.2">
      <c r="G6" s="52"/>
    </row>
    <row r="7" spans="2:8" x14ac:dyDescent="0.2">
      <c r="G7" s="52" t="s">
        <v>586</v>
      </c>
      <c r="H7" s="472"/>
    </row>
    <row r="9" spans="2:8" ht="18" x14ac:dyDescent="0.25">
      <c r="B9" s="659" t="s">
        <v>376</v>
      </c>
      <c r="C9" s="659"/>
      <c r="D9" s="659"/>
      <c r="E9" s="659"/>
      <c r="F9" s="659"/>
      <c r="G9" s="659"/>
      <c r="H9" s="659"/>
    </row>
    <row r="10" spans="2:8" ht="18" x14ac:dyDescent="0.25">
      <c r="B10" s="659" t="s">
        <v>225</v>
      </c>
      <c r="C10" s="659"/>
      <c r="D10" s="659"/>
      <c r="E10" s="659"/>
      <c r="F10" s="659"/>
      <c r="G10" s="659"/>
      <c r="H10" s="659"/>
    </row>
    <row r="12" spans="2:8" x14ac:dyDescent="0.2">
      <c r="D12" s="403" t="s">
        <v>27</v>
      </c>
      <c r="E12" s="402">
        <v>2012</v>
      </c>
    </row>
    <row r="13" spans="2:8" ht="13.5" thickBot="1" x14ac:dyDescent="0.25"/>
    <row r="14" spans="2:8" ht="13.5" customHeight="1" x14ac:dyDescent="0.2">
      <c r="B14" s="744" t="s">
        <v>377</v>
      </c>
      <c r="C14" s="745"/>
      <c r="D14" s="746" t="s">
        <v>380</v>
      </c>
      <c r="E14" s="746" t="s">
        <v>381</v>
      </c>
      <c r="F14" s="749" t="s">
        <v>382</v>
      </c>
      <c r="G14" s="749" t="s">
        <v>383</v>
      </c>
      <c r="H14" s="751" t="s">
        <v>384</v>
      </c>
    </row>
    <row r="15" spans="2:8" x14ac:dyDescent="0.2">
      <c r="B15" s="753" t="s">
        <v>378</v>
      </c>
      <c r="C15" s="755" t="s">
        <v>379</v>
      </c>
      <c r="D15" s="747"/>
      <c r="E15" s="747"/>
      <c r="F15" s="750"/>
      <c r="G15" s="750"/>
      <c r="H15" s="752"/>
    </row>
    <row r="16" spans="2:8" x14ac:dyDescent="0.2">
      <c r="B16" s="754"/>
      <c r="C16" s="756"/>
      <c r="D16" s="748"/>
      <c r="E16" s="748"/>
      <c r="F16" s="489" t="s">
        <v>364</v>
      </c>
      <c r="G16" s="489" t="s">
        <v>364</v>
      </c>
      <c r="H16" s="511" t="s">
        <v>366</v>
      </c>
    </row>
    <row r="17" spans="2:8" ht="51" x14ac:dyDescent="0.2">
      <c r="B17" s="168" t="s">
        <v>701</v>
      </c>
      <c r="C17" s="159" t="s">
        <v>702</v>
      </c>
      <c r="D17" s="568" t="s">
        <v>705</v>
      </c>
      <c r="E17" s="572" t="s">
        <v>533</v>
      </c>
      <c r="F17" s="575">
        <v>148000</v>
      </c>
      <c r="G17" s="575">
        <v>148000</v>
      </c>
      <c r="H17" s="574">
        <v>100</v>
      </c>
    </row>
    <row r="18" spans="2:8" ht="38.25" x14ac:dyDescent="0.2">
      <c r="B18" s="168" t="s">
        <v>701</v>
      </c>
      <c r="C18" s="159" t="s">
        <v>703</v>
      </c>
      <c r="D18" s="568" t="s">
        <v>704</v>
      </c>
      <c r="E18" s="572" t="s">
        <v>731</v>
      </c>
      <c r="F18" s="575">
        <v>240000</v>
      </c>
      <c r="G18" s="575">
        <v>200000</v>
      </c>
      <c r="H18" s="574">
        <v>100</v>
      </c>
    </row>
    <row r="19" spans="2:8" x14ac:dyDescent="0.2">
      <c r="B19" s="168"/>
      <c r="C19" s="159"/>
      <c r="D19" s="159"/>
      <c r="E19" s="159"/>
      <c r="F19" s="159"/>
      <c r="G19" s="159"/>
      <c r="H19" s="170"/>
    </row>
    <row r="20" spans="2:8" x14ac:dyDescent="0.2">
      <c r="B20" s="168"/>
      <c r="C20" s="159"/>
      <c r="D20" s="159"/>
      <c r="E20" s="159"/>
      <c r="F20" s="159"/>
      <c r="G20" s="159"/>
      <c r="H20" s="170"/>
    </row>
    <row r="21" spans="2:8" x14ac:dyDescent="0.2">
      <c r="B21" s="168"/>
      <c r="C21" s="159"/>
      <c r="D21" s="159"/>
      <c r="E21" s="159"/>
      <c r="F21" s="159"/>
      <c r="G21" s="159"/>
      <c r="H21" s="170"/>
    </row>
    <row r="22" spans="2:8" x14ac:dyDescent="0.2">
      <c r="B22" s="168"/>
      <c r="C22" s="159"/>
      <c r="D22" s="159"/>
      <c r="E22" s="159"/>
      <c r="F22" s="159"/>
      <c r="G22" s="159"/>
      <c r="H22" s="170"/>
    </row>
    <row r="23" spans="2:8" x14ac:dyDescent="0.2">
      <c r="B23" s="168"/>
      <c r="C23" s="159"/>
      <c r="D23" s="159"/>
      <c r="E23" s="159"/>
      <c r="F23" s="159"/>
      <c r="G23" s="159"/>
      <c r="H23" s="170"/>
    </row>
    <row r="24" spans="2:8" ht="13.5" thickBot="1" x14ac:dyDescent="0.25">
      <c r="B24" s="404"/>
      <c r="C24" s="405"/>
      <c r="D24" s="405"/>
      <c r="E24" s="405"/>
      <c r="F24" s="405"/>
      <c r="G24" s="405"/>
      <c r="H24" s="406"/>
    </row>
    <row r="27" spans="2:8" ht="18" customHeight="1" x14ac:dyDescent="0.2">
      <c r="B27" s="512" t="s">
        <v>187</v>
      </c>
      <c r="C27" s="512"/>
      <c r="D27" s="512"/>
      <c r="E27" s="512"/>
      <c r="F27" s="512"/>
      <c r="G27" s="512"/>
      <c r="H27" s="512"/>
    </row>
    <row r="28" spans="2:8" x14ac:dyDescent="0.2">
      <c r="B28" s="757" t="s">
        <v>188</v>
      </c>
      <c r="C28" s="757"/>
      <c r="D28" s="757"/>
      <c r="E28" s="757"/>
      <c r="F28" s="757"/>
      <c r="G28" s="757"/>
      <c r="H28" s="757"/>
    </row>
    <row r="29" spans="2:8" x14ac:dyDescent="0.2">
      <c r="B29" s="757"/>
      <c r="C29" s="757"/>
      <c r="D29" s="757"/>
      <c r="E29" s="757"/>
      <c r="F29" s="757"/>
      <c r="G29" s="757"/>
      <c r="H29" s="757"/>
    </row>
  </sheetData>
  <mergeCells count="11">
    <mergeCell ref="F14:F15"/>
    <mergeCell ref="B28:H29"/>
    <mergeCell ref="G14:G15"/>
    <mergeCell ref="H14:H15"/>
    <mergeCell ref="B9:H9"/>
    <mergeCell ref="B10:H10"/>
    <mergeCell ref="B15:B16"/>
    <mergeCell ref="C15:C16"/>
    <mergeCell ref="D14:D16"/>
    <mergeCell ref="E14:E16"/>
    <mergeCell ref="B14:C14"/>
  </mergeCells>
  <phoneticPr fontId="3" type="noConversion"/>
  <dataValidations count="1">
    <dataValidation allowBlank="1" showInputMessage="1" showErrorMessage="1" promptTitle="Date Format" prompt="E.g:  &quot;August 1, 2011&quot;" sqref="H7"/>
  </dataValidations>
  <pageMargins left="0.75" right="0.75" top="1" bottom="1" header="0.5" footer="0.5"/>
  <pageSetup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M60"/>
  <sheetViews>
    <sheetView showGridLines="0" topLeftCell="A28" zoomScaleNormal="100" workbookViewId="0">
      <selection activeCell="F43" sqref="F43"/>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2006</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- 2006'!$C$16:$G$46,4,$B$16:$B$46)</f>
        <v>2112</v>
      </c>
      <c r="E16" s="175"/>
      <c r="F16" s="27">
        <f>D16-E16</f>
        <v>2112</v>
      </c>
      <c r="G16" s="580">
        <f>VLOOKUP(B16,'App.2-B_Fixed Asset Cont - 2006'!$C$16:$G$46,5,$B$16:$B$46)</f>
        <v>0</v>
      </c>
      <c r="H16" s="27">
        <f>F16+0.5*G16</f>
        <v>2112</v>
      </c>
      <c r="I16" s="613"/>
      <c r="J16" s="157" t="str">
        <f>IF(I16=0,"",1/I16)</f>
        <v/>
      </c>
      <c r="K16" s="158" t="str">
        <f t="shared" ref="K16:K41" si="0">IF(I16=0,"",H16/I16)</f>
        <v/>
      </c>
      <c r="L16" s="517"/>
      <c r="M16" s="615">
        <f>VLOOKUP(B16,'App.2-B_Fixed Asset Cont - 2006'!$C$16:$L$46,10,$B$16:$B$46)</f>
        <v>0</v>
      </c>
    </row>
    <row r="17" spans="2:13" x14ac:dyDescent="0.2">
      <c r="B17" s="148">
        <v>1808</v>
      </c>
      <c r="C17" s="2" t="s">
        <v>537</v>
      </c>
      <c r="D17" s="580">
        <f>VLOOKUP(B17,'App.2-B_Fixed Asset Cont - 2006'!$C$16:$G$46,4,$B$16:$B$46)</f>
        <v>0</v>
      </c>
      <c r="E17" s="175"/>
      <c r="F17" s="27">
        <f t="shared" ref="F17:F48" si="1">D17-E17</f>
        <v>0</v>
      </c>
      <c r="G17" s="580">
        <f>VLOOKUP(B17,'App.2-B_Fixed Asset Cont - 2006'!$C$16:$G$46,5,$B$16:$B$46)</f>
        <v>0</v>
      </c>
      <c r="H17" s="27">
        <f t="shared" ref="H17:H48" si="2">F17+0.5*G17</f>
        <v>0</v>
      </c>
      <c r="I17" s="613"/>
      <c r="J17" s="157" t="str">
        <f t="shared" ref="J17:J48" si="3">IF(I17=0,"",1/I17)</f>
        <v/>
      </c>
      <c r="K17" s="158" t="str">
        <f t="shared" si="0"/>
        <v/>
      </c>
      <c r="L17" s="517"/>
      <c r="M17" s="615">
        <f>VLOOKUP(B17,'App.2-B_Fixed Asset Cont - 2006'!$C$16:$L$46,10,$B$16:$B$46)</f>
        <v>0</v>
      </c>
    </row>
    <row r="18" spans="2:13" x14ac:dyDescent="0.2">
      <c r="B18" s="148">
        <v>1810</v>
      </c>
      <c r="C18" s="2" t="s">
        <v>579</v>
      </c>
      <c r="D18" s="580">
        <f>VLOOKUP(B18,'App.2-B_Fixed Asset Cont - 2006'!$C$16:$G$46,4,$B$16:$B$46)</f>
        <v>0</v>
      </c>
      <c r="E18" s="175"/>
      <c r="F18" s="27">
        <f t="shared" si="1"/>
        <v>0</v>
      </c>
      <c r="G18" s="580">
        <f>VLOOKUP(B18,'App.2-B_Fixed Asset Cont - 2006'!$C$16:$G$46,5,$B$16:$B$46)</f>
        <v>0</v>
      </c>
      <c r="H18" s="27">
        <f t="shared" si="2"/>
        <v>0</v>
      </c>
      <c r="I18" s="613"/>
      <c r="J18" s="157" t="str">
        <f t="shared" si="3"/>
        <v/>
      </c>
      <c r="K18" s="158" t="str">
        <f t="shared" si="0"/>
        <v/>
      </c>
      <c r="L18" s="517"/>
      <c r="M18" s="615">
        <f>VLOOKUP(B18,'App.2-B_Fixed Asset Cont - 2006'!$C$16:$L$46,10,$B$16:$B$46)</f>
        <v>0</v>
      </c>
    </row>
    <row r="19" spans="2:13" x14ac:dyDescent="0.2">
      <c r="B19" s="148">
        <v>1815</v>
      </c>
      <c r="C19" s="2" t="s">
        <v>538</v>
      </c>
      <c r="D19" s="580">
        <f>VLOOKUP(B19,'App.2-B_Fixed Asset Cont - 2006'!$C$16:$G$46,4,$B$16:$B$46)</f>
        <v>0</v>
      </c>
      <c r="E19" s="175"/>
      <c r="F19" s="27">
        <f t="shared" si="1"/>
        <v>0</v>
      </c>
      <c r="G19" s="580">
        <f>VLOOKUP(B19,'App.2-B_Fixed Asset Cont - 2006'!$C$16:$G$46,5,$B$16:$B$46)</f>
        <v>0</v>
      </c>
      <c r="H19" s="27">
        <f t="shared" si="2"/>
        <v>0</v>
      </c>
      <c r="I19" s="613"/>
      <c r="J19" s="157" t="str">
        <f t="shared" si="3"/>
        <v/>
      </c>
      <c r="K19" s="158" t="str">
        <f t="shared" si="0"/>
        <v/>
      </c>
      <c r="L19" s="517"/>
      <c r="M19" s="615">
        <f>VLOOKUP(B19,'App.2-B_Fixed Asset Cont - 2006'!$C$16:$L$46,10,$B$16:$B$46)</f>
        <v>0</v>
      </c>
    </row>
    <row r="20" spans="2:13" x14ac:dyDescent="0.2">
      <c r="B20" s="465">
        <v>1820</v>
      </c>
      <c r="C20" s="456" t="s">
        <v>462</v>
      </c>
      <c r="D20" s="580">
        <f>VLOOKUP(B20,'App.2-B_Fixed Asset Cont - 2006'!$C$16:$G$46,4,$B$16:$B$46)</f>
        <v>142098.48000000001</v>
      </c>
      <c r="E20" s="580">
        <v>140549.23000000001</v>
      </c>
      <c r="F20" s="27">
        <f t="shared" si="1"/>
        <v>1549.25</v>
      </c>
      <c r="G20" s="580">
        <f>VLOOKUP(B20,'App.2-B_Fixed Asset Cont - 2006'!$C$16:$G$46,5,$B$16:$B$46)</f>
        <v>0</v>
      </c>
      <c r="H20" s="27">
        <f t="shared" si="2"/>
        <v>1549.25</v>
      </c>
      <c r="I20" s="614">
        <f>1/VLOOKUP(B20,'App.2-B_Fixed Asset Cont - 2006'!$C$16:$G$46,3,$B$16:$B$46)</f>
        <v>25</v>
      </c>
      <c r="J20" s="157">
        <f t="shared" si="3"/>
        <v>0.04</v>
      </c>
      <c r="K20" s="145">
        <f t="shared" si="0"/>
        <v>61.97</v>
      </c>
      <c r="L20" s="517" t="s">
        <v>780</v>
      </c>
      <c r="M20" s="615">
        <f>VLOOKUP(B20,'App.2-B_Fixed Asset Cont - 2006'!$C$16:$L$46,10,$B$16:$B$46)</f>
        <v>61.97</v>
      </c>
    </row>
    <row r="21" spans="2:13" x14ac:dyDescent="0.2">
      <c r="B21" s="465">
        <v>1825</v>
      </c>
      <c r="C21" s="456" t="s">
        <v>539</v>
      </c>
      <c r="D21" s="580">
        <f>VLOOKUP(B21,'App.2-B_Fixed Asset Cont - 2006'!$C$16:$G$46,4,$B$16:$B$46)</f>
        <v>0</v>
      </c>
      <c r="E21" s="580"/>
      <c r="F21" s="27">
        <f t="shared" si="1"/>
        <v>0</v>
      </c>
      <c r="G21" s="580">
        <f>VLOOKUP(B21,'App.2-B_Fixed Asset Cont - 2006'!$C$16:$G$46,5,$B$16:$B$46)</f>
        <v>0</v>
      </c>
      <c r="H21" s="27">
        <f t="shared" si="2"/>
        <v>0</v>
      </c>
      <c r="I21" s="614"/>
      <c r="J21" s="157" t="str">
        <f t="shared" si="3"/>
        <v/>
      </c>
      <c r="K21" s="145" t="str">
        <f t="shared" si="0"/>
        <v/>
      </c>
      <c r="L21" s="517"/>
      <c r="M21" s="615">
        <f>VLOOKUP(B21,'App.2-B_Fixed Asset Cont - 2006'!$C$16:$L$46,10,$B$16:$B$46)</f>
        <v>0</v>
      </c>
    </row>
    <row r="22" spans="2:13" x14ac:dyDescent="0.2">
      <c r="B22" s="465">
        <v>1830</v>
      </c>
      <c r="C22" s="456" t="s">
        <v>540</v>
      </c>
      <c r="D22" s="580">
        <f>VLOOKUP(B22,'App.2-B_Fixed Asset Cont - 2006'!$C$16:$G$46,4,$B$16:$B$46)</f>
        <v>444429.93</v>
      </c>
      <c r="E22" s="580">
        <v>0.68000000001120497</v>
      </c>
      <c r="F22" s="27">
        <f t="shared" si="1"/>
        <v>444429.25</v>
      </c>
      <c r="G22" s="580">
        <f>VLOOKUP(B22,'App.2-B_Fixed Asset Cont - 2006'!$C$16:$G$46,5,$B$16:$B$46)</f>
        <v>27725.5</v>
      </c>
      <c r="H22" s="27">
        <f t="shared" si="2"/>
        <v>458292</v>
      </c>
      <c r="I22" s="614">
        <f>1/VLOOKUP(B22,'App.2-B_Fixed Asset Cont - 2006'!$C$16:$G$46,3,$B$16:$B$46)</f>
        <v>25</v>
      </c>
      <c r="J22" s="157">
        <f t="shared" si="3"/>
        <v>0.04</v>
      </c>
      <c r="K22" s="145">
        <f t="shared" si="0"/>
        <v>18331.68</v>
      </c>
      <c r="L22" s="517" t="s">
        <v>780</v>
      </c>
      <c r="M22" s="615">
        <f>VLOOKUP(B22,'App.2-B_Fixed Asset Cont - 2006'!$C$16:$L$46,10,$B$16:$B$46)</f>
        <v>18331.68</v>
      </c>
    </row>
    <row r="23" spans="2:13" x14ac:dyDescent="0.2">
      <c r="B23" s="465">
        <v>1835</v>
      </c>
      <c r="C23" s="456" t="s">
        <v>463</v>
      </c>
      <c r="D23" s="580">
        <f>VLOOKUP(B23,'App.2-B_Fixed Asset Cont - 2006'!$C$16:$G$46,4,$B$16:$B$46)</f>
        <v>5439115.3700000001</v>
      </c>
      <c r="E23" s="580">
        <v>128694.86000000034</v>
      </c>
      <c r="F23" s="27">
        <f t="shared" si="1"/>
        <v>5310420.51</v>
      </c>
      <c r="G23" s="580">
        <f>VLOOKUP(B23,'App.2-B_Fixed Asset Cont - 2006'!$C$16:$G$46,5,$B$16:$B$46)</f>
        <v>72103.48</v>
      </c>
      <c r="H23" s="27">
        <f t="shared" si="2"/>
        <v>5346472.25</v>
      </c>
      <c r="I23" s="614">
        <f>1/VLOOKUP(B23,'App.2-B_Fixed Asset Cont - 2006'!$C$16:$G$46,3,$B$16:$B$46)</f>
        <v>25</v>
      </c>
      <c r="J23" s="157">
        <f t="shared" si="3"/>
        <v>0.04</v>
      </c>
      <c r="K23" s="145">
        <f t="shared" si="0"/>
        <v>213858.89</v>
      </c>
      <c r="L23" s="517" t="s">
        <v>780</v>
      </c>
      <c r="M23" s="615">
        <f>VLOOKUP(B23,'App.2-B_Fixed Asset Cont - 2006'!$C$16:$L$46,10,$B$16:$B$46)</f>
        <v>213858.89</v>
      </c>
    </row>
    <row r="24" spans="2:13" x14ac:dyDescent="0.2">
      <c r="B24" s="465">
        <v>1840</v>
      </c>
      <c r="C24" s="456" t="s">
        <v>464</v>
      </c>
      <c r="D24" s="580">
        <f>VLOOKUP(B24,'App.2-B_Fixed Asset Cont - 2006'!$C$16:$G$46,4,$B$16:$B$46)</f>
        <v>488017.23</v>
      </c>
      <c r="E24" s="580">
        <v>3.0000000060681487E-2</v>
      </c>
      <c r="F24" s="27">
        <f t="shared" si="1"/>
        <v>488017.1999999999</v>
      </c>
      <c r="G24" s="580">
        <f>VLOOKUP(B24,'App.2-B_Fixed Asset Cont - 2006'!$C$16:$G$46,5,$B$16:$B$46)</f>
        <v>131979.6</v>
      </c>
      <c r="H24" s="27">
        <f t="shared" si="2"/>
        <v>554006.99999999988</v>
      </c>
      <c r="I24" s="614">
        <f>1/VLOOKUP(B24,'App.2-B_Fixed Asset Cont - 2006'!$C$16:$G$46,3,$B$16:$B$46)</f>
        <v>25</v>
      </c>
      <c r="J24" s="157">
        <f t="shared" si="3"/>
        <v>0.04</v>
      </c>
      <c r="K24" s="145">
        <f t="shared" si="0"/>
        <v>22160.279999999995</v>
      </c>
      <c r="L24" s="517" t="s">
        <v>780</v>
      </c>
      <c r="M24" s="615">
        <f>VLOOKUP(B24,'App.2-B_Fixed Asset Cont - 2006'!$C$16:$L$46,10,$B$16:$B$46)</f>
        <v>22160.28</v>
      </c>
    </row>
    <row r="25" spans="2:13" x14ac:dyDescent="0.2">
      <c r="B25" s="465">
        <v>1845</v>
      </c>
      <c r="C25" s="456" t="s">
        <v>465</v>
      </c>
      <c r="D25" s="580">
        <f>VLOOKUP(B25,'App.2-B_Fixed Asset Cont - 2006'!$C$16:$G$46,4,$B$16:$B$46)</f>
        <v>6156447.1100000003</v>
      </c>
      <c r="E25" s="580">
        <v>429880.12000000017</v>
      </c>
      <c r="F25" s="27">
        <f t="shared" si="1"/>
        <v>5726566.9900000002</v>
      </c>
      <c r="G25" s="580">
        <f>VLOOKUP(B25,'App.2-B_Fixed Asset Cont - 2006'!$C$16:$G$46,5,$B$16:$B$46)</f>
        <v>207934.52</v>
      </c>
      <c r="H25" s="27">
        <f t="shared" si="2"/>
        <v>5830534.25</v>
      </c>
      <c r="I25" s="614">
        <f>1/VLOOKUP(B25,'App.2-B_Fixed Asset Cont - 2006'!$C$16:$G$46,3,$B$16:$B$46)</f>
        <v>25</v>
      </c>
      <c r="J25" s="157">
        <f t="shared" si="3"/>
        <v>0.04</v>
      </c>
      <c r="K25" s="145">
        <f t="shared" si="0"/>
        <v>233221.37</v>
      </c>
      <c r="L25" s="517" t="s">
        <v>780</v>
      </c>
      <c r="M25" s="615">
        <f>VLOOKUP(B25,'App.2-B_Fixed Asset Cont - 2006'!$C$16:$L$46,10,$B$16:$B$46)</f>
        <v>233221.37</v>
      </c>
    </row>
    <row r="26" spans="2:13" x14ac:dyDescent="0.2">
      <c r="B26" s="465">
        <v>1850</v>
      </c>
      <c r="C26" s="456" t="s">
        <v>541</v>
      </c>
      <c r="D26" s="580">
        <f>VLOOKUP(B26,'App.2-B_Fixed Asset Cont - 2006'!$C$16:$G$46,4,$B$16:$B$46)</f>
        <v>4411293.93</v>
      </c>
      <c r="E26" s="580">
        <v>718546.00500000012</v>
      </c>
      <c r="F26" s="27">
        <f t="shared" si="1"/>
        <v>3692747.9249999998</v>
      </c>
      <c r="G26" s="580">
        <f>VLOOKUP(B26,'App.2-B_Fixed Asset Cont - 2006'!$C$16:$G$46,5,$B$16:$B$46)</f>
        <v>56484.65</v>
      </c>
      <c r="H26" s="27">
        <f t="shared" si="2"/>
        <v>3720990.25</v>
      </c>
      <c r="I26" s="614">
        <f>1/VLOOKUP(B26,'App.2-B_Fixed Asset Cont - 2006'!$C$16:$G$46,3,$B$16:$B$46)</f>
        <v>25</v>
      </c>
      <c r="J26" s="157">
        <f t="shared" si="3"/>
        <v>0.04</v>
      </c>
      <c r="K26" s="145">
        <f t="shared" si="0"/>
        <v>148839.60999999999</v>
      </c>
      <c r="L26" s="517" t="s">
        <v>780</v>
      </c>
      <c r="M26" s="615">
        <f>VLOOKUP(B26,'App.2-B_Fixed Asset Cont - 2006'!$C$16:$L$46,10,$B$16:$B$46)</f>
        <v>148839.60999999999</v>
      </c>
    </row>
    <row r="27" spans="2:13" x14ac:dyDescent="0.2">
      <c r="B27" s="465">
        <v>1855</v>
      </c>
      <c r="C27" s="456" t="s">
        <v>481</v>
      </c>
      <c r="D27" s="580">
        <f>VLOOKUP(B27,'App.2-B_Fixed Asset Cont - 2006'!$C$16:$G$46,4,$B$16:$B$46)</f>
        <v>235736.65</v>
      </c>
      <c r="E27" s="580">
        <v>-3.0000000015206751E-2</v>
      </c>
      <c r="F27" s="27">
        <f t="shared" si="1"/>
        <v>235736.68000000002</v>
      </c>
      <c r="G27" s="580">
        <f>VLOOKUP(B27,'App.2-B_Fixed Asset Cont - 2006'!$C$16:$G$46,5,$B$16:$B$46)</f>
        <v>88092.14</v>
      </c>
      <c r="H27" s="27">
        <f t="shared" si="2"/>
        <v>279782.75</v>
      </c>
      <c r="I27" s="614">
        <f>1/VLOOKUP(B27,'App.2-B_Fixed Asset Cont - 2006'!$C$16:$G$46,3,$B$16:$B$46)</f>
        <v>25</v>
      </c>
      <c r="J27" s="157">
        <f t="shared" si="3"/>
        <v>0.04</v>
      </c>
      <c r="K27" s="145">
        <f t="shared" si="0"/>
        <v>11191.31</v>
      </c>
      <c r="L27" s="517" t="s">
        <v>780</v>
      </c>
      <c r="M27" s="615">
        <f>VLOOKUP(B27,'App.2-B_Fixed Asset Cont - 2006'!$C$16:$L$46,10,$B$16:$B$46)</f>
        <v>11191.31</v>
      </c>
    </row>
    <row r="28" spans="2:13" x14ac:dyDescent="0.2">
      <c r="B28" s="465">
        <v>1860</v>
      </c>
      <c r="C28" s="456" t="s">
        <v>542</v>
      </c>
      <c r="D28" s="580">
        <f>VLOOKUP(B28,'App.2-B_Fixed Asset Cont - 2006'!$C$16:$G$46,4,$B$16:$B$46)</f>
        <v>879822.03</v>
      </c>
      <c r="E28" s="580">
        <v>879822.0149999999</v>
      </c>
      <c r="F28" s="27">
        <f t="shared" si="1"/>
        <v>1.500000013038516E-2</v>
      </c>
      <c r="G28" s="580">
        <f>VLOOKUP(B28,'App.2-B_Fixed Asset Cont - 2006'!$C$16:$G$46,5,$B$16:$B$46)</f>
        <v>52061.47</v>
      </c>
      <c r="H28" s="27">
        <f t="shared" si="2"/>
        <v>26030.750000000131</v>
      </c>
      <c r="I28" s="614">
        <f>1/VLOOKUP(B28,'App.2-B_Fixed Asset Cont - 2006'!$C$16:$G$46,3,$B$16:$B$46)</f>
        <v>25</v>
      </c>
      <c r="J28" s="157">
        <f t="shared" si="3"/>
        <v>0.04</v>
      </c>
      <c r="K28" s="145">
        <f t="shared" si="0"/>
        <v>1041.2300000000052</v>
      </c>
      <c r="L28" s="517" t="s">
        <v>780</v>
      </c>
      <c r="M28" s="615">
        <f>VLOOKUP(B28,'App.2-B_Fixed Asset Cont - 2006'!$C$16:$L$46,10,$B$16:$B$46)</f>
        <v>1041.23</v>
      </c>
    </row>
    <row r="29" spans="2:13" x14ac:dyDescent="0.2">
      <c r="B29" s="465">
        <v>1905</v>
      </c>
      <c r="C29" s="456" t="s">
        <v>536</v>
      </c>
      <c r="D29" s="580">
        <f>VLOOKUP(B29,'App.2-B_Fixed Asset Cont - 2006'!$C$16:$G$46,4,$B$16:$B$46)</f>
        <v>154265.01999999999</v>
      </c>
      <c r="E29" s="580"/>
      <c r="F29" s="27">
        <f t="shared" si="1"/>
        <v>154265.01999999999</v>
      </c>
      <c r="G29" s="580">
        <f>VLOOKUP(B29,'App.2-B_Fixed Asset Cont - 2006'!$C$16:$G$46,5,$B$16:$B$46)</f>
        <v>17500</v>
      </c>
      <c r="H29" s="27">
        <f t="shared" si="2"/>
        <v>163015.01999999999</v>
      </c>
      <c r="I29" s="614"/>
      <c r="J29" s="157" t="str">
        <f t="shared" si="3"/>
        <v/>
      </c>
      <c r="K29" s="145" t="str">
        <f t="shared" si="0"/>
        <v/>
      </c>
      <c r="L29" s="517"/>
      <c r="M29" s="615">
        <f>VLOOKUP(B29,'App.2-B_Fixed Asset Cont - 2006'!$C$16:$L$46,10,$B$16:$B$46)</f>
        <v>0</v>
      </c>
    </row>
    <row r="30" spans="2:13" x14ac:dyDescent="0.2">
      <c r="B30" s="465">
        <v>1906</v>
      </c>
      <c r="C30" s="456" t="s">
        <v>545</v>
      </c>
      <c r="D30" s="580">
        <f>VLOOKUP(B30,'App.2-B_Fixed Asset Cont - 2006'!$C$16:$G$46,4,$B$16:$B$46)</f>
        <v>2724.73</v>
      </c>
      <c r="E30" s="580">
        <v>2724.73</v>
      </c>
      <c r="F30" s="27">
        <f t="shared" si="1"/>
        <v>0</v>
      </c>
      <c r="G30" s="580">
        <f>VLOOKUP(B30,'App.2-B_Fixed Asset Cont - 2006'!$C$16:$G$46,5,$B$16:$B$46)</f>
        <v>0</v>
      </c>
      <c r="H30" s="27">
        <f t="shared" si="2"/>
        <v>0</v>
      </c>
      <c r="I30" s="614">
        <f>1/VLOOKUP(B30,'App.2-B_Fixed Asset Cont - 2006'!$C$16:$G$46,3,$B$16:$B$46)</f>
        <v>50</v>
      </c>
      <c r="J30" s="157">
        <f t="shared" si="3"/>
        <v>0.02</v>
      </c>
      <c r="K30" s="145">
        <f t="shared" si="0"/>
        <v>0</v>
      </c>
      <c r="L30" s="517"/>
      <c r="M30" s="615">
        <f>VLOOKUP(B30,'App.2-B_Fixed Asset Cont - 2006'!$C$16:$L$46,10,$B$16:$B$46)</f>
        <v>0</v>
      </c>
    </row>
    <row r="31" spans="2:13" x14ac:dyDescent="0.2">
      <c r="B31" s="465">
        <v>1908</v>
      </c>
      <c r="C31" s="456" t="s">
        <v>546</v>
      </c>
      <c r="D31" s="580">
        <f>VLOOKUP(B31,'App.2-B_Fixed Asset Cont - 2006'!$C$16:$G$46,4,$B$16:$B$46)</f>
        <v>791546.86</v>
      </c>
      <c r="E31" s="580">
        <v>621316.36</v>
      </c>
      <c r="F31" s="27">
        <f t="shared" si="1"/>
        <v>170230.5</v>
      </c>
      <c r="G31" s="580">
        <f>VLOOKUP(B31,'App.2-B_Fixed Asset Cont - 2006'!$C$16:$G$46,5,$B$16:$B$46)</f>
        <v>0</v>
      </c>
      <c r="H31" s="27">
        <f t="shared" si="2"/>
        <v>170230.5</v>
      </c>
      <c r="I31" s="614">
        <f>1/VLOOKUP(B31,'App.2-B_Fixed Asset Cont - 2006'!$C$16:$G$46,3,$B$16:$B$46)</f>
        <v>10</v>
      </c>
      <c r="J31" s="157">
        <f t="shared" si="3"/>
        <v>0.1</v>
      </c>
      <c r="K31" s="145">
        <f t="shared" si="0"/>
        <v>17023.05</v>
      </c>
      <c r="L31" s="517" t="s">
        <v>780</v>
      </c>
      <c r="M31" s="615">
        <f>VLOOKUP(B31,'App.2-B_Fixed Asset Cont - 2006'!$C$16:$L$46,10,$B$16:$B$46)</f>
        <v>17023.05</v>
      </c>
    </row>
    <row r="32" spans="2:13" x14ac:dyDescent="0.2">
      <c r="B32" s="465">
        <v>1910</v>
      </c>
      <c r="C32" s="456" t="s">
        <v>579</v>
      </c>
      <c r="D32" s="580">
        <f>VLOOKUP(B32,'App.2-B_Fixed Asset Cont - 2006'!$C$16:$G$46,4,$B$16:$B$46)</f>
        <v>0</v>
      </c>
      <c r="E32" s="580"/>
      <c r="F32" s="27">
        <f t="shared" si="1"/>
        <v>0</v>
      </c>
      <c r="G32" s="580">
        <f>VLOOKUP(B32,'App.2-B_Fixed Asset Cont - 2006'!$C$16:$G$46,5,$B$16:$B$46)</f>
        <v>0</v>
      </c>
      <c r="H32" s="27">
        <f t="shared" si="2"/>
        <v>0</v>
      </c>
      <c r="I32" s="614"/>
      <c r="J32" s="157" t="str">
        <f t="shared" si="3"/>
        <v/>
      </c>
      <c r="K32" s="145" t="str">
        <f t="shared" si="0"/>
        <v/>
      </c>
      <c r="L32" s="517"/>
      <c r="M32" s="615">
        <f>VLOOKUP(B32,'App.2-B_Fixed Asset Cont - 2006'!$C$16:$L$46,10,$B$16:$B$46)</f>
        <v>0</v>
      </c>
    </row>
    <row r="33" spans="2:13" x14ac:dyDescent="0.2">
      <c r="B33" s="465">
        <v>1915</v>
      </c>
      <c r="C33" s="608" t="s">
        <v>750</v>
      </c>
      <c r="D33" s="580">
        <f>VLOOKUP(B33,'App.2-B_Fixed Asset Cont - 2006'!$C$16:$G$46,4,$B$16:$B$46)</f>
        <v>199499.47</v>
      </c>
      <c r="E33" s="580">
        <v>140520.99000000002</v>
      </c>
      <c r="F33" s="27">
        <f t="shared" si="1"/>
        <v>58978.479999999981</v>
      </c>
      <c r="G33" s="580">
        <f>VLOOKUP(B33,'App.2-B_Fixed Asset Cont - 2006'!$C$16:$G$46,5,$B$16:$B$46)</f>
        <v>9953.84</v>
      </c>
      <c r="H33" s="27">
        <f t="shared" si="2"/>
        <v>63955.39999999998</v>
      </c>
      <c r="I33" s="614">
        <f>1/VLOOKUP(B33,'App.2-B_Fixed Asset Cont - 2006'!$C$16:$G$46,3,$B$16:$B$46)</f>
        <v>10</v>
      </c>
      <c r="J33" s="157">
        <f t="shared" si="3"/>
        <v>0.1</v>
      </c>
      <c r="K33" s="145">
        <f t="shared" si="0"/>
        <v>6395.5399999999981</v>
      </c>
      <c r="L33" s="517" t="s">
        <v>780</v>
      </c>
      <c r="M33" s="615">
        <f>VLOOKUP(B33,'App.2-B_Fixed Asset Cont - 2006'!$C$16:$L$46,10,$B$16:$B$46)</f>
        <v>6395.54</v>
      </c>
    </row>
    <row r="34" spans="2:13" x14ac:dyDescent="0.2">
      <c r="B34" s="465">
        <v>1920</v>
      </c>
      <c r="C34" s="456" t="s">
        <v>470</v>
      </c>
      <c r="D34" s="580">
        <f>VLOOKUP(B34,'App.2-B_Fixed Asset Cont - 2006'!$C$16:$G$46,4,$B$16:$B$46)</f>
        <v>277477.64</v>
      </c>
      <c r="E34" s="580">
        <v>168312.09000000003</v>
      </c>
      <c r="F34" s="27">
        <f t="shared" si="1"/>
        <v>109165.54999999999</v>
      </c>
      <c r="G34" s="580">
        <f>VLOOKUP(B34,'App.2-B_Fixed Asset Cont - 2006'!$C$16:$G$46,5,$B$16:$B$46)</f>
        <v>3979.8</v>
      </c>
      <c r="H34" s="27">
        <f t="shared" si="2"/>
        <v>111155.44999999998</v>
      </c>
      <c r="I34" s="614">
        <f>1/VLOOKUP(B34,'App.2-B_Fixed Asset Cont - 2006'!$C$16:$G$46,3,$B$16:$B$46)</f>
        <v>5</v>
      </c>
      <c r="J34" s="157">
        <f t="shared" si="3"/>
        <v>0.2</v>
      </c>
      <c r="K34" s="145">
        <f t="shared" si="0"/>
        <v>22231.089999999997</v>
      </c>
      <c r="L34" s="517" t="s">
        <v>780</v>
      </c>
      <c r="M34" s="615">
        <f>VLOOKUP(B34,'App.2-B_Fixed Asset Cont - 2006'!$C$16:$L$46,10,$B$16:$B$46)</f>
        <v>22231.09</v>
      </c>
    </row>
    <row r="35" spans="2:13" x14ac:dyDescent="0.2">
      <c r="B35" s="465">
        <v>1925</v>
      </c>
      <c r="C35" s="456" t="s">
        <v>563</v>
      </c>
      <c r="D35" s="580">
        <f>VLOOKUP(B35,'App.2-B_Fixed Asset Cont - 2006'!$C$16:$G$46,4,$B$16:$B$46)</f>
        <v>57699.83</v>
      </c>
      <c r="E35" s="580">
        <v>14476.530000000002</v>
      </c>
      <c r="F35" s="27">
        <f t="shared" si="1"/>
        <v>43223.3</v>
      </c>
      <c r="G35" s="580">
        <f>VLOOKUP(B35,'App.2-B_Fixed Asset Cont - 2006'!$C$16:$G$46,5,$B$16:$B$46)</f>
        <v>0</v>
      </c>
      <c r="H35" s="27">
        <f t="shared" si="2"/>
        <v>43223.3</v>
      </c>
      <c r="I35" s="614">
        <f>1/VLOOKUP(B35,'App.2-B_Fixed Asset Cont - 2006'!$C$16:$G$46,3,$B$16:$B$46)</f>
        <v>5</v>
      </c>
      <c r="J35" s="157">
        <f t="shared" si="3"/>
        <v>0.2</v>
      </c>
      <c r="K35" s="145">
        <f t="shared" si="0"/>
        <v>8644.66</v>
      </c>
      <c r="L35" s="517" t="s">
        <v>780</v>
      </c>
      <c r="M35" s="615">
        <f>VLOOKUP(B35,'App.2-B_Fixed Asset Cont - 2006'!$C$16:$L$46,10,$B$16:$B$46)</f>
        <v>8644.66</v>
      </c>
    </row>
    <row r="36" spans="2:13" x14ac:dyDescent="0.2">
      <c r="B36" s="465">
        <v>1930</v>
      </c>
      <c r="C36" s="456" t="s">
        <v>564</v>
      </c>
      <c r="D36" s="580">
        <f>VLOOKUP(B36,'App.2-B_Fixed Asset Cont - 2006'!$C$16:$G$46,4,$B$16:$B$46)</f>
        <v>1393824.56</v>
      </c>
      <c r="E36" s="580">
        <v>1081528.7200000002</v>
      </c>
      <c r="F36" s="27">
        <f t="shared" si="1"/>
        <v>312295.83999999985</v>
      </c>
      <c r="G36" s="580">
        <f>VLOOKUP(B36,'App.2-B_Fixed Asset Cont - 2006'!$C$16:$G$46,5,$B$16:$B$46)</f>
        <v>16095.68</v>
      </c>
      <c r="H36" s="27">
        <f t="shared" si="2"/>
        <v>320343.67999999988</v>
      </c>
      <c r="I36" s="614">
        <f>1/VLOOKUP(B36,'App.2-B_Fixed Asset Cont - 2006'!$C$16:$G$46,3,$B$16:$B$46)</f>
        <v>8</v>
      </c>
      <c r="J36" s="157">
        <f t="shared" si="3"/>
        <v>0.125</v>
      </c>
      <c r="K36" s="145">
        <f t="shared" si="0"/>
        <v>40042.959999999985</v>
      </c>
      <c r="L36" s="517" t="s">
        <v>780</v>
      </c>
      <c r="M36" s="615">
        <f>VLOOKUP(B36,'App.2-B_Fixed Asset Cont - 2006'!$C$16:$L$46,10,$B$16:$B$46)</f>
        <v>40042.959999999999</v>
      </c>
    </row>
    <row r="37" spans="2:13" x14ac:dyDescent="0.2">
      <c r="B37" s="465">
        <v>1935</v>
      </c>
      <c r="C37" s="456" t="s">
        <v>565</v>
      </c>
      <c r="D37" s="580">
        <f>VLOOKUP(B37,'App.2-B_Fixed Asset Cont - 2006'!$C$16:$G$46,4,$B$16:$B$46)</f>
        <v>0</v>
      </c>
      <c r="E37" s="580"/>
      <c r="F37" s="27">
        <f t="shared" si="1"/>
        <v>0</v>
      </c>
      <c r="G37" s="580">
        <f>VLOOKUP(B37,'App.2-B_Fixed Asset Cont - 2006'!$C$16:$G$46,5,$B$16:$B$46)</f>
        <v>0</v>
      </c>
      <c r="H37" s="27">
        <f t="shared" si="2"/>
        <v>0</v>
      </c>
      <c r="I37" s="614"/>
      <c r="J37" s="157" t="str">
        <f t="shared" si="3"/>
        <v/>
      </c>
      <c r="K37" s="145" t="str">
        <f t="shared" si="0"/>
        <v/>
      </c>
      <c r="L37" s="517"/>
      <c r="M37" s="615">
        <f>VLOOKUP(B37,'App.2-B_Fixed Asset Cont - 2006'!$C$16:$L$46,10,$B$16:$B$46)</f>
        <v>0</v>
      </c>
    </row>
    <row r="38" spans="2:13" x14ac:dyDescent="0.2">
      <c r="B38" s="465">
        <v>1940</v>
      </c>
      <c r="C38" s="456" t="s">
        <v>566</v>
      </c>
      <c r="D38" s="580">
        <f>VLOOKUP(B38,'App.2-B_Fixed Asset Cont - 2006'!$C$16:$G$46,4,$B$16:$B$46)</f>
        <v>304043.57</v>
      </c>
      <c r="E38" s="580">
        <v>243995.63499999998</v>
      </c>
      <c r="F38" s="27">
        <f t="shared" si="1"/>
        <v>60047.935000000027</v>
      </c>
      <c r="G38" s="580">
        <f>VLOOKUP(B38,'App.2-B_Fixed Asset Cont - 2006'!$C$16:$G$46,5,$B$16:$B$46)</f>
        <v>8255.1299999999992</v>
      </c>
      <c r="H38" s="27">
        <f t="shared" si="2"/>
        <v>64175.500000000029</v>
      </c>
      <c r="I38" s="614">
        <f>1/VLOOKUP(B38,'App.2-B_Fixed Asset Cont - 2006'!$C$16:$G$46,3,$B$16:$B$46)</f>
        <v>10</v>
      </c>
      <c r="J38" s="157">
        <f t="shared" si="3"/>
        <v>0.1</v>
      </c>
      <c r="K38" s="145">
        <f t="shared" si="0"/>
        <v>6417.5500000000029</v>
      </c>
      <c r="L38" s="517" t="s">
        <v>780</v>
      </c>
      <c r="M38" s="615">
        <f>VLOOKUP(B38,'App.2-B_Fixed Asset Cont - 2006'!$C$16:$L$46,10,$B$16:$B$46)</f>
        <v>6417.55</v>
      </c>
    </row>
    <row r="39" spans="2:13" x14ac:dyDescent="0.2">
      <c r="B39" s="465">
        <v>1945</v>
      </c>
      <c r="C39" s="456" t="s">
        <v>567</v>
      </c>
      <c r="D39" s="580">
        <f>VLOOKUP(B39,'App.2-B_Fixed Asset Cont - 2006'!$C$16:$G$46,4,$B$16:$B$46)</f>
        <v>0</v>
      </c>
      <c r="E39" s="580"/>
      <c r="F39" s="27">
        <f t="shared" si="1"/>
        <v>0</v>
      </c>
      <c r="G39" s="580">
        <f>VLOOKUP(B39,'App.2-B_Fixed Asset Cont - 2006'!$C$16:$G$46,5,$B$16:$B$46)</f>
        <v>0</v>
      </c>
      <c r="H39" s="27">
        <f t="shared" si="2"/>
        <v>0</v>
      </c>
      <c r="I39" s="614"/>
      <c r="J39" s="157" t="str">
        <f t="shared" si="3"/>
        <v/>
      </c>
      <c r="K39" s="145" t="str">
        <f t="shared" si="0"/>
        <v/>
      </c>
      <c r="L39" s="517"/>
      <c r="M39" s="615">
        <f>VLOOKUP(B39,'App.2-B_Fixed Asset Cont - 2006'!$C$16:$L$46,10,$B$16:$B$46)</f>
        <v>0</v>
      </c>
    </row>
    <row r="40" spans="2:13" x14ac:dyDescent="0.2">
      <c r="B40" s="465">
        <v>1950</v>
      </c>
      <c r="C40" s="456" t="s">
        <v>473</v>
      </c>
      <c r="D40" s="580">
        <f>VLOOKUP(B40,'App.2-B_Fixed Asset Cont - 2006'!$C$16:$G$46,4,$B$16:$B$46)</f>
        <v>0</v>
      </c>
      <c r="E40" s="580"/>
      <c r="F40" s="27">
        <f t="shared" si="1"/>
        <v>0</v>
      </c>
      <c r="G40" s="580">
        <f>VLOOKUP(B40,'App.2-B_Fixed Asset Cont - 2006'!$C$16:$G$46,5,$B$16:$B$46)</f>
        <v>0</v>
      </c>
      <c r="H40" s="27">
        <f t="shared" si="2"/>
        <v>0</v>
      </c>
      <c r="I40" s="614"/>
      <c r="J40" s="157" t="str">
        <f t="shared" si="3"/>
        <v/>
      </c>
      <c r="K40" s="145" t="str">
        <f t="shared" si="0"/>
        <v/>
      </c>
      <c r="L40" s="517"/>
      <c r="M40" s="615">
        <f>VLOOKUP(B40,'App.2-B_Fixed Asset Cont - 2006'!$C$16:$L$46,10,$B$16:$B$46)</f>
        <v>0</v>
      </c>
    </row>
    <row r="41" spans="2:13" x14ac:dyDescent="0.2">
      <c r="B41" s="465">
        <v>1955</v>
      </c>
      <c r="C41" s="456" t="s">
        <v>568</v>
      </c>
      <c r="D41" s="580">
        <f>VLOOKUP(B41,'App.2-B_Fixed Asset Cont - 2006'!$C$16:$G$46,4,$B$16:$B$46)</f>
        <v>22009</v>
      </c>
      <c r="E41" s="580">
        <v>8135.6000000000013</v>
      </c>
      <c r="F41" s="27">
        <f>D41-E41</f>
        <v>13873.399999999998</v>
      </c>
      <c r="G41" s="580">
        <f>VLOOKUP(B41,'App.2-B_Fixed Asset Cont - 2006'!$C$16:$G$46,5,$B$16:$B$46)</f>
        <v>2595</v>
      </c>
      <c r="H41" s="27">
        <f t="shared" si="2"/>
        <v>15170.899999999998</v>
      </c>
      <c r="I41" s="614">
        <f>1/VLOOKUP(B41,'App.2-B_Fixed Asset Cont - 2006'!$C$16:$G$46,3,$B$16:$B$46)</f>
        <v>10</v>
      </c>
      <c r="J41" s="157">
        <f t="shared" si="3"/>
        <v>0.1</v>
      </c>
      <c r="K41" s="145">
        <f t="shared" si="0"/>
        <v>1517.0899999999997</v>
      </c>
      <c r="L41" s="517" t="s">
        <v>780</v>
      </c>
      <c r="M41" s="615">
        <f>VLOOKUP(B41,'App.2-B_Fixed Asset Cont - 2006'!$C$16:$L$46,10,$B$16:$B$46)</f>
        <v>1517.09</v>
      </c>
    </row>
    <row r="42" spans="2:13" x14ac:dyDescent="0.2">
      <c r="B42" s="465">
        <v>1960</v>
      </c>
      <c r="C42" s="456" t="s">
        <v>475</v>
      </c>
      <c r="D42" s="580">
        <f>VLOOKUP(B42,'App.2-B_Fixed Asset Cont - 2006'!$C$16:$G$46,4,$B$16:$B$46)</f>
        <v>0</v>
      </c>
      <c r="E42" s="580"/>
      <c r="F42" s="27">
        <f t="shared" si="1"/>
        <v>0</v>
      </c>
      <c r="G42" s="580">
        <f>VLOOKUP(B42,'App.2-B_Fixed Asset Cont - 2006'!$C$16:$G$46,5,$B$16:$B$46)</f>
        <v>0</v>
      </c>
      <c r="H42" s="27">
        <f t="shared" si="2"/>
        <v>0</v>
      </c>
      <c r="I42" s="614"/>
      <c r="J42" s="157" t="str">
        <f t="shared" si="3"/>
        <v/>
      </c>
      <c r="K42" s="145" t="str">
        <f t="shared" ref="K42:K48" si="4">IF(I42=0,"",H42/I42)</f>
        <v/>
      </c>
      <c r="L42" s="517"/>
      <c r="M42" s="615">
        <f>VLOOKUP(B42,'App.2-B_Fixed Asset Cont - 2006'!$C$16:$L$46,10,$B$16:$B$46)</f>
        <v>0</v>
      </c>
    </row>
    <row r="43" spans="2:13" x14ac:dyDescent="0.2">
      <c r="B43" s="465">
        <v>1975</v>
      </c>
      <c r="C43" s="456" t="s">
        <v>569</v>
      </c>
      <c r="D43" s="580">
        <f>VLOOKUP(B43,'App.2-B_Fixed Asset Cont - 2006'!$C$16:$G$46,4,$B$16:$B$46)</f>
        <v>0</v>
      </c>
      <c r="E43" s="580"/>
      <c r="F43" s="27">
        <f t="shared" si="1"/>
        <v>0</v>
      </c>
      <c r="G43" s="580">
        <f>VLOOKUP(B43,'App.2-B_Fixed Asset Cont - 2006'!$C$16:$G$46,5,$B$16:$B$46)</f>
        <v>0</v>
      </c>
      <c r="H43" s="27">
        <f t="shared" si="2"/>
        <v>0</v>
      </c>
      <c r="I43" s="614"/>
      <c r="J43" s="157" t="str">
        <f t="shared" si="3"/>
        <v/>
      </c>
      <c r="K43" s="145" t="str">
        <f t="shared" si="4"/>
        <v/>
      </c>
      <c r="L43" s="517"/>
      <c r="M43" s="615">
        <f>VLOOKUP(B43,'App.2-B_Fixed Asset Cont - 2006'!$C$16:$L$46,10,$B$16:$B$46)</f>
        <v>0</v>
      </c>
    </row>
    <row r="44" spans="2:13" x14ac:dyDescent="0.2">
      <c r="B44" s="465">
        <v>1980</v>
      </c>
      <c r="C44" s="456" t="s">
        <v>570</v>
      </c>
      <c r="D44" s="580">
        <f>VLOOKUP(B44,'App.2-B_Fixed Asset Cont - 2006'!$C$16:$G$46,4,$B$16:$B$46)</f>
        <v>0</v>
      </c>
      <c r="E44" s="580"/>
      <c r="F44" s="27">
        <f t="shared" si="1"/>
        <v>0</v>
      </c>
      <c r="G44" s="580">
        <f>VLOOKUP(B44,'App.2-B_Fixed Asset Cont - 2006'!$C$16:$G$46,5,$B$16:$B$46)</f>
        <v>0</v>
      </c>
      <c r="H44" s="27">
        <f t="shared" si="2"/>
        <v>0</v>
      </c>
      <c r="I44" s="614"/>
      <c r="J44" s="157" t="str">
        <f t="shared" si="3"/>
        <v/>
      </c>
      <c r="K44" s="145" t="str">
        <f t="shared" si="4"/>
        <v/>
      </c>
      <c r="L44" s="517"/>
      <c r="M44" s="615">
        <f>VLOOKUP(B44,'App.2-B_Fixed Asset Cont - 2006'!$C$16:$L$46,10,$B$16:$B$46)</f>
        <v>0</v>
      </c>
    </row>
    <row r="45" spans="2:13" x14ac:dyDescent="0.2">
      <c r="B45" s="465">
        <v>1985</v>
      </c>
      <c r="C45" s="456" t="s">
        <v>571</v>
      </c>
      <c r="D45" s="580">
        <f>VLOOKUP(B45,'App.2-B_Fixed Asset Cont - 2006'!$C$16:$G$46,4,$B$16:$B$46)</f>
        <v>0</v>
      </c>
      <c r="E45" s="580">
        <v>0</v>
      </c>
      <c r="F45" s="27">
        <f t="shared" si="1"/>
        <v>0</v>
      </c>
      <c r="G45" s="580">
        <f>VLOOKUP(B45,'App.2-B_Fixed Asset Cont - 2006'!$C$16:$G$46,5,$B$16:$B$46)</f>
        <v>0</v>
      </c>
      <c r="H45" s="27">
        <f t="shared" si="2"/>
        <v>0</v>
      </c>
      <c r="I45" s="614">
        <f>1/VLOOKUP(B45,'App.2-B_Fixed Asset Cont - 2006'!$C$16:$G$46,3,$B$16:$B$46)</f>
        <v>10</v>
      </c>
      <c r="J45" s="157">
        <f t="shared" si="3"/>
        <v>0.1</v>
      </c>
      <c r="K45" s="145">
        <f t="shared" si="4"/>
        <v>0</v>
      </c>
      <c r="L45" s="517"/>
      <c r="M45" s="615">
        <f>VLOOKUP(B45,'App.2-B_Fixed Asset Cont - 2006'!$C$16:$L$46,10,$B$16:$B$46)</f>
        <v>0</v>
      </c>
    </row>
    <row r="46" spans="2:13" x14ac:dyDescent="0.2">
      <c r="B46" s="465">
        <v>1995</v>
      </c>
      <c r="C46" s="456" t="s">
        <v>572</v>
      </c>
      <c r="D46" s="580">
        <f>VLOOKUP(B46,'App.2-B_Fixed Asset Cont - 2006'!$C$16:$G$46,4,$B$16:$B$46)</f>
        <v>-2473860.0699999998</v>
      </c>
      <c r="E46" s="580">
        <v>38144.659999999931</v>
      </c>
      <c r="F46" s="615">
        <f t="shared" si="1"/>
        <v>-2512004.73</v>
      </c>
      <c r="G46" s="580">
        <f>VLOOKUP(B46,'App.2-B_Fixed Asset Cont - 2006'!$C$16:$G$46,5,$B$16:$B$46)</f>
        <v>-391998.04</v>
      </c>
      <c r="H46" s="615">
        <f t="shared" si="2"/>
        <v>-2708003.75</v>
      </c>
      <c r="I46" s="614">
        <f>1/VLOOKUP(B46,'App.2-B_Fixed Asset Cont - 2006'!$C$16:$G$46,3,$B$16:$B$46)</f>
        <v>25</v>
      </c>
      <c r="J46" s="157">
        <f t="shared" si="3"/>
        <v>0.04</v>
      </c>
      <c r="K46" s="615">
        <f t="shared" si="4"/>
        <v>-108320.15</v>
      </c>
      <c r="L46" s="517" t="s">
        <v>780</v>
      </c>
      <c r="M46" s="615">
        <f>VLOOKUP(B46,'App.2-B_Fixed Asset Cont - 2006'!$C$16:$L$46,10,$B$16:$B$46)</f>
        <v>-108320.15</v>
      </c>
    </row>
    <row r="47" spans="2:13" x14ac:dyDescent="0.2">
      <c r="B47" s="465" t="s">
        <v>636</v>
      </c>
      <c r="C47" s="456"/>
      <c r="D47" s="580"/>
      <c r="E47" s="175"/>
      <c r="F47" s="157">
        <f t="shared" si="1"/>
        <v>0</v>
      </c>
      <c r="G47" s="175"/>
      <c r="H47" s="27">
        <f t="shared" si="2"/>
        <v>0</v>
      </c>
      <c r="I47" s="176"/>
      <c r="J47" s="157" t="str">
        <f t="shared" si="3"/>
        <v/>
      </c>
      <c r="K47" s="616" t="str">
        <f t="shared" si="4"/>
        <v/>
      </c>
      <c r="L47" s="517"/>
    </row>
    <row r="48" spans="2:13" ht="13.5" thickBot="1" x14ac:dyDescent="0.25">
      <c r="B48" s="466"/>
      <c r="C48" s="467"/>
      <c r="D48" s="171"/>
      <c r="E48" s="171"/>
      <c r="F48" s="520">
        <f t="shared" si="1"/>
        <v>0</v>
      </c>
      <c r="G48" s="171"/>
      <c r="H48" s="611">
        <f t="shared" si="2"/>
        <v>0</v>
      </c>
      <c r="I48" s="519"/>
      <c r="J48" s="520" t="str">
        <f t="shared" si="3"/>
        <v/>
      </c>
      <c r="K48" s="521" t="str">
        <f t="shared" si="4"/>
        <v/>
      </c>
      <c r="L48" s="518"/>
    </row>
    <row r="49" spans="2:13" ht="14.25" thickTop="1" thickBot="1" x14ac:dyDescent="0.25">
      <c r="B49" s="468"/>
      <c r="C49" s="469" t="s">
        <v>573</v>
      </c>
      <c r="D49" s="167">
        <f>SUM(D16:D48)</f>
        <v>18928303.339999996</v>
      </c>
      <c r="E49" s="167">
        <f>SUM(E16:E48)</f>
        <v>4616648.2249999996</v>
      </c>
      <c r="F49" s="303">
        <f>D49-E49</f>
        <v>14311655.114999996</v>
      </c>
      <c r="G49" s="27">
        <f>SUM(G16:G48)</f>
        <v>302762.77000000008</v>
      </c>
      <c r="H49" s="303">
        <f>F49+0.5*G49</f>
        <v>14463036.499999996</v>
      </c>
      <c r="I49" s="617"/>
      <c r="J49" s="303"/>
      <c r="K49" s="308">
        <f>SUM(K16:K48)</f>
        <v>642658.13000000012</v>
      </c>
      <c r="L49" s="464"/>
      <c r="M49" s="308">
        <f>SUM(M16:M48)</f>
        <v>642658.13000000012</v>
      </c>
    </row>
    <row r="50" spans="2:13" ht="7.5" customHeight="1" x14ac:dyDescent="0.2"/>
    <row r="51" spans="2:13" x14ac:dyDescent="0.2">
      <c r="B51" s="52" t="s">
        <v>639</v>
      </c>
      <c r="C51" s="389"/>
      <c r="D51" s="389"/>
      <c r="E51" s="389"/>
      <c r="F51" s="389"/>
      <c r="G51" s="389"/>
      <c r="H51" s="612"/>
      <c r="I51" s="389"/>
      <c r="J51" s="389"/>
      <c r="K51" s="389"/>
    </row>
    <row r="52" spans="2:13" ht="7.5" customHeight="1" x14ac:dyDescent="0.2">
      <c r="B52" s="389"/>
      <c r="C52" s="389"/>
      <c r="D52" s="389"/>
      <c r="E52" s="389"/>
      <c r="F52" s="389"/>
      <c r="G52" s="389"/>
      <c r="H52" s="612"/>
      <c r="I52" s="389"/>
      <c r="J52" s="389"/>
      <c r="K52" s="389"/>
    </row>
    <row r="53" spans="2:13" x14ac:dyDescent="0.2">
      <c r="B53" s="760" t="s">
        <v>192</v>
      </c>
      <c r="C53" s="761"/>
      <c r="D53" s="761"/>
      <c r="E53" s="761"/>
      <c r="F53" s="761"/>
      <c r="G53" s="761"/>
      <c r="H53" s="761"/>
      <c r="I53" s="761"/>
      <c r="J53" s="761"/>
    </row>
    <row r="54" spans="2:13" ht="26.25" customHeight="1" x14ac:dyDescent="0.2">
      <c r="B54" s="760" t="s">
        <v>193</v>
      </c>
      <c r="C54" s="761"/>
      <c r="D54" s="761"/>
      <c r="E54" s="761"/>
      <c r="F54" s="761"/>
      <c r="G54" s="761"/>
      <c r="H54" s="761"/>
      <c r="I54" s="761"/>
      <c r="J54" s="761"/>
    </row>
    <row r="55" spans="2:13" x14ac:dyDescent="0.2">
      <c r="B55" s="762" t="s">
        <v>194</v>
      </c>
      <c r="C55" s="763"/>
      <c r="D55" s="763"/>
      <c r="E55" s="763"/>
      <c r="F55" s="763"/>
      <c r="G55" s="763"/>
      <c r="H55" s="763"/>
      <c r="I55" s="763"/>
      <c r="J55" s="763"/>
    </row>
    <row r="56" spans="2:13" ht="19.5" customHeight="1" x14ac:dyDescent="0.2">
      <c r="B56" s="763"/>
      <c r="C56" s="763"/>
      <c r="D56" s="763"/>
      <c r="E56" s="763"/>
      <c r="F56" s="763"/>
      <c r="G56" s="763"/>
      <c r="H56" s="763"/>
      <c r="I56" s="763"/>
      <c r="J56" s="763"/>
    </row>
    <row r="57" spans="2:13" ht="3" customHeight="1" x14ac:dyDescent="0.2">
      <c r="B57" s="389"/>
      <c r="C57" s="389"/>
      <c r="D57" s="389"/>
      <c r="E57" s="389"/>
      <c r="F57" s="389"/>
      <c r="G57" s="389"/>
      <c r="H57" s="612"/>
      <c r="I57" s="389"/>
      <c r="J57" s="389"/>
      <c r="K57" s="389"/>
    </row>
    <row r="58" spans="2:13" x14ac:dyDescent="0.2">
      <c r="B58" s="52" t="s">
        <v>482</v>
      </c>
      <c r="C58" s="764" t="s">
        <v>419</v>
      </c>
      <c r="D58" s="764"/>
      <c r="E58" s="764"/>
      <c r="F58" s="764"/>
      <c r="G58" s="764"/>
      <c r="H58" s="764"/>
      <c r="I58" s="764"/>
      <c r="J58" s="764"/>
      <c r="K58" s="764"/>
    </row>
    <row r="59" spans="2:13" x14ac:dyDescent="0.2">
      <c r="B59" s="389"/>
      <c r="C59" s="764"/>
      <c r="D59" s="764"/>
      <c r="E59" s="764"/>
      <c r="F59" s="764"/>
      <c r="G59" s="764"/>
      <c r="H59" s="764"/>
      <c r="I59" s="764"/>
      <c r="J59" s="764"/>
      <c r="K59" s="764"/>
    </row>
    <row r="60" spans="2:13" x14ac:dyDescent="0.2">
      <c r="B60" s="389"/>
      <c r="C60" s="764"/>
      <c r="D60" s="764"/>
      <c r="E60" s="764"/>
      <c r="F60" s="764"/>
      <c r="G60" s="764"/>
      <c r="H60" s="764"/>
      <c r="I60" s="764"/>
      <c r="J60" s="764"/>
      <c r="K60" s="764"/>
    </row>
  </sheetData>
  <mergeCells count="9">
    <mergeCell ref="B9:K9"/>
    <mergeCell ref="B14:B15"/>
    <mergeCell ref="C14:C15"/>
    <mergeCell ref="B10:K10"/>
    <mergeCell ref="L14:L15"/>
    <mergeCell ref="B54:J54"/>
    <mergeCell ref="B55:J56"/>
    <mergeCell ref="C58:K60"/>
    <mergeCell ref="B53:J53"/>
  </mergeCells>
  <phoneticPr fontId="3" type="noConversion"/>
  <dataValidations count="2">
    <dataValidation allowBlank="1" showInputMessage="1" showErrorMessage="1" promptTitle="Date Format" prompt="E.g:  &quot;August 1, 2011&quot;" sqref="K7"/>
    <dataValidation type="list" allowBlank="1" showInputMessage="1" showErrorMessage="1" sqref="L16:L48">
      <formula1>"Yes, No"</formula1>
    </dataValidation>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1:M60"/>
  <sheetViews>
    <sheetView showGridLines="0" topLeftCell="A26" zoomScaleNormal="100" workbookViewId="0">
      <selection activeCell="Q24" sqref="Q24"/>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2007</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- 2007'!$C$16:$G$46,4,$B$16:$B$46)</f>
        <v>2112</v>
      </c>
      <c r="E16" s="175"/>
      <c r="F16" s="27">
        <f>D16-E16</f>
        <v>2112</v>
      </c>
      <c r="G16" s="580">
        <f>VLOOKUP(B16,'App.2-B_Fixed Asset Cont - 2007'!$C$16:$G$46,5,$B$16:$B$46)</f>
        <v>0</v>
      </c>
      <c r="H16" s="27">
        <f>F16+0.5*G16</f>
        <v>2112</v>
      </c>
      <c r="I16" s="613"/>
      <c r="J16" s="157" t="str">
        <f>IF(I16=0,"",1/I16)</f>
        <v/>
      </c>
      <c r="K16" s="158" t="str">
        <f t="shared" ref="K16:K48" si="0">IF(I16=0,"",H16/I16)</f>
        <v/>
      </c>
      <c r="L16" s="517"/>
      <c r="M16" s="615">
        <f>VLOOKUP(B16,'App.2-B_Fixed Asset Cont - 2007'!$C$16:$L$46,10,$B$16:$B$46)</f>
        <v>0</v>
      </c>
    </row>
    <row r="17" spans="2:13" x14ac:dyDescent="0.2">
      <c r="B17" s="148">
        <v>1808</v>
      </c>
      <c r="C17" s="2" t="s">
        <v>537</v>
      </c>
      <c r="D17" s="580">
        <f>VLOOKUP(B17,'App.2-B_Fixed Asset Cont - 2007'!$C$16:$G$46,4,$B$16:$B$46)</f>
        <v>0</v>
      </c>
      <c r="E17" s="175"/>
      <c r="F17" s="27">
        <f t="shared" ref="F17:F48" si="1">D17-E17</f>
        <v>0</v>
      </c>
      <c r="G17" s="580">
        <f>VLOOKUP(B17,'App.2-B_Fixed Asset Cont - 2007'!$C$16:$G$46,5,$B$16:$B$46)</f>
        <v>0</v>
      </c>
      <c r="H17" s="27">
        <f t="shared" ref="H17:H48" si="2">F17+0.5*G17</f>
        <v>0</v>
      </c>
      <c r="I17" s="613"/>
      <c r="J17" s="157" t="str">
        <f t="shared" ref="J17:J48" si="3">IF(I17=0,"",1/I17)</f>
        <v/>
      </c>
      <c r="K17" s="158" t="str">
        <f t="shared" si="0"/>
        <v/>
      </c>
      <c r="L17" s="517"/>
      <c r="M17" s="615">
        <f>VLOOKUP(B17,'App.2-B_Fixed Asset Cont - 2007'!$C$16:$L$46,10,$B$16:$B$46)</f>
        <v>0</v>
      </c>
    </row>
    <row r="18" spans="2:13" x14ac:dyDescent="0.2">
      <c r="B18" s="148">
        <v>1810</v>
      </c>
      <c r="C18" s="2" t="s">
        <v>579</v>
      </c>
      <c r="D18" s="580">
        <f>VLOOKUP(B18,'App.2-B_Fixed Asset Cont - 2007'!$C$16:$G$46,4,$B$16:$B$46)</f>
        <v>0</v>
      </c>
      <c r="E18" s="175"/>
      <c r="F18" s="27">
        <f t="shared" si="1"/>
        <v>0</v>
      </c>
      <c r="G18" s="580">
        <f>VLOOKUP(B18,'App.2-B_Fixed Asset Cont - 2007'!$C$16:$G$46,5,$B$16:$B$46)</f>
        <v>0</v>
      </c>
      <c r="H18" s="27">
        <f t="shared" si="2"/>
        <v>0</v>
      </c>
      <c r="I18" s="613"/>
      <c r="J18" s="157" t="str">
        <f t="shared" si="3"/>
        <v/>
      </c>
      <c r="K18" s="158" t="str">
        <f t="shared" si="0"/>
        <v/>
      </c>
      <c r="L18" s="517"/>
      <c r="M18" s="615">
        <f>VLOOKUP(B18,'App.2-B_Fixed Asset Cont - 2007'!$C$16:$L$46,10,$B$16:$B$46)</f>
        <v>0</v>
      </c>
    </row>
    <row r="19" spans="2:13" x14ac:dyDescent="0.2">
      <c r="B19" s="148">
        <v>1815</v>
      </c>
      <c r="C19" s="2" t="s">
        <v>538</v>
      </c>
      <c r="D19" s="580">
        <f>VLOOKUP(B19,'App.2-B_Fixed Asset Cont - 2007'!$C$16:$G$46,4,$B$16:$B$46)</f>
        <v>0</v>
      </c>
      <c r="E19" s="175"/>
      <c r="F19" s="27">
        <f t="shared" si="1"/>
        <v>0</v>
      </c>
      <c r="G19" s="580">
        <f>VLOOKUP(B19,'App.2-B_Fixed Asset Cont - 2007'!$C$16:$G$46,5,$B$16:$B$46)</f>
        <v>0</v>
      </c>
      <c r="H19" s="27">
        <f t="shared" si="2"/>
        <v>0</v>
      </c>
      <c r="I19" s="613"/>
      <c r="J19" s="157" t="str">
        <f t="shared" si="3"/>
        <v/>
      </c>
      <c r="K19" s="158" t="str">
        <f t="shared" si="0"/>
        <v/>
      </c>
      <c r="L19" s="517"/>
      <c r="M19" s="615">
        <f>VLOOKUP(B19,'App.2-B_Fixed Asset Cont - 2007'!$C$16:$L$46,10,$B$16:$B$46)</f>
        <v>0</v>
      </c>
    </row>
    <row r="20" spans="2:13" x14ac:dyDescent="0.2">
      <c r="B20" s="465">
        <v>1820</v>
      </c>
      <c r="C20" s="456" t="s">
        <v>462</v>
      </c>
      <c r="D20" s="580">
        <f>VLOOKUP(B20,'App.2-B_Fixed Asset Cont - 2007'!$C$16:$G$46,4,$B$16:$B$46)</f>
        <v>142098.48000000001</v>
      </c>
      <c r="E20" s="580">
        <v>140549.23000000001</v>
      </c>
      <c r="F20" s="27">
        <f t="shared" si="1"/>
        <v>1549.25</v>
      </c>
      <c r="G20" s="580">
        <f>VLOOKUP(B20,'App.2-B_Fixed Asset Cont - 2007'!$C$16:$G$46,5,$B$16:$B$46)</f>
        <v>0</v>
      </c>
      <c r="H20" s="27">
        <f t="shared" si="2"/>
        <v>1549.25</v>
      </c>
      <c r="I20" s="614">
        <f>1/VLOOKUP(B20,'App.2-B_Fixed Asset Cont - 2007'!$C$16:$G$46,3,$B$16:$B$46)</f>
        <v>25</v>
      </c>
      <c r="J20" s="157">
        <f t="shared" si="3"/>
        <v>0.04</v>
      </c>
      <c r="K20" s="145">
        <f t="shared" si="0"/>
        <v>61.97</v>
      </c>
      <c r="L20" s="517" t="s">
        <v>780</v>
      </c>
      <c r="M20" s="615">
        <f>VLOOKUP(B20,'App.2-B_Fixed Asset Cont - 2007'!$C$16:$L$46,10,$B$16:$B$46)</f>
        <v>61.97</v>
      </c>
    </row>
    <row r="21" spans="2:13" x14ac:dyDescent="0.2">
      <c r="B21" s="465">
        <v>1825</v>
      </c>
      <c r="C21" s="456" t="s">
        <v>539</v>
      </c>
      <c r="D21" s="580">
        <f>VLOOKUP(B21,'App.2-B_Fixed Asset Cont - 2007'!$C$16:$G$46,4,$B$16:$B$46)</f>
        <v>0</v>
      </c>
      <c r="E21" s="580"/>
      <c r="F21" s="27">
        <f t="shared" si="1"/>
        <v>0</v>
      </c>
      <c r="G21" s="580">
        <f>VLOOKUP(B21,'App.2-B_Fixed Asset Cont - 2007'!$C$16:$G$46,5,$B$16:$B$46)</f>
        <v>0</v>
      </c>
      <c r="H21" s="27">
        <f t="shared" si="2"/>
        <v>0</v>
      </c>
      <c r="I21" s="614"/>
      <c r="J21" s="157" t="str">
        <f t="shared" si="3"/>
        <v/>
      </c>
      <c r="K21" s="145" t="str">
        <f t="shared" si="0"/>
        <v/>
      </c>
      <c r="L21" s="517"/>
      <c r="M21" s="615">
        <f>VLOOKUP(B21,'App.2-B_Fixed Asset Cont - 2007'!$C$16:$L$46,10,$B$16:$B$46)</f>
        <v>0</v>
      </c>
    </row>
    <row r="22" spans="2:13" x14ac:dyDescent="0.2">
      <c r="B22" s="465">
        <v>1830</v>
      </c>
      <c r="C22" s="456" t="s">
        <v>540</v>
      </c>
      <c r="D22" s="580">
        <f>VLOOKUP(B22,'App.2-B_Fixed Asset Cont - 2007'!$C$16:$G$46,4,$B$16:$B$46)</f>
        <v>472155.43</v>
      </c>
      <c r="E22" s="580">
        <v>0.54499999996551196</v>
      </c>
      <c r="F22" s="27">
        <f t="shared" si="1"/>
        <v>472154.88500000001</v>
      </c>
      <c r="G22" s="580">
        <f>VLOOKUP(B22,'App.2-B_Fixed Asset Cont - 2007'!$C$16:$G$46,5,$B$16:$B$46)</f>
        <v>97064.23</v>
      </c>
      <c r="H22" s="27">
        <f t="shared" si="2"/>
        <v>520687</v>
      </c>
      <c r="I22" s="614">
        <f>1/VLOOKUP(B22,'App.2-B_Fixed Asset Cont - 2007'!$C$16:$G$46,3,$B$16:$B$46)</f>
        <v>25</v>
      </c>
      <c r="J22" s="157">
        <f t="shared" si="3"/>
        <v>0.04</v>
      </c>
      <c r="K22" s="145">
        <f t="shared" si="0"/>
        <v>20827.48</v>
      </c>
      <c r="L22" s="517" t="s">
        <v>780</v>
      </c>
      <c r="M22" s="615">
        <f>VLOOKUP(B22,'App.2-B_Fixed Asset Cont - 2007'!$C$16:$L$46,10,$B$16:$B$46)</f>
        <v>20827.48</v>
      </c>
    </row>
    <row r="23" spans="2:13" x14ac:dyDescent="0.2">
      <c r="B23" s="465">
        <v>1835</v>
      </c>
      <c r="C23" s="456" t="s">
        <v>463</v>
      </c>
      <c r="D23" s="580">
        <f>VLOOKUP(B23,'App.2-B_Fixed Asset Cont - 2007'!$C$16:$G$46,4,$B$16:$B$46)</f>
        <v>5511218.8500000006</v>
      </c>
      <c r="E23" s="580">
        <v>128694.85500000083</v>
      </c>
      <c r="F23" s="27">
        <f t="shared" si="1"/>
        <v>5382523.9950000001</v>
      </c>
      <c r="G23" s="580">
        <f>VLOOKUP(B23,'App.2-B_Fixed Asset Cont - 2007'!$C$16:$G$46,5,$B$16:$B$46)</f>
        <v>109425.01</v>
      </c>
      <c r="H23" s="27">
        <f t="shared" si="2"/>
        <v>5437236.5</v>
      </c>
      <c r="I23" s="614">
        <f>1/VLOOKUP(B23,'App.2-B_Fixed Asset Cont - 2007'!$C$16:$G$46,3,$B$16:$B$46)</f>
        <v>25</v>
      </c>
      <c r="J23" s="157">
        <f t="shared" si="3"/>
        <v>0.04</v>
      </c>
      <c r="K23" s="145">
        <f t="shared" si="0"/>
        <v>217489.46</v>
      </c>
      <c r="L23" s="517" t="s">
        <v>780</v>
      </c>
      <c r="M23" s="615">
        <f>VLOOKUP(B23,'App.2-B_Fixed Asset Cont - 2007'!$C$16:$L$46,10,$B$16:$B$46)</f>
        <v>217489.46</v>
      </c>
    </row>
    <row r="24" spans="2:13" x14ac:dyDescent="0.2">
      <c r="B24" s="465">
        <v>1840</v>
      </c>
      <c r="C24" s="456" t="s">
        <v>464</v>
      </c>
      <c r="D24" s="580">
        <f>VLOOKUP(B24,'App.2-B_Fixed Asset Cont - 2007'!$C$16:$G$46,4,$B$16:$B$46)</f>
        <v>619996.82999999996</v>
      </c>
      <c r="E24" s="580">
        <v>1.4999999893916538E-2</v>
      </c>
      <c r="F24" s="27">
        <f t="shared" si="1"/>
        <v>619996.81500000006</v>
      </c>
      <c r="G24" s="580">
        <f>VLOOKUP(B24,'App.2-B_Fixed Asset Cont - 2007'!$C$16:$G$46,5,$B$16:$B$46)</f>
        <v>76103.87</v>
      </c>
      <c r="H24" s="27">
        <f t="shared" si="2"/>
        <v>658048.75</v>
      </c>
      <c r="I24" s="614">
        <f>1/VLOOKUP(B24,'App.2-B_Fixed Asset Cont - 2007'!$C$16:$G$46,3,$B$16:$B$46)</f>
        <v>25</v>
      </c>
      <c r="J24" s="157">
        <f t="shared" si="3"/>
        <v>0.04</v>
      </c>
      <c r="K24" s="145">
        <f t="shared" si="0"/>
        <v>26321.95</v>
      </c>
      <c r="L24" s="517" t="s">
        <v>780</v>
      </c>
      <c r="M24" s="615">
        <f>VLOOKUP(B24,'App.2-B_Fixed Asset Cont - 2007'!$C$16:$L$46,10,$B$16:$B$46)</f>
        <v>26321.95</v>
      </c>
    </row>
    <row r="25" spans="2:13" x14ac:dyDescent="0.2">
      <c r="B25" s="465">
        <v>1845</v>
      </c>
      <c r="C25" s="456" t="s">
        <v>465</v>
      </c>
      <c r="D25" s="580">
        <f>VLOOKUP(B25,'App.2-B_Fixed Asset Cont - 2007'!$C$16:$G$46,4,$B$16:$B$46)</f>
        <v>6364381.6299999999</v>
      </c>
      <c r="E25" s="580">
        <v>429880.22999999957</v>
      </c>
      <c r="F25" s="27">
        <f t="shared" si="1"/>
        <v>5934501.4000000004</v>
      </c>
      <c r="G25" s="580">
        <f>VLOOKUP(B25,'App.2-B_Fixed Asset Cont - 2007'!$C$16:$G$46,5,$B$16:$B$46)</f>
        <v>228186.7</v>
      </c>
      <c r="H25" s="27">
        <f t="shared" si="2"/>
        <v>6048594.75</v>
      </c>
      <c r="I25" s="614">
        <f>1/VLOOKUP(B25,'App.2-B_Fixed Asset Cont - 2007'!$C$16:$G$46,3,$B$16:$B$46)</f>
        <v>25</v>
      </c>
      <c r="J25" s="157">
        <f t="shared" si="3"/>
        <v>0.04</v>
      </c>
      <c r="K25" s="145">
        <f t="shared" si="0"/>
        <v>241943.79</v>
      </c>
      <c r="L25" s="517" t="s">
        <v>780</v>
      </c>
      <c r="M25" s="615">
        <f>VLOOKUP(B25,'App.2-B_Fixed Asset Cont - 2007'!$C$16:$L$46,10,$B$16:$B$46)</f>
        <v>241943.79</v>
      </c>
    </row>
    <row r="26" spans="2:13" x14ac:dyDescent="0.2">
      <c r="B26" s="465">
        <v>1850</v>
      </c>
      <c r="C26" s="456" t="s">
        <v>541</v>
      </c>
      <c r="D26" s="580">
        <f>VLOOKUP(B26,'App.2-B_Fixed Asset Cont - 2007'!$C$16:$G$46,4,$B$16:$B$46)</f>
        <v>4467778.58</v>
      </c>
      <c r="E26" s="580">
        <v>718545.92000000051</v>
      </c>
      <c r="F26" s="27">
        <f t="shared" si="1"/>
        <v>3749232.6599999997</v>
      </c>
      <c r="G26" s="580">
        <f>VLOOKUP(B26,'App.2-B_Fixed Asset Cont - 2007'!$C$16:$G$46,5,$B$16:$B$46)</f>
        <v>487210.68</v>
      </c>
      <c r="H26" s="27">
        <f t="shared" si="2"/>
        <v>3992837.9999999995</v>
      </c>
      <c r="I26" s="614">
        <f>1/VLOOKUP(B26,'App.2-B_Fixed Asset Cont - 2007'!$C$16:$G$46,3,$B$16:$B$46)</f>
        <v>25</v>
      </c>
      <c r="J26" s="157">
        <f t="shared" si="3"/>
        <v>0.04</v>
      </c>
      <c r="K26" s="145">
        <f t="shared" si="0"/>
        <v>159713.51999999999</v>
      </c>
      <c r="L26" s="517" t="s">
        <v>780</v>
      </c>
      <c r="M26" s="615">
        <f>VLOOKUP(B26,'App.2-B_Fixed Asset Cont - 2007'!$C$16:$L$46,10,$B$16:$B$46)</f>
        <v>159713.51999999999</v>
      </c>
    </row>
    <row r="27" spans="2:13" x14ac:dyDescent="0.2">
      <c r="B27" s="465">
        <v>1855</v>
      </c>
      <c r="C27" s="456" t="s">
        <v>481</v>
      </c>
      <c r="D27" s="580">
        <f>VLOOKUP(B27,'App.2-B_Fixed Asset Cont - 2007'!$C$16:$G$46,4,$B$16:$B$46)</f>
        <v>323828.78999999998</v>
      </c>
      <c r="E27" s="580">
        <v>3.9999999989959178E-2</v>
      </c>
      <c r="F27" s="27">
        <f t="shared" si="1"/>
        <v>323828.75</v>
      </c>
      <c r="G27" s="580">
        <f>VLOOKUP(B27,'App.2-B_Fixed Asset Cont - 2007'!$C$16:$G$46,5,$B$16:$B$46)</f>
        <v>88112.5</v>
      </c>
      <c r="H27" s="27">
        <f t="shared" si="2"/>
        <v>367885</v>
      </c>
      <c r="I27" s="614">
        <f>1/VLOOKUP(B27,'App.2-B_Fixed Asset Cont - 2007'!$C$16:$G$46,3,$B$16:$B$46)</f>
        <v>25</v>
      </c>
      <c r="J27" s="157">
        <f t="shared" si="3"/>
        <v>0.04</v>
      </c>
      <c r="K27" s="145">
        <f t="shared" si="0"/>
        <v>14715.4</v>
      </c>
      <c r="L27" s="517" t="s">
        <v>780</v>
      </c>
      <c r="M27" s="615">
        <f>VLOOKUP(B27,'App.2-B_Fixed Asset Cont - 2007'!$C$16:$L$46,10,$B$16:$B$46)</f>
        <v>14715.4</v>
      </c>
    </row>
    <row r="28" spans="2:13" x14ac:dyDescent="0.2">
      <c r="B28" s="465">
        <v>1860</v>
      </c>
      <c r="C28" s="456" t="s">
        <v>542</v>
      </c>
      <c r="D28" s="580">
        <f>VLOOKUP(B28,'App.2-B_Fixed Asset Cont - 2007'!$C$16:$G$46,4,$B$16:$B$46)</f>
        <v>931883.5</v>
      </c>
      <c r="E28" s="580">
        <v>220256.17500000008</v>
      </c>
      <c r="F28" s="27">
        <f t="shared" si="1"/>
        <v>711627.32499999995</v>
      </c>
      <c r="G28" s="580">
        <f>VLOOKUP(B28,'App.2-B_Fixed Asset Cont - 2007'!$C$16:$G$46,5,$B$16:$B$46)</f>
        <v>276450.34999999998</v>
      </c>
      <c r="H28" s="27">
        <f t="shared" si="2"/>
        <v>849852.5</v>
      </c>
      <c r="I28" s="614">
        <f>1/VLOOKUP(B28,'App.2-B_Fixed Asset Cont - 2007'!$C$16:$G$46,3,$B$16:$B$46)</f>
        <v>25</v>
      </c>
      <c r="J28" s="157">
        <f t="shared" si="3"/>
        <v>0.04</v>
      </c>
      <c r="K28" s="145">
        <f t="shared" si="0"/>
        <v>33994.1</v>
      </c>
      <c r="L28" s="517" t="s">
        <v>780</v>
      </c>
      <c r="M28" s="615">
        <f>VLOOKUP(B28,'App.2-B_Fixed Asset Cont - 2007'!$C$16:$L$46,10,$B$16:$B$46)</f>
        <v>33994.1</v>
      </c>
    </row>
    <row r="29" spans="2:13" x14ac:dyDescent="0.2">
      <c r="B29" s="465">
        <v>1905</v>
      </c>
      <c r="C29" s="456" t="s">
        <v>536</v>
      </c>
      <c r="D29" s="580">
        <f>VLOOKUP(B29,'App.2-B_Fixed Asset Cont - 2007'!$C$16:$G$46,4,$B$16:$B$46)</f>
        <v>171765.02</v>
      </c>
      <c r="E29" s="580"/>
      <c r="F29" s="27">
        <f t="shared" si="1"/>
        <v>171765.02</v>
      </c>
      <c r="G29" s="580">
        <f>VLOOKUP(B29,'App.2-B_Fixed Asset Cont - 2007'!$C$16:$G$46,5,$B$16:$B$46)</f>
        <v>0</v>
      </c>
      <c r="H29" s="27">
        <f t="shared" si="2"/>
        <v>171765.02</v>
      </c>
      <c r="I29" s="614"/>
      <c r="J29" s="157" t="str">
        <f t="shared" si="3"/>
        <v/>
      </c>
      <c r="K29" s="145" t="str">
        <f t="shared" si="0"/>
        <v/>
      </c>
      <c r="L29" s="517"/>
      <c r="M29" s="615">
        <f>VLOOKUP(B29,'App.2-B_Fixed Asset Cont - 2007'!$C$16:$L$46,10,$B$16:$B$46)</f>
        <v>0</v>
      </c>
    </row>
    <row r="30" spans="2:13" x14ac:dyDescent="0.2">
      <c r="B30" s="465">
        <v>1906</v>
      </c>
      <c r="C30" s="456" t="s">
        <v>545</v>
      </c>
      <c r="D30" s="580">
        <f>VLOOKUP(B30,'App.2-B_Fixed Asset Cont - 2007'!$C$16:$G$46,4,$B$16:$B$46)</f>
        <v>2544.73</v>
      </c>
      <c r="E30" s="580">
        <v>2544.73</v>
      </c>
      <c r="F30" s="27">
        <f t="shared" si="1"/>
        <v>0</v>
      </c>
      <c r="G30" s="580">
        <f>VLOOKUP(B30,'App.2-B_Fixed Asset Cont - 2007'!$C$16:$G$46,5,$B$16:$B$46)</f>
        <v>0</v>
      </c>
      <c r="H30" s="27">
        <f t="shared" si="2"/>
        <v>0</v>
      </c>
      <c r="I30" s="614">
        <f>1/VLOOKUP(B30,'App.2-B_Fixed Asset Cont - 2007'!$C$16:$G$46,3,$B$16:$B$46)</f>
        <v>50</v>
      </c>
      <c r="J30" s="157">
        <f t="shared" si="3"/>
        <v>0.02</v>
      </c>
      <c r="K30" s="145">
        <f t="shared" si="0"/>
        <v>0</v>
      </c>
      <c r="L30" s="517"/>
      <c r="M30" s="615">
        <f>VLOOKUP(B30,'App.2-B_Fixed Asset Cont - 2007'!$C$16:$L$46,10,$B$16:$B$46)</f>
        <v>0</v>
      </c>
    </row>
    <row r="31" spans="2:13" x14ac:dyDescent="0.2">
      <c r="B31" s="465">
        <v>1908</v>
      </c>
      <c r="C31" s="456" t="s">
        <v>546</v>
      </c>
      <c r="D31" s="580">
        <f>VLOOKUP(B31,'App.2-B_Fixed Asset Cont - 2007'!$C$16:$G$46,4,$B$16:$B$46)</f>
        <v>791546.86</v>
      </c>
      <c r="E31" s="580">
        <v>644308.88500000001</v>
      </c>
      <c r="F31" s="27">
        <f t="shared" si="1"/>
        <v>147237.97499999998</v>
      </c>
      <c r="G31" s="580">
        <f>VLOOKUP(B31,'App.2-B_Fixed Asset Cont - 2007'!$C$16:$G$46,5,$B$16:$B$46)</f>
        <v>57481.25</v>
      </c>
      <c r="H31" s="27">
        <f t="shared" si="2"/>
        <v>175978.59999999998</v>
      </c>
      <c r="I31" s="614">
        <f>1/VLOOKUP(B31,'App.2-B_Fixed Asset Cont - 2007'!$C$16:$G$46,3,$B$16:$B$46)</f>
        <v>10</v>
      </c>
      <c r="J31" s="157">
        <f t="shared" si="3"/>
        <v>0.1</v>
      </c>
      <c r="K31" s="145">
        <f t="shared" si="0"/>
        <v>17597.859999999997</v>
      </c>
      <c r="L31" s="517" t="s">
        <v>780</v>
      </c>
      <c r="M31" s="615">
        <f>VLOOKUP(B31,'App.2-B_Fixed Asset Cont - 2007'!$C$16:$L$46,10,$B$16:$B$46)</f>
        <v>17597.86</v>
      </c>
    </row>
    <row r="32" spans="2:13" x14ac:dyDescent="0.2">
      <c r="B32" s="465">
        <v>1910</v>
      </c>
      <c r="C32" s="456" t="s">
        <v>579</v>
      </c>
      <c r="D32" s="580">
        <f>VLOOKUP(B32,'App.2-B_Fixed Asset Cont - 2007'!$C$16:$G$46,4,$B$16:$B$46)</f>
        <v>0</v>
      </c>
      <c r="E32" s="580"/>
      <c r="F32" s="27">
        <f t="shared" si="1"/>
        <v>0</v>
      </c>
      <c r="G32" s="580">
        <f>VLOOKUP(B32,'App.2-B_Fixed Asset Cont - 2007'!$C$16:$G$46,5,$B$16:$B$46)</f>
        <v>0</v>
      </c>
      <c r="H32" s="27">
        <f t="shared" si="2"/>
        <v>0</v>
      </c>
      <c r="I32" s="614"/>
      <c r="J32" s="157" t="str">
        <f t="shared" si="3"/>
        <v/>
      </c>
      <c r="K32" s="145" t="str">
        <f t="shared" si="0"/>
        <v/>
      </c>
      <c r="L32" s="517"/>
      <c r="M32" s="615">
        <f>VLOOKUP(B32,'App.2-B_Fixed Asset Cont - 2007'!$C$16:$L$46,10,$B$16:$B$46)</f>
        <v>0</v>
      </c>
    </row>
    <row r="33" spans="2:13" x14ac:dyDescent="0.2">
      <c r="B33" s="465">
        <v>1915</v>
      </c>
      <c r="C33" s="608" t="s">
        <v>750</v>
      </c>
      <c r="D33" s="580">
        <f>VLOOKUP(B33,'App.2-B_Fixed Asset Cont - 2007'!$C$16:$G$46,4,$B$16:$B$46)</f>
        <v>209453.31</v>
      </c>
      <c r="E33" s="580">
        <v>140521.02499999999</v>
      </c>
      <c r="F33" s="27">
        <f t="shared" si="1"/>
        <v>68932.285000000003</v>
      </c>
      <c r="G33" s="580">
        <f>VLOOKUP(B33,'App.2-B_Fixed Asset Cont - 2007'!$C$16:$G$46,5,$B$16:$B$46)</f>
        <v>5514.03</v>
      </c>
      <c r="H33" s="27">
        <f t="shared" si="2"/>
        <v>71689.3</v>
      </c>
      <c r="I33" s="614">
        <f>1/VLOOKUP(B33,'App.2-B_Fixed Asset Cont - 2007'!$C$16:$G$46,3,$B$16:$B$46)</f>
        <v>10</v>
      </c>
      <c r="J33" s="157">
        <f t="shared" si="3"/>
        <v>0.1</v>
      </c>
      <c r="K33" s="145">
        <f t="shared" si="0"/>
        <v>7168.93</v>
      </c>
      <c r="L33" s="517" t="s">
        <v>780</v>
      </c>
      <c r="M33" s="615">
        <f>VLOOKUP(B33,'App.2-B_Fixed Asset Cont - 2007'!$C$16:$L$46,10,$B$16:$B$46)</f>
        <v>7168.93</v>
      </c>
    </row>
    <row r="34" spans="2:13" x14ac:dyDescent="0.2">
      <c r="B34" s="465">
        <v>1920</v>
      </c>
      <c r="C34" s="456" t="s">
        <v>470</v>
      </c>
      <c r="D34" s="580">
        <f>VLOOKUP(B34,'App.2-B_Fixed Asset Cont - 2007'!$C$16:$G$46,4,$B$16:$B$46)</f>
        <v>281457.44</v>
      </c>
      <c r="E34" s="580">
        <v>176017.99</v>
      </c>
      <c r="F34" s="27">
        <f t="shared" si="1"/>
        <v>105439.45000000001</v>
      </c>
      <c r="G34" s="580">
        <f>VLOOKUP(B34,'App.2-B_Fixed Asset Cont - 2007'!$C$16:$G$46,5,$B$16:$B$46)</f>
        <v>47140.9</v>
      </c>
      <c r="H34" s="27">
        <f t="shared" si="2"/>
        <v>129009.90000000001</v>
      </c>
      <c r="I34" s="614">
        <f>1/VLOOKUP(B34,'App.2-B_Fixed Asset Cont - 2007'!$C$16:$G$46,3,$B$16:$B$46)</f>
        <v>5</v>
      </c>
      <c r="J34" s="157">
        <f t="shared" si="3"/>
        <v>0.2</v>
      </c>
      <c r="K34" s="145">
        <f t="shared" si="0"/>
        <v>25801.980000000003</v>
      </c>
      <c r="L34" s="517" t="s">
        <v>780</v>
      </c>
      <c r="M34" s="615">
        <f>VLOOKUP(B34,'App.2-B_Fixed Asset Cont - 2007'!$C$16:$L$46,10,$B$16:$B$46)</f>
        <v>25801.98</v>
      </c>
    </row>
    <row r="35" spans="2:13" x14ac:dyDescent="0.2">
      <c r="B35" s="465">
        <v>1925</v>
      </c>
      <c r="C35" s="456" t="s">
        <v>563</v>
      </c>
      <c r="D35" s="580">
        <f>VLOOKUP(B35,'App.2-B_Fixed Asset Cont - 2007'!$C$16:$G$46,4,$B$16:$B$46)</f>
        <v>57699.83</v>
      </c>
      <c r="E35" s="580">
        <v>63138.574999999997</v>
      </c>
      <c r="F35" s="27">
        <f t="shared" si="1"/>
        <v>-5438.7449999999953</v>
      </c>
      <c r="G35" s="580">
        <f>VLOOKUP(B35,'App.2-B_Fixed Asset Cont - 2007'!$C$16:$G$46,5,$B$16:$B$46)</f>
        <v>85691.29</v>
      </c>
      <c r="H35" s="27">
        <f t="shared" si="2"/>
        <v>37406.9</v>
      </c>
      <c r="I35" s="614">
        <f>1/VLOOKUP(B35,'App.2-B_Fixed Asset Cont - 2007'!$C$16:$G$46,3,$B$16:$B$46)</f>
        <v>5</v>
      </c>
      <c r="J35" s="157">
        <f t="shared" si="3"/>
        <v>0.2</v>
      </c>
      <c r="K35" s="145">
        <f t="shared" si="0"/>
        <v>7481.38</v>
      </c>
      <c r="L35" s="517" t="s">
        <v>780</v>
      </c>
      <c r="M35" s="615">
        <f>VLOOKUP(B35,'App.2-B_Fixed Asset Cont - 2007'!$C$16:$L$46,10,$B$16:$B$46)</f>
        <v>7481.38</v>
      </c>
    </row>
    <row r="36" spans="2:13" x14ac:dyDescent="0.2">
      <c r="B36" s="465">
        <v>1930</v>
      </c>
      <c r="C36" s="456" t="s">
        <v>564</v>
      </c>
      <c r="D36" s="580">
        <f>VLOOKUP(B36,'App.2-B_Fixed Asset Cont - 2007'!$C$16:$G$46,4,$B$16:$B$46)</f>
        <v>1409920.24</v>
      </c>
      <c r="E36" s="580">
        <v>1081528.77</v>
      </c>
      <c r="F36" s="27">
        <f t="shared" si="1"/>
        <v>328391.46999999997</v>
      </c>
      <c r="G36" s="580">
        <f>VLOOKUP(B36,'App.2-B_Fixed Asset Cont - 2007'!$C$16:$G$46,5,$B$16:$B$46)</f>
        <v>483870.18</v>
      </c>
      <c r="H36" s="27">
        <f t="shared" si="2"/>
        <v>570326.55999999994</v>
      </c>
      <c r="I36" s="614">
        <f>1/VLOOKUP(B36,'App.2-B_Fixed Asset Cont - 2007'!$C$16:$G$46,3,$B$16:$B$46)</f>
        <v>8</v>
      </c>
      <c r="J36" s="157">
        <f t="shared" si="3"/>
        <v>0.125</v>
      </c>
      <c r="K36" s="145">
        <f t="shared" si="0"/>
        <v>71290.819999999992</v>
      </c>
      <c r="L36" s="517" t="s">
        <v>780</v>
      </c>
      <c r="M36" s="615">
        <f>VLOOKUP(B36,'App.2-B_Fixed Asset Cont - 2007'!$C$16:$L$46,10,$B$16:$B$46)</f>
        <v>71290.820000000007</v>
      </c>
    </row>
    <row r="37" spans="2:13" x14ac:dyDescent="0.2">
      <c r="B37" s="465">
        <v>1935</v>
      </c>
      <c r="C37" s="456" t="s">
        <v>565</v>
      </c>
      <c r="D37" s="580">
        <f>VLOOKUP(B37,'App.2-B_Fixed Asset Cont - 2007'!$C$16:$G$46,4,$B$16:$B$46)</f>
        <v>0</v>
      </c>
      <c r="E37" s="580"/>
      <c r="F37" s="27">
        <f t="shared" si="1"/>
        <v>0</v>
      </c>
      <c r="G37" s="580">
        <f>VLOOKUP(B37,'App.2-B_Fixed Asset Cont - 2007'!$C$16:$G$46,5,$B$16:$B$46)</f>
        <v>0</v>
      </c>
      <c r="H37" s="27">
        <f t="shared" si="2"/>
        <v>0</v>
      </c>
      <c r="I37" s="614"/>
      <c r="J37" s="157" t="str">
        <f t="shared" si="3"/>
        <v/>
      </c>
      <c r="K37" s="145" t="str">
        <f t="shared" si="0"/>
        <v/>
      </c>
      <c r="L37" s="517"/>
      <c r="M37" s="615">
        <f>VLOOKUP(B37,'App.2-B_Fixed Asset Cont - 2007'!$C$16:$L$46,10,$B$16:$B$46)</f>
        <v>0</v>
      </c>
    </row>
    <row r="38" spans="2:13" x14ac:dyDescent="0.2">
      <c r="B38" s="465">
        <v>1940</v>
      </c>
      <c r="C38" s="456" t="s">
        <v>566</v>
      </c>
      <c r="D38" s="580">
        <f>VLOOKUP(B38,'App.2-B_Fixed Asset Cont - 2007'!$C$16:$G$46,4,$B$16:$B$46)</f>
        <v>312298.7</v>
      </c>
      <c r="E38" s="580">
        <v>243995.61000000002</v>
      </c>
      <c r="F38" s="27">
        <f t="shared" si="1"/>
        <v>68303.09</v>
      </c>
      <c r="G38" s="580">
        <f>VLOOKUP(B38,'App.2-B_Fixed Asset Cont - 2007'!$C$16:$G$46,5,$B$16:$B$46)</f>
        <v>12034.62</v>
      </c>
      <c r="H38" s="27">
        <f t="shared" si="2"/>
        <v>74320.399999999994</v>
      </c>
      <c r="I38" s="614">
        <f>1/VLOOKUP(B38,'App.2-B_Fixed Asset Cont - 2007'!$C$16:$G$46,3,$B$16:$B$46)</f>
        <v>10</v>
      </c>
      <c r="J38" s="157">
        <f t="shared" si="3"/>
        <v>0.1</v>
      </c>
      <c r="K38" s="145">
        <f t="shared" si="0"/>
        <v>7432.0399999999991</v>
      </c>
      <c r="L38" s="517" t="s">
        <v>780</v>
      </c>
      <c r="M38" s="615">
        <f>VLOOKUP(B38,'App.2-B_Fixed Asset Cont - 2007'!$C$16:$L$46,10,$B$16:$B$46)</f>
        <v>7432.04</v>
      </c>
    </row>
    <row r="39" spans="2:13" x14ac:dyDescent="0.2">
      <c r="B39" s="465">
        <v>1945</v>
      </c>
      <c r="C39" s="456" t="s">
        <v>567</v>
      </c>
      <c r="D39" s="580">
        <f>VLOOKUP(B39,'App.2-B_Fixed Asset Cont - 2007'!$C$16:$G$46,4,$B$16:$B$46)</f>
        <v>0</v>
      </c>
      <c r="E39" s="580"/>
      <c r="F39" s="27">
        <f t="shared" si="1"/>
        <v>0</v>
      </c>
      <c r="G39" s="580">
        <f>VLOOKUP(B39,'App.2-B_Fixed Asset Cont - 2007'!$C$16:$G$46,5,$B$16:$B$46)</f>
        <v>0</v>
      </c>
      <c r="H39" s="27">
        <f t="shared" si="2"/>
        <v>0</v>
      </c>
      <c r="I39" s="614"/>
      <c r="J39" s="157" t="str">
        <f t="shared" si="3"/>
        <v/>
      </c>
      <c r="K39" s="145" t="str">
        <f t="shared" si="0"/>
        <v/>
      </c>
      <c r="L39" s="517"/>
      <c r="M39" s="615">
        <f>VLOOKUP(B39,'App.2-B_Fixed Asset Cont - 2007'!$C$16:$L$46,10,$B$16:$B$46)</f>
        <v>0</v>
      </c>
    </row>
    <row r="40" spans="2:13" x14ac:dyDescent="0.2">
      <c r="B40" s="465">
        <v>1950</v>
      </c>
      <c r="C40" s="456" t="s">
        <v>473</v>
      </c>
      <c r="D40" s="580">
        <f>VLOOKUP(B40,'App.2-B_Fixed Asset Cont - 2007'!$C$16:$G$46,4,$B$16:$B$46)</f>
        <v>0</v>
      </c>
      <c r="E40" s="580"/>
      <c r="F40" s="27">
        <f t="shared" si="1"/>
        <v>0</v>
      </c>
      <c r="G40" s="580">
        <f>VLOOKUP(B40,'App.2-B_Fixed Asset Cont - 2007'!$C$16:$G$46,5,$B$16:$B$46)</f>
        <v>0</v>
      </c>
      <c r="H40" s="27">
        <f t="shared" si="2"/>
        <v>0</v>
      </c>
      <c r="I40" s="614"/>
      <c r="J40" s="157" t="str">
        <f t="shared" si="3"/>
        <v/>
      </c>
      <c r="K40" s="145" t="str">
        <f t="shared" si="0"/>
        <v/>
      </c>
      <c r="L40" s="517"/>
      <c r="M40" s="615">
        <f>VLOOKUP(B40,'App.2-B_Fixed Asset Cont - 2007'!$C$16:$L$46,10,$B$16:$B$46)</f>
        <v>0</v>
      </c>
    </row>
    <row r="41" spans="2:13" x14ac:dyDescent="0.2">
      <c r="B41" s="465">
        <v>1955</v>
      </c>
      <c r="C41" s="456" t="s">
        <v>568</v>
      </c>
      <c r="D41" s="580">
        <f>VLOOKUP(B41,'App.2-B_Fixed Asset Cont - 2007'!$C$16:$G$46,4,$B$16:$B$46)</f>
        <v>24604</v>
      </c>
      <c r="E41" s="580">
        <v>24604</v>
      </c>
      <c r="F41" s="27">
        <f>D41-E41</f>
        <v>0</v>
      </c>
      <c r="G41" s="580">
        <f>VLOOKUP(B41,'App.2-B_Fixed Asset Cont - 2007'!$C$16:$G$46,5,$B$16:$B$46)</f>
        <v>0</v>
      </c>
      <c r="H41" s="27">
        <f t="shared" si="2"/>
        <v>0</v>
      </c>
      <c r="I41" s="614">
        <f>1/VLOOKUP(B41,'App.2-B_Fixed Asset Cont - 2007'!$C$16:$G$46,3,$B$16:$B$46)</f>
        <v>10</v>
      </c>
      <c r="J41" s="157">
        <f t="shared" si="3"/>
        <v>0.1</v>
      </c>
      <c r="K41" s="145">
        <f t="shared" si="0"/>
        <v>0</v>
      </c>
      <c r="L41" s="517" t="s">
        <v>780</v>
      </c>
      <c r="M41" s="615">
        <f>VLOOKUP(B41,'App.2-B_Fixed Asset Cont - 2007'!$C$16:$L$46,10,$B$16:$B$46)</f>
        <v>0</v>
      </c>
    </row>
    <row r="42" spans="2:13" x14ac:dyDescent="0.2">
      <c r="B42" s="465">
        <v>1960</v>
      </c>
      <c r="C42" s="456" t="s">
        <v>475</v>
      </c>
      <c r="D42" s="580">
        <f>VLOOKUP(B42,'App.2-B_Fixed Asset Cont - 2007'!$C$16:$G$46,4,$B$16:$B$46)</f>
        <v>0</v>
      </c>
      <c r="E42" s="580"/>
      <c r="F42" s="27">
        <f t="shared" si="1"/>
        <v>0</v>
      </c>
      <c r="G42" s="580">
        <f>VLOOKUP(B42,'App.2-B_Fixed Asset Cont - 2007'!$C$16:$G$46,5,$B$16:$B$46)</f>
        <v>0</v>
      </c>
      <c r="H42" s="27">
        <f t="shared" si="2"/>
        <v>0</v>
      </c>
      <c r="I42" s="614"/>
      <c r="J42" s="157" t="str">
        <f t="shared" si="3"/>
        <v/>
      </c>
      <c r="K42" s="145" t="str">
        <f t="shared" si="0"/>
        <v/>
      </c>
      <c r="L42" s="517"/>
      <c r="M42" s="615">
        <f>VLOOKUP(B42,'App.2-B_Fixed Asset Cont - 2007'!$C$16:$L$46,10,$B$16:$B$46)</f>
        <v>0</v>
      </c>
    </row>
    <row r="43" spans="2:13" x14ac:dyDescent="0.2">
      <c r="B43" s="465">
        <v>1975</v>
      </c>
      <c r="C43" s="456" t="s">
        <v>569</v>
      </c>
      <c r="D43" s="580">
        <f>VLOOKUP(B43,'App.2-B_Fixed Asset Cont - 2007'!$C$16:$G$46,4,$B$16:$B$46)</f>
        <v>0</v>
      </c>
      <c r="E43" s="580"/>
      <c r="F43" s="27">
        <f t="shared" si="1"/>
        <v>0</v>
      </c>
      <c r="G43" s="580">
        <f>VLOOKUP(B43,'App.2-B_Fixed Asset Cont - 2007'!$C$16:$G$46,5,$B$16:$B$46)</f>
        <v>0</v>
      </c>
      <c r="H43" s="27">
        <f t="shared" si="2"/>
        <v>0</v>
      </c>
      <c r="I43" s="614"/>
      <c r="J43" s="157" t="str">
        <f t="shared" si="3"/>
        <v/>
      </c>
      <c r="K43" s="145" t="str">
        <f t="shared" si="0"/>
        <v/>
      </c>
      <c r="L43" s="517"/>
      <c r="M43" s="615">
        <f>VLOOKUP(B43,'App.2-B_Fixed Asset Cont - 2007'!$C$16:$L$46,10,$B$16:$B$46)</f>
        <v>0</v>
      </c>
    </row>
    <row r="44" spans="2:13" x14ac:dyDescent="0.2">
      <c r="B44" s="465">
        <v>1980</v>
      </c>
      <c r="C44" s="456" t="s">
        <v>570</v>
      </c>
      <c r="D44" s="580">
        <f>VLOOKUP(B44,'App.2-B_Fixed Asset Cont - 2007'!$C$16:$G$46,4,$B$16:$B$46)</f>
        <v>0</v>
      </c>
      <c r="E44" s="580"/>
      <c r="F44" s="27">
        <f t="shared" si="1"/>
        <v>0</v>
      </c>
      <c r="G44" s="580">
        <f>VLOOKUP(B44,'App.2-B_Fixed Asset Cont - 2007'!$C$16:$G$46,5,$B$16:$B$46)</f>
        <v>0</v>
      </c>
      <c r="H44" s="27">
        <f t="shared" si="2"/>
        <v>0</v>
      </c>
      <c r="I44" s="614"/>
      <c r="J44" s="157" t="str">
        <f t="shared" si="3"/>
        <v/>
      </c>
      <c r="K44" s="145" t="str">
        <f t="shared" si="0"/>
        <v/>
      </c>
      <c r="L44" s="517"/>
      <c r="M44" s="615">
        <f>VLOOKUP(B44,'App.2-B_Fixed Asset Cont - 2007'!$C$16:$L$46,10,$B$16:$B$46)</f>
        <v>0</v>
      </c>
    </row>
    <row r="45" spans="2:13" x14ac:dyDescent="0.2">
      <c r="B45" s="465">
        <v>1985</v>
      </c>
      <c r="C45" s="456" t="s">
        <v>571</v>
      </c>
      <c r="D45" s="580">
        <f>VLOOKUP(B45,'App.2-B_Fixed Asset Cont - 2007'!$C$16:$G$46,4,$B$16:$B$46)</f>
        <v>0</v>
      </c>
      <c r="E45" s="580">
        <v>0</v>
      </c>
      <c r="F45" s="27">
        <f t="shared" si="1"/>
        <v>0</v>
      </c>
      <c r="G45" s="580">
        <f>VLOOKUP(B45,'App.2-B_Fixed Asset Cont - 2007'!$C$16:$G$46,5,$B$16:$B$46)</f>
        <v>0</v>
      </c>
      <c r="H45" s="27">
        <f t="shared" si="2"/>
        <v>0</v>
      </c>
      <c r="I45" s="614">
        <f>1/VLOOKUP(B45,'App.2-B_Fixed Asset Cont - 2007'!$C$16:$G$46,3,$B$16:$B$46)</f>
        <v>10</v>
      </c>
      <c r="J45" s="157">
        <f t="shared" si="3"/>
        <v>0.1</v>
      </c>
      <c r="K45" s="145">
        <f t="shared" si="0"/>
        <v>0</v>
      </c>
      <c r="L45" s="517"/>
      <c r="M45" s="615">
        <f>VLOOKUP(B45,'App.2-B_Fixed Asset Cont - 2007'!$C$16:$L$46,10,$B$16:$B$46)</f>
        <v>0</v>
      </c>
    </row>
    <row r="46" spans="2:13" x14ac:dyDescent="0.2">
      <c r="B46" s="465">
        <v>1995</v>
      </c>
      <c r="C46" s="456" t="s">
        <v>572</v>
      </c>
      <c r="D46" s="580">
        <f>VLOOKUP(B46,'App.2-B_Fixed Asset Cont - 2007'!$C$16:$G$46,4,$B$16:$B$46)</f>
        <v>-2865858.11</v>
      </c>
      <c r="E46" s="580">
        <v>38474.29000000011</v>
      </c>
      <c r="F46" s="615">
        <f t="shared" si="1"/>
        <v>-2904332.4</v>
      </c>
      <c r="G46" s="580">
        <f>VLOOKUP(B46,'App.2-B_Fixed Asset Cont - 2007'!$C$16:$G$46,5,$B$16:$B$46)</f>
        <v>-454086.2</v>
      </c>
      <c r="H46" s="615">
        <f t="shared" si="2"/>
        <v>-3131375.5</v>
      </c>
      <c r="I46" s="614">
        <f>1/VLOOKUP(B46,'App.2-B_Fixed Asset Cont - 2007'!$C$16:$G$46,3,$B$16:$B$46)</f>
        <v>25</v>
      </c>
      <c r="J46" s="157">
        <f t="shared" si="3"/>
        <v>0.04</v>
      </c>
      <c r="K46" s="615">
        <f t="shared" si="0"/>
        <v>-125255.02</v>
      </c>
      <c r="L46" s="517" t="s">
        <v>780</v>
      </c>
      <c r="M46" s="615">
        <f>VLOOKUP(B46,'App.2-B_Fixed Asset Cont - 2007'!$C$16:$L$46,10,$B$16:$B$46)</f>
        <v>-125255.02</v>
      </c>
    </row>
    <row r="47" spans="2:13" x14ac:dyDescent="0.2">
      <c r="B47" s="465" t="s">
        <v>636</v>
      </c>
      <c r="C47" s="456"/>
      <c r="D47" s="580"/>
      <c r="E47" s="175"/>
      <c r="F47" s="157">
        <f t="shared" si="1"/>
        <v>0</v>
      </c>
      <c r="G47" s="175"/>
      <c r="H47" s="27">
        <f t="shared" si="2"/>
        <v>0</v>
      </c>
      <c r="I47" s="176"/>
      <c r="J47" s="157" t="str">
        <f t="shared" si="3"/>
        <v/>
      </c>
      <c r="K47" s="616" t="str">
        <f t="shared" si="0"/>
        <v/>
      </c>
      <c r="L47" s="517"/>
    </row>
    <row r="48" spans="2:13" ht="13.5" thickBot="1" x14ac:dyDescent="0.25">
      <c r="B48" s="466"/>
      <c r="C48" s="467"/>
      <c r="D48" s="171"/>
      <c r="E48" s="171"/>
      <c r="F48" s="520">
        <f t="shared" si="1"/>
        <v>0</v>
      </c>
      <c r="G48" s="171"/>
      <c r="H48" s="611">
        <f t="shared" si="2"/>
        <v>0</v>
      </c>
      <c r="I48" s="519"/>
      <c r="J48" s="520" t="str">
        <f t="shared" si="3"/>
        <v/>
      </c>
      <c r="K48" s="521" t="str">
        <f t="shared" si="0"/>
        <v/>
      </c>
      <c r="L48" s="518"/>
    </row>
    <row r="49" spans="2:13" ht="14.25" thickTop="1" thickBot="1" x14ac:dyDescent="0.25">
      <c r="B49" s="468"/>
      <c r="C49" s="469" t="s">
        <v>573</v>
      </c>
      <c r="D49" s="167">
        <f>SUM(D16:D48)</f>
        <v>19230886.109999996</v>
      </c>
      <c r="E49" s="167">
        <f>SUM(E16:E48)</f>
        <v>4053060.8850000007</v>
      </c>
      <c r="F49" s="303">
        <f>D49-E49</f>
        <v>15177825.224999994</v>
      </c>
      <c r="G49" s="27">
        <f>SUM(G16:G48)</f>
        <v>1600199.41</v>
      </c>
      <c r="H49" s="303">
        <f>F49+0.5*G49</f>
        <v>15977924.929999994</v>
      </c>
      <c r="I49" s="617"/>
      <c r="J49" s="303"/>
      <c r="K49" s="308">
        <f>SUM(K16:K48)</f>
        <v>726585.66</v>
      </c>
      <c r="L49" s="464"/>
      <c r="M49" s="308">
        <f>SUM(M16:M48)</f>
        <v>726585.66000000015</v>
      </c>
    </row>
    <row r="50" spans="2:13" ht="7.5" customHeight="1" x14ac:dyDescent="0.2"/>
    <row r="51" spans="2:13" x14ac:dyDescent="0.2">
      <c r="B51" s="52" t="s">
        <v>639</v>
      </c>
      <c r="C51" s="389"/>
      <c r="D51" s="389"/>
      <c r="E51" s="389"/>
      <c r="F51" s="389"/>
      <c r="G51" s="389"/>
      <c r="H51" s="612"/>
      <c r="I51" s="389"/>
      <c r="J51" s="389"/>
      <c r="K51" s="389"/>
    </row>
    <row r="52" spans="2:13" ht="7.5" customHeight="1" x14ac:dyDescent="0.2">
      <c r="B52" s="389"/>
      <c r="C52" s="389"/>
      <c r="D52" s="389"/>
      <c r="E52" s="389"/>
      <c r="F52" s="389"/>
      <c r="G52" s="389"/>
      <c r="H52" s="612"/>
      <c r="I52" s="389"/>
      <c r="J52" s="389"/>
      <c r="K52" s="389"/>
    </row>
    <row r="53" spans="2:13" x14ac:dyDescent="0.2">
      <c r="B53" s="760" t="s">
        <v>192</v>
      </c>
      <c r="C53" s="761"/>
      <c r="D53" s="761"/>
      <c r="E53" s="761"/>
      <c r="F53" s="761"/>
      <c r="G53" s="761"/>
      <c r="H53" s="761"/>
      <c r="I53" s="761"/>
      <c r="J53" s="761"/>
    </row>
    <row r="54" spans="2:13" ht="26.25" customHeight="1" x14ac:dyDescent="0.2">
      <c r="B54" s="760" t="s">
        <v>193</v>
      </c>
      <c r="C54" s="761"/>
      <c r="D54" s="761"/>
      <c r="E54" s="761"/>
      <c r="F54" s="761"/>
      <c r="G54" s="761"/>
      <c r="H54" s="761"/>
      <c r="I54" s="761"/>
      <c r="J54" s="761"/>
    </row>
    <row r="55" spans="2:13" x14ac:dyDescent="0.2">
      <c r="B55" s="762" t="s">
        <v>194</v>
      </c>
      <c r="C55" s="763"/>
      <c r="D55" s="763"/>
      <c r="E55" s="763"/>
      <c r="F55" s="763"/>
      <c r="G55" s="763"/>
      <c r="H55" s="763"/>
      <c r="I55" s="763"/>
      <c r="J55" s="763"/>
    </row>
    <row r="56" spans="2:13" ht="19.5" customHeight="1" x14ac:dyDescent="0.2">
      <c r="B56" s="763"/>
      <c r="C56" s="763"/>
      <c r="D56" s="763"/>
      <c r="E56" s="763"/>
      <c r="F56" s="763"/>
      <c r="G56" s="763"/>
      <c r="H56" s="763"/>
      <c r="I56" s="763"/>
      <c r="J56" s="763"/>
    </row>
    <row r="57" spans="2:13" ht="3" customHeight="1" x14ac:dyDescent="0.2">
      <c r="B57" s="389"/>
      <c r="C57" s="389"/>
      <c r="D57" s="389"/>
      <c r="E57" s="389"/>
      <c r="F57" s="389"/>
      <c r="G57" s="389"/>
      <c r="H57" s="612"/>
      <c r="I57" s="389"/>
      <c r="J57" s="389"/>
      <c r="K57" s="389"/>
    </row>
    <row r="58" spans="2:13" x14ac:dyDescent="0.2">
      <c r="B58" s="52" t="s">
        <v>482</v>
      </c>
      <c r="C58" s="764" t="s">
        <v>419</v>
      </c>
      <c r="D58" s="764"/>
      <c r="E58" s="764"/>
      <c r="F58" s="764"/>
      <c r="G58" s="764"/>
      <c r="H58" s="764"/>
      <c r="I58" s="764"/>
      <c r="J58" s="764"/>
      <c r="K58" s="764"/>
    </row>
    <row r="59" spans="2:13" x14ac:dyDescent="0.2">
      <c r="B59" s="389"/>
      <c r="C59" s="764"/>
      <c r="D59" s="764"/>
      <c r="E59" s="764"/>
      <c r="F59" s="764"/>
      <c r="G59" s="764"/>
      <c r="H59" s="764"/>
      <c r="I59" s="764"/>
      <c r="J59" s="764"/>
      <c r="K59" s="764"/>
    </row>
    <row r="60" spans="2:13" x14ac:dyDescent="0.2">
      <c r="B60" s="389"/>
      <c r="C60" s="764"/>
      <c r="D60" s="764"/>
      <c r="E60" s="764"/>
      <c r="F60" s="764"/>
      <c r="G60" s="764"/>
      <c r="H60" s="764"/>
      <c r="I60" s="764"/>
      <c r="J60" s="764"/>
      <c r="K60" s="764"/>
    </row>
  </sheetData>
  <mergeCells count="9">
    <mergeCell ref="B9:K9"/>
    <mergeCell ref="B10:K10"/>
    <mergeCell ref="B14:B15"/>
    <mergeCell ref="C14:C15"/>
    <mergeCell ref="L14:L15"/>
    <mergeCell ref="B53:J53"/>
    <mergeCell ref="B54:J54"/>
    <mergeCell ref="B55:J56"/>
    <mergeCell ref="C58:K60"/>
  </mergeCells>
  <dataValidations count="2">
    <dataValidation type="list" allowBlank="1" showInputMessage="1" showErrorMessage="1" sqref="L16:L48">
      <formula1>"Yes, No"</formula1>
    </dataValidation>
    <dataValidation allowBlank="1" showInputMessage="1" showErrorMessage="1" promptTitle="Date Format" prompt="E.g:  &quot;August 1, 2011&quot;" sqref="K7"/>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1:M60"/>
  <sheetViews>
    <sheetView showGridLines="0" topLeftCell="A26" zoomScaleNormal="100" workbookViewId="0">
      <selection activeCell="Q12" sqref="Q12"/>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2008</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- 2008'!$C$16:$G$46,4,$B$16:$B$46)</f>
        <v>2112</v>
      </c>
      <c r="E16" s="175"/>
      <c r="F16" s="27">
        <f>D16-E16</f>
        <v>2112</v>
      </c>
      <c r="G16" s="580">
        <f>VLOOKUP(B16,'App.2-B_Fixed Asset Cont - 2008'!$C$16:$G$46,5,$B$16:$B$46)</f>
        <v>0</v>
      </c>
      <c r="H16" s="27">
        <f>F16+0.5*G16</f>
        <v>2112</v>
      </c>
      <c r="I16" s="613"/>
      <c r="J16" s="157" t="str">
        <f>IF(I16=0,"",1/I16)</f>
        <v/>
      </c>
      <c r="K16" s="158" t="str">
        <f t="shared" ref="K16:K48" si="0">IF(I16=0,"",H16/I16)</f>
        <v/>
      </c>
      <c r="L16" s="517"/>
      <c r="M16" s="615">
        <f>VLOOKUP(B16,'App.2-B_Fixed Asset Cont - 2008'!$C$16:$L$46,10,$B$16:$B$46)</f>
        <v>0</v>
      </c>
    </row>
    <row r="17" spans="2:13" x14ac:dyDescent="0.2">
      <c r="B17" s="148">
        <v>1808</v>
      </c>
      <c r="C17" s="2" t="s">
        <v>537</v>
      </c>
      <c r="D17" s="580">
        <f>VLOOKUP(B17,'App.2-B_Fixed Asset Cont - 2008'!$C$16:$G$46,4,$B$16:$B$46)</f>
        <v>0</v>
      </c>
      <c r="E17" s="175"/>
      <c r="F17" s="27">
        <f t="shared" ref="F17:F48" si="1">D17-E17</f>
        <v>0</v>
      </c>
      <c r="G17" s="580">
        <f>VLOOKUP(B17,'App.2-B_Fixed Asset Cont - 2008'!$C$16:$G$46,5,$B$16:$B$46)</f>
        <v>0</v>
      </c>
      <c r="H17" s="27">
        <f t="shared" ref="H17:H48" si="2">F17+0.5*G17</f>
        <v>0</v>
      </c>
      <c r="I17" s="613"/>
      <c r="J17" s="157" t="str">
        <f t="shared" ref="J17:J48" si="3">IF(I17=0,"",1/I17)</f>
        <v/>
      </c>
      <c r="K17" s="158" t="str">
        <f t="shared" si="0"/>
        <v/>
      </c>
      <c r="L17" s="517"/>
      <c r="M17" s="615">
        <f>VLOOKUP(B17,'App.2-B_Fixed Asset Cont - 2008'!$C$16:$L$46,10,$B$16:$B$46)</f>
        <v>0</v>
      </c>
    </row>
    <row r="18" spans="2:13" x14ac:dyDescent="0.2">
      <c r="B18" s="148">
        <v>1810</v>
      </c>
      <c r="C18" s="2" t="s">
        <v>579</v>
      </c>
      <c r="D18" s="580">
        <f>VLOOKUP(B18,'App.2-B_Fixed Asset Cont - 2008'!$C$16:$G$46,4,$B$16:$B$46)</f>
        <v>0</v>
      </c>
      <c r="E18" s="175"/>
      <c r="F18" s="27">
        <f t="shared" si="1"/>
        <v>0</v>
      </c>
      <c r="G18" s="580">
        <f>VLOOKUP(B18,'App.2-B_Fixed Asset Cont - 2008'!$C$16:$G$46,5,$B$16:$B$46)</f>
        <v>0</v>
      </c>
      <c r="H18" s="27">
        <f t="shared" si="2"/>
        <v>0</v>
      </c>
      <c r="I18" s="613"/>
      <c r="J18" s="157" t="str">
        <f t="shared" si="3"/>
        <v/>
      </c>
      <c r="K18" s="158" t="str">
        <f t="shared" si="0"/>
        <v/>
      </c>
      <c r="L18" s="517"/>
      <c r="M18" s="615">
        <f>VLOOKUP(B18,'App.2-B_Fixed Asset Cont - 2008'!$C$16:$L$46,10,$B$16:$B$46)</f>
        <v>0</v>
      </c>
    </row>
    <row r="19" spans="2:13" x14ac:dyDescent="0.2">
      <c r="B19" s="148">
        <v>1815</v>
      </c>
      <c r="C19" s="2" t="s">
        <v>538</v>
      </c>
      <c r="D19" s="580">
        <f>VLOOKUP(B19,'App.2-B_Fixed Asset Cont - 2008'!$C$16:$G$46,4,$B$16:$B$46)</f>
        <v>0</v>
      </c>
      <c r="E19" s="175"/>
      <c r="F19" s="27">
        <f t="shared" si="1"/>
        <v>0</v>
      </c>
      <c r="G19" s="580">
        <f>VLOOKUP(B19,'App.2-B_Fixed Asset Cont - 2008'!$C$16:$G$46,5,$B$16:$B$46)</f>
        <v>0</v>
      </c>
      <c r="H19" s="27">
        <f t="shared" si="2"/>
        <v>0</v>
      </c>
      <c r="I19" s="613"/>
      <c r="J19" s="157" t="str">
        <f t="shared" si="3"/>
        <v/>
      </c>
      <c r="K19" s="158" t="str">
        <f t="shared" si="0"/>
        <v/>
      </c>
      <c r="L19" s="517"/>
      <c r="M19" s="615">
        <f>VLOOKUP(B19,'App.2-B_Fixed Asset Cont - 2008'!$C$16:$L$46,10,$B$16:$B$46)</f>
        <v>0</v>
      </c>
    </row>
    <row r="20" spans="2:13" x14ac:dyDescent="0.2">
      <c r="B20" s="465">
        <v>1820</v>
      </c>
      <c r="C20" s="456" t="s">
        <v>462</v>
      </c>
      <c r="D20" s="580">
        <f>VLOOKUP(B20,'App.2-B_Fixed Asset Cont - 2008'!$C$16:$G$46,4,$B$16:$B$46)</f>
        <v>142098.48000000001</v>
      </c>
      <c r="E20" s="580">
        <v>175398.48</v>
      </c>
      <c r="F20" s="27">
        <f t="shared" si="1"/>
        <v>-33300</v>
      </c>
      <c r="G20" s="580">
        <f>VLOOKUP(B20,'App.2-B_Fixed Asset Cont - 2008'!$C$16:$G$46,5,$B$16:$B$46)</f>
        <v>0</v>
      </c>
      <c r="H20" s="27">
        <f t="shared" si="2"/>
        <v>-33300</v>
      </c>
      <c r="I20" s="614">
        <f>1/VLOOKUP(B20,'App.2-B_Fixed Asset Cont - 2008'!$C$16:$G$46,3,$B$16:$B$46)</f>
        <v>25</v>
      </c>
      <c r="J20" s="157">
        <f t="shared" si="3"/>
        <v>0.04</v>
      </c>
      <c r="K20" s="145">
        <f t="shared" si="0"/>
        <v>-1332</v>
      </c>
      <c r="L20" s="517" t="s">
        <v>780</v>
      </c>
      <c r="M20" s="615">
        <f>VLOOKUP(B20,'App.2-B_Fixed Asset Cont - 2008'!$C$16:$L$46,10,$B$16:$B$46)</f>
        <v>-1332</v>
      </c>
    </row>
    <row r="21" spans="2:13" x14ac:dyDescent="0.2">
      <c r="B21" s="465">
        <v>1825</v>
      </c>
      <c r="C21" s="456" t="s">
        <v>539</v>
      </c>
      <c r="D21" s="580">
        <f>VLOOKUP(B21,'App.2-B_Fixed Asset Cont - 2008'!$C$16:$G$46,4,$B$16:$B$46)</f>
        <v>0</v>
      </c>
      <c r="E21" s="580"/>
      <c r="F21" s="27">
        <f t="shared" si="1"/>
        <v>0</v>
      </c>
      <c r="G21" s="580">
        <f>VLOOKUP(B21,'App.2-B_Fixed Asset Cont - 2008'!$C$16:$G$46,5,$B$16:$B$46)</f>
        <v>0</v>
      </c>
      <c r="H21" s="27">
        <f t="shared" si="2"/>
        <v>0</v>
      </c>
      <c r="I21" s="614"/>
      <c r="J21" s="157" t="str">
        <f t="shared" si="3"/>
        <v/>
      </c>
      <c r="K21" s="145" t="str">
        <f t="shared" si="0"/>
        <v/>
      </c>
      <c r="L21" s="517"/>
      <c r="M21" s="615">
        <f>VLOOKUP(B21,'App.2-B_Fixed Asset Cont - 2008'!$C$16:$L$46,10,$B$16:$B$46)</f>
        <v>0</v>
      </c>
    </row>
    <row r="22" spans="2:13" x14ac:dyDescent="0.2">
      <c r="B22" s="465">
        <v>1830</v>
      </c>
      <c r="C22" s="456" t="s">
        <v>540</v>
      </c>
      <c r="D22" s="580">
        <f>VLOOKUP(B22,'App.2-B_Fixed Asset Cont - 2008'!$C$16:$G$46,4,$B$16:$B$46)</f>
        <v>569219.66</v>
      </c>
      <c r="E22" s="580">
        <v>-124.57500000000437</v>
      </c>
      <c r="F22" s="27">
        <f t="shared" si="1"/>
        <v>569344.23499999999</v>
      </c>
      <c r="G22" s="580">
        <f>VLOOKUP(B22,'App.2-B_Fixed Asset Cont - 2008'!$C$16:$G$46,5,$B$16:$B$46)</f>
        <v>100434.03</v>
      </c>
      <c r="H22" s="27">
        <f t="shared" si="2"/>
        <v>619561.25</v>
      </c>
      <c r="I22" s="614">
        <f>1/VLOOKUP(B22,'App.2-B_Fixed Asset Cont - 2008'!$C$16:$G$46,3,$B$16:$B$46)</f>
        <v>25</v>
      </c>
      <c r="J22" s="157">
        <f t="shared" si="3"/>
        <v>0.04</v>
      </c>
      <c r="K22" s="145">
        <f t="shared" si="0"/>
        <v>24782.45</v>
      </c>
      <c r="L22" s="517" t="s">
        <v>780</v>
      </c>
      <c r="M22" s="615">
        <f>VLOOKUP(B22,'App.2-B_Fixed Asset Cont - 2008'!$C$16:$L$46,10,$B$16:$B$46)</f>
        <v>24782.45</v>
      </c>
    </row>
    <row r="23" spans="2:13" x14ac:dyDescent="0.2">
      <c r="B23" s="465">
        <v>1835</v>
      </c>
      <c r="C23" s="456" t="s">
        <v>463</v>
      </c>
      <c r="D23" s="580">
        <f>VLOOKUP(B23,'App.2-B_Fixed Asset Cont - 2008'!$C$16:$G$46,4,$B$16:$B$46)</f>
        <v>5620643.8600000003</v>
      </c>
      <c r="E23" s="580">
        <v>128300.73499999999</v>
      </c>
      <c r="F23" s="27">
        <f t="shared" si="1"/>
        <v>5492343.125</v>
      </c>
      <c r="G23" s="580">
        <f>VLOOKUP(B23,'App.2-B_Fixed Asset Cont - 2008'!$C$16:$G$46,5,$B$16:$B$46)</f>
        <v>202573.75</v>
      </c>
      <c r="H23" s="27">
        <f t="shared" si="2"/>
        <v>5593630</v>
      </c>
      <c r="I23" s="614">
        <f>1/VLOOKUP(B23,'App.2-B_Fixed Asset Cont - 2008'!$C$16:$G$46,3,$B$16:$B$46)</f>
        <v>25</v>
      </c>
      <c r="J23" s="157">
        <f t="shared" si="3"/>
        <v>0.04</v>
      </c>
      <c r="K23" s="145">
        <f t="shared" si="0"/>
        <v>223745.2</v>
      </c>
      <c r="L23" s="517" t="s">
        <v>780</v>
      </c>
      <c r="M23" s="615">
        <f>VLOOKUP(B23,'App.2-B_Fixed Asset Cont - 2008'!$C$16:$L$46,10,$B$16:$B$46)</f>
        <v>223745.2</v>
      </c>
    </row>
    <row r="24" spans="2:13" x14ac:dyDescent="0.2">
      <c r="B24" s="465">
        <v>1840</v>
      </c>
      <c r="C24" s="456" t="s">
        <v>464</v>
      </c>
      <c r="D24" s="580">
        <f>VLOOKUP(B24,'App.2-B_Fixed Asset Cont - 2008'!$C$16:$G$46,4,$B$16:$B$46)</f>
        <v>696100.7</v>
      </c>
      <c r="E24" s="580">
        <v>-64.820000000145228</v>
      </c>
      <c r="F24" s="27">
        <f t="shared" si="1"/>
        <v>696165.52000000014</v>
      </c>
      <c r="G24" s="580">
        <f>VLOOKUP(B24,'App.2-B_Fixed Asset Cont - 2008'!$C$16:$G$46,5,$B$16:$B$46)</f>
        <v>217030.96</v>
      </c>
      <c r="H24" s="27">
        <f t="shared" si="2"/>
        <v>804681.00000000012</v>
      </c>
      <c r="I24" s="614">
        <f>1/VLOOKUP(B24,'App.2-B_Fixed Asset Cont - 2008'!$C$16:$G$46,3,$B$16:$B$46)</f>
        <v>25</v>
      </c>
      <c r="J24" s="157">
        <f t="shared" si="3"/>
        <v>0.04</v>
      </c>
      <c r="K24" s="145">
        <f t="shared" si="0"/>
        <v>32187.240000000005</v>
      </c>
      <c r="L24" s="517" t="s">
        <v>780</v>
      </c>
      <c r="M24" s="615">
        <f>VLOOKUP(B24,'App.2-B_Fixed Asset Cont - 2008'!$C$16:$L$46,10,$B$16:$B$46)</f>
        <v>32187.24</v>
      </c>
    </row>
    <row r="25" spans="2:13" x14ac:dyDescent="0.2">
      <c r="B25" s="465">
        <v>1845</v>
      </c>
      <c r="C25" s="456" t="s">
        <v>465</v>
      </c>
      <c r="D25" s="580">
        <f>VLOOKUP(B25,'App.2-B_Fixed Asset Cont - 2008'!$C$16:$G$46,4,$B$16:$B$46)</f>
        <v>6592568.3300000001</v>
      </c>
      <c r="E25" s="580">
        <v>429788.50999999995</v>
      </c>
      <c r="F25" s="27">
        <f t="shared" si="1"/>
        <v>6162779.8200000003</v>
      </c>
      <c r="G25" s="580">
        <f>VLOOKUP(B25,'App.2-B_Fixed Asset Cont - 2008'!$C$16:$G$46,5,$B$16:$B$46)</f>
        <v>126543.36</v>
      </c>
      <c r="H25" s="27">
        <f t="shared" si="2"/>
        <v>6226051.5</v>
      </c>
      <c r="I25" s="614">
        <f>1/VLOOKUP(B25,'App.2-B_Fixed Asset Cont - 2008'!$C$16:$G$46,3,$B$16:$B$46)</f>
        <v>25</v>
      </c>
      <c r="J25" s="157">
        <f t="shared" si="3"/>
        <v>0.04</v>
      </c>
      <c r="K25" s="145">
        <f t="shared" si="0"/>
        <v>249042.06</v>
      </c>
      <c r="L25" s="517" t="s">
        <v>780</v>
      </c>
      <c r="M25" s="615">
        <f>VLOOKUP(B25,'App.2-B_Fixed Asset Cont - 2008'!$C$16:$L$46,10,$B$16:$B$46)</f>
        <v>249042.06</v>
      </c>
    </row>
    <row r="26" spans="2:13" x14ac:dyDescent="0.2">
      <c r="B26" s="465">
        <v>1850</v>
      </c>
      <c r="C26" s="456" t="s">
        <v>541</v>
      </c>
      <c r="D26" s="580">
        <f>VLOOKUP(B26,'App.2-B_Fixed Asset Cont - 2008'!$C$16:$G$46,4,$B$16:$B$46)</f>
        <v>4954989.26</v>
      </c>
      <c r="E26" s="580">
        <v>718515.70500000019</v>
      </c>
      <c r="F26" s="27">
        <f t="shared" si="1"/>
        <v>4236473.5549999997</v>
      </c>
      <c r="G26" s="580">
        <f>VLOOKUP(B26,'App.2-B_Fixed Asset Cont - 2008'!$C$16:$G$46,5,$B$16:$B$46)</f>
        <v>231527.88999999998</v>
      </c>
      <c r="H26" s="27">
        <f t="shared" si="2"/>
        <v>4352237.5</v>
      </c>
      <c r="I26" s="614">
        <f>1/VLOOKUP(B26,'App.2-B_Fixed Asset Cont - 2008'!$C$16:$G$46,3,$B$16:$B$46)</f>
        <v>25</v>
      </c>
      <c r="J26" s="157">
        <f t="shared" si="3"/>
        <v>0.04</v>
      </c>
      <c r="K26" s="145">
        <f t="shared" si="0"/>
        <v>174089.5</v>
      </c>
      <c r="L26" s="517" t="s">
        <v>780</v>
      </c>
      <c r="M26" s="615">
        <f>VLOOKUP(B26,'App.2-B_Fixed Asset Cont - 2008'!$C$16:$L$46,10,$B$16:$B$46)</f>
        <v>174089.5</v>
      </c>
    </row>
    <row r="27" spans="2:13" x14ac:dyDescent="0.2">
      <c r="B27" s="465">
        <v>1855</v>
      </c>
      <c r="C27" s="456" t="s">
        <v>481</v>
      </c>
      <c r="D27" s="580">
        <f>VLOOKUP(B27,'App.2-B_Fixed Asset Cont - 2008'!$C$16:$G$46,4,$B$16:$B$46)</f>
        <v>411941.29</v>
      </c>
      <c r="E27" s="580">
        <v>-115.12999999995372</v>
      </c>
      <c r="F27" s="27">
        <f t="shared" si="1"/>
        <v>412056.41999999993</v>
      </c>
      <c r="G27" s="580">
        <f>VLOOKUP(B27,'App.2-B_Fixed Asset Cont - 2008'!$C$16:$G$46,5,$B$16:$B$46)</f>
        <v>99753.159999999989</v>
      </c>
      <c r="H27" s="27">
        <f t="shared" si="2"/>
        <v>461932.99999999994</v>
      </c>
      <c r="I27" s="614">
        <f>1/VLOOKUP(B27,'App.2-B_Fixed Asset Cont - 2008'!$C$16:$G$46,3,$B$16:$B$46)</f>
        <v>25</v>
      </c>
      <c r="J27" s="157">
        <f t="shared" si="3"/>
        <v>0.04</v>
      </c>
      <c r="K27" s="145">
        <f t="shared" si="0"/>
        <v>18477.319999999996</v>
      </c>
      <c r="L27" s="517" t="s">
        <v>780</v>
      </c>
      <c r="M27" s="615">
        <f>VLOOKUP(B27,'App.2-B_Fixed Asset Cont - 2008'!$C$16:$L$46,10,$B$16:$B$46)</f>
        <v>18477.32</v>
      </c>
    </row>
    <row r="28" spans="2:13" x14ac:dyDescent="0.2">
      <c r="B28" s="465">
        <v>1860</v>
      </c>
      <c r="C28" s="456" t="s">
        <v>542</v>
      </c>
      <c r="D28" s="580">
        <f>VLOOKUP(B28,'App.2-B_Fixed Asset Cont - 2008'!$C$16:$G$46,4,$B$16:$B$46)</f>
        <v>1208333.8500000001</v>
      </c>
      <c r="E28" s="580">
        <v>220236.87000000008</v>
      </c>
      <c r="F28" s="27">
        <f t="shared" si="1"/>
        <v>988096.98</v>
      </c>
      <c r="G28" s="580">
        <f>VLOOKUP(B28,'App.2-B_Fixed Asset Cont - 2008'!$C$16:$G$46,5,$B$16:$B$46)</f>
        <v>131151.04000000001</v>
      </c>
      <c r="H28" s="27">
        <f t="shared" si="2"/>
        <v>1053672.5</v>
      </c>
      <c r="I28" s="614">
        <f>1/VLOOKUP(B28,'App.2-B_Fixed Asset Cont - 2008'!$C$16:$G$46,3,$B$16:$B$46)</f>
        <v>25</v>
      </c>
      <c r="J28" s="157">
        <f t="shared" si="3"/>
        <v>0.04</v>
      </c>
      <c r="K28" s="145">
        <f t="shared" si="0"/>
        <v>42146.9</v>
      </c>
      <c r="L28" s="517" t="s">
        <v>780</v>
      </c>
      <c r="M28" s="615">
        <f>VLOOKUP(B28,'App.2-B_Fixed Asset Cont - 2008'!$C$16:$L$46,10,$B$16:$B$46)</f>
        <v>42146.9</v>
      </c>
    </row>
    <row r="29" spans="2:13" x14ac:dyDescent="0.2">
      <c r="B29" s="465">
        <v>1905</v>
      </c>
      <c r="C29" s="456" t="s">
        <v>536</v>
      </c>
      <c r="D29" s="580">
        <f>VLOOKUP(B29,'App.2-B_Fixed Asset Cont - 2008'!$C$16:$G$46,4,$B$16:$B$46)</f>
        <v>171765.02</v>
      </c>
      <c r="E29" s="580"/>
      <c r="F29" s="27">
        <f t="shared" si="1"/>
        <v>171765.02</v>
      </c>
      <c r="G29" s="580">
        <f>VLOOKUP(B29,'App.2-B_Fixed Asset Cont - 2008'!$C$16:$G$46,5,$B$16:$B$46)</f>
        <v>0</v>
      </c>
      <c r="H29" s="27">
        <f t="shared" si="2"/>
        <v>171765.02</v>
      </c>
      <c r="I29" s="614"/>
      <c r="J29" s="157" t="str">
        <f t="shared" si="3"/>
        <v/>
      </c>
      <c r="K29" s="145" t="str">
        <f t="shared" si="0"/>
        <v/>
      </c>
      <c r="L29" s="517"/>
      <c r="M29" s="615">
        <f>VLOOKUP(B29,'App.2-B_Fixed Asset Cont - 2008'!$C$16:$L$46,10,$B$16:$B$46)</f>
        <v>0</v>
      </c>
    </row>
    <row r="30" spans="2:13" x14ac:dyDescent="0.2">
      <c r="B30" s="465">
        <v>1906</v>
      </c>
      <c r="C30" s="456" t="s">
        <v>545</v>
      </c>
      <c r="D30" s="580">
        <f>VLOOKUP(B30,'App.2-B_Fixed Asset Cont - 2008'!$C$16:$G$46,4,$B$16:$B$46)</f>
        <v>2544.73</v>
      </c>
      <c r="E30" s="580">
        <v>2744.7299999999996</v>
      </c>
      <c r="F30" s="27">
        <f t="shared" si="1"/>
        <v>-199.99999999999955</v>
      </c>
      <c r="G30" s="580">
        <f>VLOOKUP(B30,'App.2-B_Fixed Asset Cont - 2008'!$C$16:$G$46,5,$B$16:$B$46)</f>
        <v>400</v>
      </c>
      <c r="H30" s="27">
        <f t="shared" si="2"/>
        <v>4.5474735088646412E-13</v>
      </c>
      <c r="I30" s="614">
        <f>1/VLOOKUP(B30,'App.2-B_Fixed Asset Cont - 2008'!$C$16:$G$46,3,$B$16:$B$46)</f>
        <v>50</v>
      </c>
      <c r="J30" s="157">
        <f t="shared" si="3"/>
        <v>0.02</v>
      </c>
      <c r="K30" s="145">
        <f t="shared" si="0"/>
        <v>9.0949470177292826E-15</v>
      </c>
      <c r="L30" s="517"/>
      <c r="M30" s="615">
        <f>VLOOKUP(B30,'App.2-B_Fixed Asset Cont - 2008'!$C$16:$L$46,10,$B$16:$B$46)</f>
        <v>0</v>
      </c>
    </row>
    <row r="31" spans="2:13" x14ac:dyDescent="0.2">
      <c r="B31" s="465">
        <v>1908</v>
      </c>
      <c r="C31" s="456" t="s">
        <v>546</v>
      </c>
      <c r="D31" s="580">
        <f>VLOOKUP(B31,'App.2-B_Fixed Asset Cont - 2008'!$C$16:$G$46,4,$B$16:$B$46)</f>
        <v>849028.11</v>
      </c>
      <c r="E31" s="580">
        <v>671901.30999999994</v>
      </c>
      <c r="F31" s="27">
        <f t="shared" si="1"/>
        <v>177126.80000000005</v>
      </c>
      <c r="G31" s="580">
        <f>VLOOKUP(B31,'App.2-B_Fixed Asset Cont - 2008'!$C$16:$G$46,5,$B$16:$B$46)</f>
        <v>11500</v>
      </c>
      <c r="H31" s="27">
        <f t="shared" si="2"/>
        <v>182876.80000000005</v>
      </c>
      <c r="I31" s="614">
        <f>1/VLOOKUP(B31,'App.2-B_Fixed Asset Cont - 2008'!$C$16:$G$46,3,$B$16:$B$46)</f>
        <v>10</v>
      </c>
      <c r="J31" s="157">
        <f t="shared" si="3"/>
        <v>0.1</v>
      </c>
      <c r="K31" s="145">
        <f t="shared" si="0"/>
        <v>18287.680000000004</v>
      </c>
      <c r="L31" s="517" t="s">
        <v>780</v>
      </c>
      <c r="M31" s="615">
        <f>VLOOKUP(B31,'App.2-B_Fixed Asset Cont - 2008'!$C$16:$L$46,10,$B$16:$B$46)</f>
        <v>18287.68</v>
      </c>
    </row>
    <row r="32" spans="2:13" x14ac:dyDescent="0.2">
      <c r="B32" s="465">
        <v>1910</v>
      </c>
      <c r="C32" s="456" t="s">
        <v>579</v>
      </c>
      <c r="D32" s="580">
        <f>VLOOKUP(B32,'App.2-B_Fixed Asset Cont - 2008'!$C$16:$G$46,4,$B$16:$B$46)</f>
        <v>0</v>
      </c>
      <c r="E32" s="580"/>
      <c r="F32" s="27">
        <f t="shared" si="1"/>
        <v>0</v>
      </c>
      <c r="G32" s="580">
        <f>VLOOKUP(B32,'App.2-B_Fixed Asset Cont - 2008'!$C$16:$G$46,5,$B$16:$B$46)</f>
        <v>0</v>
      </c>
      <c r="H32" s="27">
        <f t="shared" si="2"/>
        <v>0</v>
      </c>
      <c r="I32" s="614"/>
      <c r="J32" s="157" t="str">
        <f t="shared" si="3"/>
        <v/>
      </c>
      <c r="K32" s="145" t="str">
        <f t="shared" si="0"/>
        <v/>
      </c>
      <c r="L32" s="517"/>
      <c r="M32" s="615">
        <f>VLOOKUP(B32,'App.2-B_Fixed Asset Cont - 2008'!$C$16:$L$46,10,$B$16:$B$46)</f>
        <v>0</v>
      </c>
    </row>
    <row r="33" spans="2:13" x14ac:dyDescent="0.2">
      <c r="B33" s="465">
        <v>1915</v>
      </c>
      <c r="C33" s="608" t="s">
        <v>750</v>
      </c>
      <c r="D33" s="580">
        <f>VLOOKUP(B33,'App.2-B_Fixed Asset Cont - 2008'!$C$16:$G$46,4,$B$16:$B$46)</f>
        <v>214967.34</v>
      </c>
      <c r="E33" s="580">
        <v>140521.03999999998</v>
      </c>
      <c r="F33" s="27">
        <f t="shared" si="1"/>
        <v>74446.300000000017</v>
      </c>
      <c r="G33" s="580">
        <f>VLOOKUP(B33,'App.2-B_Fixed Asset Cont - 2008'!$C$16:$G$46,5,$B$16:$B$46)</f>
        <v>2025</v>
      </c>
      <c r="H33" s="27">
        <f t="shared" si="2"/>
        <v>75458.800000000017</v>
      </c>
      <c r="I33" s="614">
        <f>1/VLOOKUP(B33,'App.2-B_Fixed Asset Cont - 2008'!$C$16:$G$46,3,$B$16:$B$46)</f>
        <v>10</v>
      </c>
      <c r="J33" s="157">
        <f t="shared" si="3"/>
        <v>0.1</v>
      </c>
      <c r="K33" s="145">
        <f t="shared" si="0"/>
        <v>7545.8800000000019</v>
      </c>
      <c r="L33" s="517" t="s">
        <v>780</v>
      </c>
      <c r="M33" s="615">
        <f>VLOOKUP(B33,'App.2-B_Fixed Asset Cont - 2008'!$C$16:$L$46,10,$B$16:$B$46)</f>
        <v>7545.88</v>
      </c>
    </row>
    <row r="34" spans="2:13" x14ac:dyDescent="0.2">
      <c r="B34" s="465">
        <v>1920</v>
      </c>
      <c r="C34" s="456" t="s">
        <v>470</v>
      </c>
      <c r="D34" s="580">
        <f>VLOOKUP(B34,'App.2-B_Fixed Asset Cont - 2008'!$C$16:$G$46,4,$B$16:$B$46)</f>
        <v>328598.34000000003</v>
      </c>
      <c r="E34" s="580">
        <v>180799.40999999997</v>
      </c>
      <c r="F34" s="27">
        <f t="shared" si="1"/>
        <v>147798.93000000005</v>
      </c>
      <c r="G34" s="580">
        <f>VLOOKUP(B34,'App.2-B_Fixed Asset Cont - 2008'!$C$16:$G$46,5,$B$16:$B$46)</f>
        <v>17819.439999999999</v>
      </c>
      <c r="H34" s="27">
        <f t="shared" si="2"/>
        <v>156708.65000000005</v>
      </c>
      <c r="I34" s="614">
        <f>1/VLOOKUP(B34,'App.2-B_Fixed Asset Cont - 2008'!$C$16:$G$46,3,$B$16:$B$46)</f>
        <v>5</v>
      </c>
      <c r="J34" s="157">
        <f t="shared" si="3"/>
        <v>0.2</v>
      </c>
      <c r="K34" s="145">
        <f t="shared" si="0"/>
        <v>31341.73000000001</v>
      </c>
      <c r="L34" s="517" t="s">
        <v>780</v>
      </c>
      <c r="M34" s="615">
        <f>VLOOKUP(B34,'App.2-B_Fixed Asset Cont - 2008'!$C$16:$L$46,10,$B$16:$B$46)</f>
        <v>31341.73</v>
      </c>
    </row>
    <row r="35" spans="2:13" x14ac:dyDescent="0.2">
      <c r="B35" s="465">
        <v>1925</v>
      </c>
      <c r="C35" s="456" t="s">
        <v>563</v>
      </c>
      <c r="D35" s="580">
        <f>VLOOKUP(B35,'App.2-B_Fixed Asset Cont - 2008'!$C$16:$G$46,4,$B$16:$B$46)</f>
        <v>143391.12</v>
      </c>
      <c r="E35" s="580">
        <v>63432.809999999969</v>
      </c>
      <c r="F35" s="27">
        <f t="shared" si="1"/>
        <v>79958.310000000027</v>
      </c>
      <c r="G35" s="580">
        <f>VLOOKUP(B35,'App.2-B_Fixed Asset Cont - 2008'!$C$16:$G$46,5,$B$16:$B$46)</f>
        <v>90053.98</v>
      </c>
      <c r="H35" s="27">
        <f t="shared" si="2"/>
        <v>124985.30000000002</v>
      </c>
      <c r="I35" s="614">
        <f>1/VLOOKUP(B35,'App.2-B_Fixed Asset Cont - 2008'!$C$16:$G$46,3,$B$16:$B$46)</f>
        <v>5</v>
      </c>
      <c r="J35" s="157">
        <f t="shared" si="3"/>
        <v>0.2</v>
      </c>
      <c r="K35" s="145">
        <f t="shared" si="0"/>
        <v>24997.060000000005</v>
      </c>
      <c r="L35" s="517" t="s">
        <v>780</v>
      </c>
      <c r="M35" s="615">
        <f>VLOOKUP(B35,'App.2-B_Fixed Asset Cont - 2008'!$C$16:$L$46,10,$B$16:$B$46)</f>
        <v>24997.06</v>
      </c>
    </row>
    <row r="36" spans="2:13" x14ac:dyDescent="0.2">
      <c r="B36" s="465">
        <v>1930</v>
      </c>
      <c r="C36" s="456" t="s">
        <v>564</v>
      </c>
      <c r="D36" s="580">
        <f>VLOOKUP(B36,'App.2-B_Fixed Asset Cont - 2008'!$C$16:$G$46,4,$B$16:$B$46)</f>
        <v>1735619.22</v>
      </c>
      <c r="E36" s="580">
        <v>1028764.4700000001</v>
      </c>
      <c r="F36" s="27">
        <f t="shared" si="1"/>
        <v>706854.74999999988</v>
      </c>
      <c r="G36" s="580">
        <f>VLOOKUP(B36,'App.2-B_Fixed Asset Cont - 2008'!$C$16:$G$46,5,$B$16:$B$46)</f>
        <v>63307.14</v>
      </c>
      <c r="H36" s="27">
        <f t="shared" si="2"/>
        <v>738508.31999999983</v>
      </c>
      <c r="I36" s="614">
        <f>1/VLOOKUP(B36,'App.2-B_Fixed Asset Cont - 2008'!$C$16:$G$46,3,$B$16:$B$46)</f>
        <v>8</v>
      </c>
      <c r="J36" s="157">
        <f t="shared" si="3"/>
        <v>0.125</v>
      </c>
      <c r="K36" s="145">
        <f t="shared" si="0"/>
        <v>92313.539999999979</v>
      </c>
      <c r="L36" s="517" t="s">
        <v>780</v>
      </c>
      <c r="M36" s="615">
        <f>VLOOKUP(B36,'App.2-B_Fixed Asset Cont - 2008'!$C$16:$L$46,10,$B$16:$B$46)</f>
        <v>92313.54</v>
      </c>
    </row>
    <row r="37" spans="2:13" x14ac:dyDescent="0.2">
      <c r="B37" s="465">
        <v>1935</v>
      </c>
      <c r="C37" s="456" t="s">
        <v>565</v>
      </c>
      <c r="D37" s="580">
        <f>VLOOKUP(B37,'App.2-B_Fixed Asset Cont - 2008'!$C$16:$G$46,4,$B$16:$B$46)</f>
        <v>0</v>
      </c>
      <c r="E37" s="580"/>
      <c r="F37" s="27">
        <f t="shared" si="1"/>
        <v>0</v>
      </c>
      <c r="G37" s="580">
        <f>VLOOKUP(B37,'App.2-B_Fixed Asset Cont - 2008'!$C$16:$G$46,5,$B$16:$B$46)</f>
        <v>0</v>
      </c>
      <c r="H37" s="27">
        <f t="shared" si="2"/>
        <v>0</v>
      </c>
      <c r="I37" s="614"/>
      <c r="J37" s="157" t="str">
        <f t="shared" si="3"/>
        <v/>
      </c>
      <c r="K37" s="145" t="str">
        <f t="shared" si="0"/>
        <v/>
      </c>
      <c r="L37" s="517"/>
      <c r="M37" s="615">
        <f>VLOOKUP(B37,'App.2-B_Fixed Asset Cont - 2008'!$C$16:$L$46,10,$B$16:$B$46)</f>
        <v>0</v>
      </c>
    </row>
    <row r="38" spans="2:13" x14ac:dyDescent="0.2">
      <c r="B38" s="465">
        <v>1940</v>
      </c>
      <c r="C38" s="456" t="s">
        <v>566</v>
      </c>
      <c r="D38" s="580">
        <f>VLOOKUP(B38,'App.2-B_Fixed Asset Cont - 2008'!$C$16:$G$46,4,$B$16:$B$46)</f>
        <v>316333.32</v>
      </c>
      <c r="E38" s="580">
        <v>235995.67499999996</v>
      </c>
      <c r="F38" s="27">
        <f t="shared" si="1"/>
        <v>80337.645000000048</v>
      </c>
      <c r="G38" s="580">
        <f>VLOOKUP(B38,'App.2-B_Fixed Asset Cont - 2008'!$C$16:$G$46,5,$B$16:$B$46)</f>
        <v>39334.71</v>
      </c>
      <c r="H38" s="27">
        <f t="shared" si="2"/>
        <v>100005.00000000004</v>
      </c>
      <c r="I38" s="614">
        <f>1/VLOOKUP(B38,'App.2-B_Fixed Asset Cont - 2008'!$C$16:$G$46,3,$B$16:$B$46)</f>
        <v>10</v>
      </c>
      <c r="J38" s="157">
        <f t="shared" si="3"/>
        <v>0.1</v>
      </c>
      <c r="K38" s="145">
        <f t="shared" si="0"/>
        <v>10000.500000000004</v>
      </c>
      <c r="L38" s="517" t="s">
        <v>780</v>
      </c>
      <c r="M38" s="615">
        <f>VLOOKUP(B38,'App.2-B_Fixed Asset Cont - 2008'!$C$16:$L$46,10,$B$16:$B$46)</f>
        <v>10000.5</v>
      </c>
    </row>
    <row r="39" spans="2:13" x14ac:dyDescent="0.2">
      <c r="B39" s="465">
        <v>1945</v>
      </c>
      <c r="C39" s="456" t="s">
        <v>567</v>
      </c>
      <c r="D39" s="580">
        <f>VLOOKUP(B39,'App.2-B_Fixed Asset Cont - 2008'!$C$16:$G$46,4,$B$16:$B$46)</f>
        <v>0</v>
      </c>
      <c r="E39" s="580"/>
      <c r="F39" s="27">
        <f t="shared" si="1"/>
        <v>0</v>
      </c>
      <c r="G39" s="580">
        <f>VLOOKUP(B39,'App.2-B_Fixed Asset Cont - 2008'!$C$16:$G$46,5,$B$16:$B$46)</f>
        <v>0</v>
      </c>
      <c r="H39" s="27">
        <f t="shared" si="2"/>
        <v>0</v>
      </c>
      <c r="I39" s="614"/>
      <c r="J39" s="157" t="str">
        <f t="shared" si="3"/>
        <v/>
      </c>
      <c r="K39" s="145" t="str">
        <f t="shared" si="0"/>
        <v/>
      </c>
      <c r="L39" s="517"/>
      <c r="M39" s="615">
        <f>VLOOKUP(B39,'App.2-B_Fixed Asset Cont - 2008'!$C$16:$L$46,10,$B$16:$B$46)</f>
        <v>0</v>
      </c>
    </row>
    <row r="40" spans="2:13" x14ac:dyDescent="0.2">
      <c r="B40" s="465">
        <v>1950</v>
      </c>
      <c r="C40" s="456" t="s">
        <v>473</v>
      </c>
      <c r="D40" s="580">
        <f>VLOOKUP(B40,'App.2-B_Fixed Asset Cont - 2008'!$C$16:$G$46,4,$B$16:$B$46)</f>
        <v>0</v>
      </c>
      <c r="E40" s="580"/>
      <c r="F40" s="27">
        <f t="shared" si="1"/>
        <v>0</v>
      </c>
      <c r="G40" s="580">
        <f>VLOOKUP(B40,'App.2-B_Fixed Asset Cont - 2008'!$C$16:$G$46,5,$B$16:$B$46)</f>
        <v>0</v>
      </c>
      <c r="H40" s="27">
        <f t="shared" si="2"/>
        <v>0</v>
      </c>
      <c r="I40" s="614"/>
      <c r="J40" s="157" t="str">
        <f t="shared" si="3"/>
        <v/>
      </c>
      <c r="K40" s="145" t="str">
        <f t="shared" si="0"/>
        <v/>
      </c>
      <c r="L40" s="517"/>
      <c r="M40" s="615">
        <f>VLOOKUP(B40,'App.2-B_Fixed Asset Cont - 2008'!$C$16:$L$46,10,$B$16:$B$46)</f>
        <v>0</v>
      </c>
    </row>
    <row r="41" spans="2:13" x14ac:dyDescent="0.2">
      <c r="B41" s="465">
        <v>1955</v>
      </c>
      <c r="C41" s="456" t="s">
        <v>568</v>
      </c>
      <c r="D41" s="580">
        <f>VLOOKUP(B41,'App.2-B_Fixed Asset Cont - 2008'!$C$16:$G$46,4,$B$16:$B$46)</f>
        <v>24604</v>
      </c>
      <c r="E41" s="580">
        <v>8145.6000000000013</v>
      </c>
      <c r="F41" s="27">
        <f>D41-E41</f>
        <v>16458.399999999998</v>
      </c>
      <c r="G41" s="580">
        <f>VLOOKUP(B41,'App.2-B_Fixed Asset Cont - 2008'!$C$16:$G$46,5,$B$16:$B$46)</f>
        <v>0</v>
      </c>
      <c r="H41" s="27">
        <f t="shared" si="2"/>
        <v>16458.399999999998</v>
      </c>
      <c r="I41" s="614">
        <f>1/VLOOKUP(B41,'App.2-B_Fixed Asset Cont - 2008'!$C$16:$G$46,3,$B$16:$B$46)</f>
        <v>10</v>
      </c>
      <c r="J41" s="157">
        <f t="shared" si="3"/>
        <v>0.1</v>
      </c>
      <c r="K41" s="145">
        <f t="shared" si="0"/>
        <v>1645.8399999999997</v>
      </c>
      <c r="L41" s="517" t="s">
        <v>780</v>
      </c>
      <c r="M41" s="615">
        <f>VLOOKUP(B41,'App.2-B_Fixed Asset Cont - 2008'!$C$16:$L$46,10,$B$16:$B$46)</f>
        <v>1645.84</v>
      </c>
    </row>
    <row r="42" spans="2:13" x14ac:dyDescent="0.2">
      <c r="B42" s="465">
        <v>1960</v>
      </c>
      <c r="C42" s="456" t="s">
        <v>475</v>
      </c>
      <c r="D42" s="580">
        <f>VLOOKUP(B42,'App.2-B_Fixed Asset Cont - 2008'!$C$16:$G$46,4,$B$16:$B$46)</f>
        <v>0</v>
      </c>
      <c r="E42" s="580"/>
      <c r="F42" s="27">
        <f t="shared" si="1"/>
        <v>0</v>
      </c>
      <c r="G42" s="580">
        <f>VLOOKUP(B42,'App.2-B_Fixed Asset Cont - 2008'!$C$16:$G$46,5,$B$16:$B$46)</f>
        <v>0</v>
      </c>
      <c r="H42" s="27">
        <f t="shared" si="2"/>
        <v>0</v>
      </c>
      <c r="I42" s="614"/>
      <c r="J42" s="157" t="str">
        <f t="shared" si="3"/>
        <v/>
      </c>
      <c r="K42" s="145" t="str">
        <f t="shared" si="0"/>
        <v/>
      </c>
      <c r="L42" s="517"/>
      <c r="M42" s="615">
        <f>VLOOKUP(B42,'App.2-B_Fixed Asset Cont - 2008'!$C$16:$L$46,10,$B$16:$B$46)</f>
        <v>0</v>
      </c>
    </row>
    <row r="43" spans="2:13" x14ac:dyDescent="0.2">
      <c r="B43" s="465">
        <v>1975</v>
      </c>
      <c r="C43" s="456" t="s">
        <v>569</v>
      </c>
      <c r="D43" s="580">
        <f>VLOOKUP(B43,'App.2-B_Fixed Asset Cont - 2008'!$C$16:$G$46,4,$B$16:$B$46)</f>
        <v>0</v>
      </c>
      <c r="E43" s="580"/>
      <c r="F43" s="27">
        <f t="shared" si="1"/>
        <v>0</v>
      </c>
      <c r="G43" s="580">
        <f>VLOOKUP(B43,'App.2-B_Fixed Asset Cont - 2008'!$C$16:$G$46,5,$B$16:$B$46)</f>
        <v>0</v>
      </c>
      <c r="H43" s="27">
        <f t="shared" si="2"/>
        <v>0</v>
      </c>
      <c r="I43" s="614"/>
      <c r="J43" s="157" t="str">
        <f t="shared" si="3"/>
        <v/>
      </c>
      <c r="K43" s="145" t="str">
        <f t="shared" si="0"/>
        <v/>
      </c>
      <c r="L43" s="517"/>
      <c r="M43" s="615">
        <f>VLOOKUP(B43,'App.2-B_Fixed Asset Cont - 2008'!$C$16:$L$46,10,$B$16:$B$46)</f>
        <v>0</v>
      </c>
    </row>
    <row r="44" spans="2:13" x14ac:dyDescent="0.2">
      <c r="B44" s="465">
        <v>1980</v>
      </c>
      <c r="C44" s="456" t="s">
        <v>570</v>
      </c>
      <c r="D44" s="580">
        <f>VLOOKUP(B44,'App.2-B_Fixed Asset Cont - 2008'!$C$16:$G$46,4,$B$16:$B$46)</f>
        <v>0</v>
      </c>
      <c r="E44" s="580"/>
      <c r="F44" s="27">
        <f t="shared" si="1"/>
        <v>0</v>
      </c>
      <c r="G44" s="580">
        <f>VLOOKUP(B44,'App.2-B_Fixed Asset Cont - 2008'!$C$16:$G$46,5,$B$16:$B$46)</f>
        <v>0</v>
      </c>
      <c r="H44" s="27">
        <f t="shared" si="2"/>
        <v>0</v>
      </c>
      <c r="I44" s="614"/>
      <c r="J44" s="157" t="str">
        <f t="shared" si="3"/>
        <v/>
      </c>
      <c r="K44" s="145" t="str">
        <f t="shared" si="0"/>
        <v/>
      </c>
      <c r="L44" s="517"/>
      <c r="M44" s="615">
        <f>VLOOKUP(B44,'App.2-B_Fixed Asset Cont - 2008'!$C$16:$L$46,10,$B$16:$B$46)</f>
        <v>0</v>
      </c>
    </row>
    <row r="45" spans="2:13" x14ac:dyDescent="0.2">
      <c r="B45" s="465">
        <v>1985</v>
      </c>
      <c r="C45" s="456" t="s">
        <v>571</v>
      </c>
      <c r="D45" s="580">
        <f>VLOOKUP(B45,'App.2-B_Fixed Asset Cont - 2008'!$C$16:$G$46,4,$B$16:$B$46)</f>
        <v>0</v>
      </c>
      <c r="E45" s="580">
        <v>0</v>
      </c>
      <c r="F45" s="27">
        <f t="shared" si="1"/>
        <v>0</v>
      </c>
      <c r="G45" s="580">
        <f>VLOOKUP(B45,'App.2-B_Fixed Asset Cont - 2008'!$C$16:$G$46,5,$B$16:$B$46)</f>
        <v>0</v>
      </c>
      <c r="H45" s="27">
        <f t="shared" si="2"/>
        <v>0</v>
      </c>
      <c r="I45" s="614">
        <f>1/VLOOKUP(B45,'App.2-B_Fixed Asset Cont - 2008'!$C$16:$G$46,3,$B$16:$B$46)</f>
        <v>10</v>
      </c>
      <c r="J45" s="157">
        <f t="shared" si="3"/>
        <v>0.1</v>
      </c>
      <c r="K45" s="145">
        <f t="shared" si="0"/>
        <v>0</v>
      </c>
      <c r="L45" s="517"/>
      <c r="M45" s="615">
        <f>VLOOKUP(B45,'App.2-B_Fixed Asset Cont - 2008'!$C$16:$L$46,10,$B$16:$B$46)</f>
        <v>0</v>
      </c>
    </row>
    <row r="46" spans="2:13" x14ac:dyDescent="0.2">
      <c r="B46" s="465">
        <v>1995</v>
      </c>
      <c r="C46" s="456" t="s">
        <v>572</v>
      </c>
      <c r="D46" s="580">
        <f>VLOOKUP(B46,'App.2-B_Fixed Asset Cont - 2008'!$C$16:$G$46,4,$B$16:$B$46)</f>
        <v>-3319944.31</v>
      </c>
      <c r="E46" s="580">
        <v>41056.890000000567</v>
      </c>
      <c r="F46" s="615">
        <f t="shared" si="1"/>
        <v>-3361001.2000000007</v>
      </c>
      <c r="G46" s="580">
        <f>VLOOKUP(B46,'App.2-B_Fixed Asset Cont - 2008'!$C$16:$G$46,5,$B$16:$B$46)</f>
        <v>-135687.1</v>
      </c>
      <c r="H46" s="615">
        <f t="shared" si="2"/>
        <v>-3428844.7500000005</v>
      </c>
      <c r="I46" s="614">
        <f>1/VLOOKUP(B46,'App.2-B_Fixed Asset Cont - 2008'!$C$16:$G$46,3,$B$16:$B$46)</f>
        <v>25</v>
      </c>
      <c r="J46" s="157">
        <f t="shared" si="3"/>
        <v>0.04</v>
      </c>
      <c r="K46" s="615">
        <f t="shared" si="0"/>
        <v>-137153.79</v>
      </c>
      <c r="L46" s="517" t="s">
        <v>780</v>
      </c>
      <c r="M46" s="615">
        <f>VLOOKUP(B46,'App.2-B_Fixed Asset Cont - 2008'!$C$16:$L$46,10,$B$16:$B$46)</f>
        <v>-137153.79</v>
      </c>
    </row>
    <row r="47" spans="2:13" x14ac:dyDescent="0.2">
      <c r="B47" s="465" t="s">
        <v>636</v>
      </c>
      <c r="C47" s="456"/>
      <c r="D47" s="580"/>
      <c r="E47" s="175"/>
      <c r="F47" s="157">
        <f t="shared" si="1"/>
        <v>0</v>
      </c>
      <c r="G47" s="175"/>
      <c r="H47" s="27">
        <f t="shared" si="2"/>
        <v>0</v>
      </c>
      <c r="I47" s="176"/>
      <c r="J47" s="157" t="str">
        <f t="shared" si="3"/>
        <v/>
      </c>
      <c r="K47" s="616" t="str">
        <f t="shared" si="0"/>
        <v/>
      </c>
      <c r="L47" s="517"/>
    </row>
    <row r="48" spans="2:13" ht="13.5" thickBot="1" x14ac:dyDescent="0.25">
      <c r="B48" s="466"/>
      <c r="C48" s="467"/>
      <c r="D48" s="171"/>
      <c r="E48" s="171"/>
      <c r="F48" s="520">
        <f t="shared" si="1"/>
        <v>0</v>
      </c>
      <c r="G48" s="171"/>
      <c r="H48" s="611">
        <f t="shared" si="2"/>
        <v>0</v>
      </c>
      <c r="I48" s="519"/>
      <c r="J48" s="520" t="str">
        <f t="shared" si="3"/>
        <v/>
      </c>
      <c r="K48" s="521" t="str">
        <f t="shared" si="0"/>
        <v/>
      </c>
      <c r="L48" s="518"/>
    </row>
    <row r="49" spans="2:13" ht="14.25" thickTop="1" thickBot="1" x14ac:dyDescent="0.25">
      <c r="B49" s="468"/>
      <c r="C49" s="469" t="s">
        <v>573</v>
      </c>
      <c r="D49" s="167">
        <f>SUM(D16:D48)</f>
        <v>20664914.32</v>
      </c>
      <c r="E49" s="167">
        <f>SUM(E16:E48)</f>
        <v>4045297.7100000014</v>
      </c>
      <c r="F49" s="303">
        <f>D49-E49</f>
        <v>16619616.609999999</v>
      </c>
      <c r="G49" s="27">
        <f>SUM(G16:G48)</f>
        <v>1197767.3599999996</v>
      </c>
      <c r="H49" s="303">
        <f>F49+0.5*G49</f>
        <v>17218500.289999999</v>
      </c>
      <c r="I49" s="617"/>
      <c r="J49" s="303"/>
      <c r="K49" s="308">
        <f>SUM(K16:K48)</f>
        <v>812117.11</v>
      </c>
      <c r="L49" s="464"/>
      <c r="M49" s="308">
        <f>SUM(M16:M48)</f>
        <v>812117.11</v>
      </c>
    </row>
    <row r="50" spans="2:13" ht="7.5" customHeight="1" x14ac:dyDescent="0.2"/>
    <row r="51" spans="2:13" x14ac:dyDescent="0.2">
      <c r="B51" s="52" t="s">
        <v>639</v>
      </c>
      <c r="C51" s="389"/>
      <c r="D51" s="389"/>
      <c r="E51" s="389"/>
      <c r="F51" s="389"/>
      <c r="G51" s="389"/>
      <c r="H51" s="612"/>
      <c r="I51" s="389"/>
      <c r="J51" s="389"/>
      <c r="K51" s="389"/>
    </row>
    <row r="52" spans="2:13" ht="7.5" customHeight="1" x14ac:dyDescent="0.2">
      <c r="B52" s="389"/>
      <c r="C52" s="389"/>
      <c r="D52" s="389"/>
      <c r="E52" s="389"/>
      <c r="F52" s="389"/>
      <c r="G52" s="389"/>
      <c r="H52" s="612"/>
      <c r="I52" s="389"/>
      <c r="J52" s="389"/>
      <c r="K52" s="389"/>
    </row>
    <row r="53" spans="2:13" x14ac:dyDescent="0.2">
      <c r="B53" s="760" t="s">
        <v>192</v>
      </c>
      <c r="C53" s="761"/>
      <c r="D53" s="761"/>
      <c r="E53" s="761"/>
      <c r="F53" s="761"/>
      <c r="G53" s="761"/>
      <c r="H53" s="761"/>
      <c r="I53" s="761"/>
      <c r="J53" s="761"/>
    </row>
    <row r="54" spans="2:13" ht="26.25" customHeight="1" x14ac:dyDescent="0.2">
      <c r="B54" s="760" t="s">
        <v>193</v>
      </c>
      <c r="C54" s="761"/>
      <c r="D54" s="761"/>
      <c r="E54" s="761"/>
      <c r="F54" s="761"/>
      <c r="G54" s="761"/>
      <c r="H54" s="761"/>
      <c r="I54" s="761"/>
      <c r="J54" s="761"/>
    </row>
    <row r="55" spans="2:13" x14ac:dyDescent="0.2">
      <c r="B55" s="762" t="s">
        <v>194</v>
      </c>
      <c r="C55" s="763"/>
      <c r="D55" s="763"/>
      <c r="E55" s="763"/>
      <c r="F55" s="763"/>
      <c r="G55" s="763"/>
      <c r="H55" s="763"/>
      <c r="I55" s="763"/>
      <c r="J55" s="763"/>
    </row>
    <row r="56" spans="2:13" ht="19.5" customHeight="1" x14ac:dyDescent="0.2">
      <c r="B56" s="763"/>
      <c r="C56" s="763"/>
      <c r="D56" s="763"/>
      <c r="E56" s="763"/>
      <c r="F56" s="763"/>
      <c r="G56" s="763"/>
      <c r="H56" s="763"/>
      <c r="I56" s="763"/>
      <c r="J56" s="763"/>
    </row>
    <row r="57" spans="2:13" ht="3" customHeight="1" x14ac:dyDescent="0.2">
      <c r="B57" s="389"/>
      <c r="C57" s="389"/>
      <c r="D57" s="389"/>
      <c r="E57" s="389"/>
      <c r="F57" s="389"/>
      <c r="G57" s="389"/>
      <c r="H57" s="612"/>
      <c r="I57" s="389"/>
      <c r="J57" s="389"/>
      <c r="K57" s="389"/>
    </row>
    <row r="58" spans="2:13" x14ac:dyDescent="0.2">
      <c r="B58" s="52" t="s">
        <v>482</v>
      </c>
      <c r="C58" s="764" t="s">
        <v>419</v>
      </c>
      <c r="D58" s="764"/>
      <c r="E58" s="764"/>
      <c r="F58" s="764"/>
      <c r="G58" s="764"/>
      <c r="H58" s="764"/>
      <c r="I58" s="764"/>
      <c r="J58" s="764"/>
      <c r="K58" s="764"/>
    </row>
    <row r="59" spans="2:13" x14ac:dyDescent="0.2">
      <c r="B59" s="389"/>
      <c r="C59" s="764"/>
      <c r="D59" s="764"/>
      <c r="E59" s="764"/>
      <c r="F59" s="764"/>
      <c r="G59" s="764"/>
      <c r="H59" s="764"/>
      <c r="I59" s="764"/>
      <c r="J59" s="764"/>
      <c r="K59" s="764"/>
    </row>
    <row r="60" spans="2:13" x14ac:dyDescent="0.2">
      <c r="B60" s="389"/>
      <c r="C60" s="764"/>
      <c r="D60" s="764"/>
      <c r="E60" s="764"/>
      <c r="F60" s="764"/>
      <c r="G60" s="764"/>
      <c r="H60" s="764"/>
      <c r="I60" s="764"/>
      <c r="J60" s="764"/>
      <c r="K60" s="764"/>
    </row>
  </sheetData>
  <mergeCells count="9">
    <mergeCell ref="B9:K9"/>
    <mergeCell ref="B10:K10"/>
    <mergeCell ref="B14:B15"/>
    <mergeCell ref="C14:C15"/>
    <mergeCell ref="L14:L15"/>
    <mergeCell ref="B53:J53"/>
    <mergeCell ref="B54:J54"/>
    <mergeCell ref="B55:J56"/>
    <mergeCell ref="C58:K60"/>
  </mergeCells>
  <dataValidations count="2">
    <dataValidation type="list" allowBlank="1" showInputMessage="1" showErrorMessage="1" sqref="L16:L48">
      <formula1>"Yes, No"</formula1>
    </dataValidation>
    <dataValidation allowBlank="1" showInputMessage="1" showErrorMessage="1" promptTitle="Date Format" prompt="E.g:  &quot;August 1, 2011&quot;" sqref="K7"/>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1:M60"/>
  <sheetViews>
    <sheetView showGridLines="0" topLeftCell="B33" zoomScaleNormal="100" workbookViewId="0">
      <selection activeCell="Q37" sqref="Q37"/>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2009</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- 2009'!$C$16:$G$46,4,$B$16:$B$46)</f>
        <v>2112</v>
      </c>
      <c r="E16" s="175"/>
      <c r="F16" s="27">
        <f>D16-E16</f>
        <v>2112</v>
      </c>
      <c r="G16" s="580">
        <f>VLOOKUP(B16,'App.2-B_Fixed Asset Cont - 2009'!$C$16:$G$46,5,$B$16:$B$46)</f>
        <v>0</v>
      </c>
      <c r="H16" s="27">
        <f>F16+0.5*G16</f>
        <v>2112</v>
      </c>
      <c r="I16" s="613"/>
      <c r="J16" s="157" t="str">
        <f>IF(I16=0,"",1/I16)</f>
        <v/>
      </c>
      <c r="K16" s="158" t="str">
        <f t="shared" ref="K16:K48" si="0">IF(I16=0,"",H16/I16)</f>
        <v/>
      </c>
      <c r="L16" s="517"/>
      <c r="M16" s="615">
        <f>VLOOKUP(B16,'App.2-B_Fixed Asset Cont - 2009'!$C$16:$L$46,10,$B$16:$B$46)</f>
        <v>0</v>
      </c>
    </row>
    <row r="17" spans="2:13" x14ac:dyDescent="0.2">
      <c r="B17" s="148">
        <v>1808</v>
      </c>
      <c r="C17" s="2" t="s">
        <v>537</v>
      </c>
      <c r="D17" s="580">
        <f>VLOOKUP(B17,'App.2-B_Fixed Asset Cont - 2009'!$C$16:$G$46,4,$B$16:$B$46)</f>
        <v>0</v>
      </c>
      <c r="E17" s="175"/>
      <c r="F17" s="27">
        <f t="shared" ref="F17:F48" si="1">D17-E17</f>
        <v>0</v>
      </c>
      <c r="G17" s="580">
        <f>VLOOKUP(B17,'App.2-B_Fixed Asset Cont - 2009'!$C$16:$G$46,5,$B$16:$B$46)</f>
        <v>0</v>
      </c>
      <c r="H17" s="27">
        <f t="shared" ref="H17:H48" si="2">F17+0.5*G17</f>
        <v>0</v>
      </c>
      <c r="I17" s="613"/>
      <c r="J17" s="157" t="str">
        <f t="shared" ref="J17:J48" si="3">IF(I17=0,"",1/I17)</f>
        <v/>
      </c>
      <c r="K17" s="158" t="str">
        <f t="shared" si="0"/>
        <v/>
      </c>
      <c r="L17" s="517"/>
      <c r="M17" s="615">
        <f>VLOOKUP(B17,'App.2-B_Fixed Asset Cont - 2009'!$C$16:$L$46,10,$B$16:$B$46)</f>
        <v>0</v>
      </c>
    </row>
    <row r="18" spans="2:13" x14ac:dyDescent="0.2">
      <c r="B18" s="148">
        <v>1810</v>
      </c>
      <c r="C18" s="2" t="s">
        <v>579</v>
      </c>
      <c r="D18" s="580">
        <f>VLOOKUP(B18,'App.2-B_Fixed Asset Cont - 2009'!$C$16:$G$46,4,$B$16:$B$46)</f>
        <v>0</v>
      </c>
      <c r="E18" s="175"/>
      <c r="F18" s="27">
        <f t="shared" si="1"/>
        <v>0</v>
      </c>
      <c r="G18" s="580">
        <f>VLOOKUP(B18,'App.2-B_Fixed Asset Cont - 2009'!$C$16:$G$46,5,$B$16:$B$46)</f>
        <v>0</v>
      </c>
      <c r="H18" s="27">
        <f t="shared" si="2"/>
        <v>0</v>
      </c>
      <c r="I18" s="613"/>
      <c r="J18" s="157" t="str">
        <f t="shared" si="3"/>
        <v/>
      </c>
      <c r="K18" s="158" t="str">
        <f t="shared" si="0"/>
        <v/>
      </c>
      <c r="L18" s="517"/>
      <c r="M18" s="615">
        <f>VLOOKUP(B18,'App.2-B_Fixed Asset Cont - 2009'!$C$16:$L$46,10,$B$16:$B$46)</f>
        <v>0</v>
      </c>
    </row>
    <row r="19" spans="2:13" x14ac:dyDescent="0.2">
      <c r="B19" s="148">
        <v>1815</v>
      </c>
      <c r="C19" s="2" t="s">
        <v>538</v>
      </c>
      <c r="D19" s="580">
        <f>VLOOKUP(B19,'App.2-B_Fixed Asset Cont - 2009'!$C$16:$G$46,4,$B$16:$B$46)</f>
        <v>0</v>
      </c>
      <c r="E19" s="175"/>
      <c r="F19" s="27">
        <f t="shared" si="1"/>
        <v>0</v>
      </c>
      <c r="G19" s="580">
        <f>VLOOKUP(B19,'App.2-B_Fixed Asset Cont - 2009'!$C$16:$G$46,5,$B$16:$B$46)</f>
        <v>0</v>
      </c>
      <c r="H19" s="27">
        <f t="shared" si="2"/>
        <v>0</v>
      </c>
      <c r="I19" s="613"/>
      <c r="J19" s="157" t="str">
        <f t="shared" si="3"/>
        <v/>
      </c>
      <c r="K19" s="158" t="str">
        <f t="shared" si="0"/>
        <v/>
      </c>
      <c r="L19" s="517"/>
      <c r="M19" s="615">
        <f>VLOOKUP(B19,'App.2-B_Fixed Asset Cont - 2009'!$C$16:$L$46,10,$B$16:$B$46)</f>
        <v>0</v>
      </c>
    </row>
    <row r="20" spans="2:13" x14ac:dyDescent="0.2">
      <c r="B20" s="465">
        <v>1820</v>
      </c>
      <c r="C20" s="456" t="s">
        <v>462</v>
      </c>
      <c r="D20" s="580">
        <f>VLOOKUP(B20,'App.2-B_Fixed Asset Cont - 2009'!$C$16:$G$46,4,$B$16:$B$46)</f>
        <v>142098.48000000001</v>
      </c>
      <c r="E20" s="580">
        <v>140549.23000000001</v>
      </c>
      <c r="F20" s="27">
        <f t="shared" si="1"/>
        <v>1549.25</v>
      </c>
      <c r="G20" s="580">
        <f>VLOOKUP(B20,'App.2-B_Fixed Asset Cont - 2009'!$C$16:$G$46,5,$B$16:$B$46)</f>
        <v>0</v>
      </c>
      <c r="H20" s="27">
        <f t="shared" si="2"/>
        <v>1549.25</v>
      </c>
      <c r="I20" s="614">
        <f>1/VLOOKUP(B20,'App.2-B_Fixed Asset Cont - 2009'!$C$16:$G$46,3,$B$16:$B$46)</f>
        <v>25</v>
      </c>
      <c r="J20" s="157">
        <f t="shared" si="3"/>
        <v>0.04</v>
      </c>
      <c r="K20" s="145">
        <f t="shared" si="0"/>
        <v>61.97</v>
      </c>
      <c r="L20" s="517" t="s">
        <v>780</v>
      </c>
      <c r="M20" s="615">
        <f>VLOOKUP(B20,'App.2-B_Fixed Asset Cont - 2009'!$C$16:$L$46,10,$B$16:$B$46)</f>
        <v>61.97</v>
      </c>
    </row>
    <row r="21" spans="2:13" x14ac:dyDescent="0.2">
      <c r="B21" s="465">
        <v>1825</v>
      </c>
      <c r="C21" s="456" t="s">
        <v>539</v>
      </c>
      <c r="D21" s="580">
        <f>VLOOKUP(B21,'App.2-B_Fixed Asset Cont - 2009'!$C$16:$G$46,4,$B$16:$B$46)</f>
        <v>0</v>
      </c>
      <c r="E21" s="580"/>
      <c r="F21" s="27">
        <f t="shared" si="1"/>
        <v>0</v>
      </c>
      <c r="G21" s="580">
        <f>VLOOKUP(B21,'App.2-B_Fixed Asset Cont - 2009'!$C$16:$G$46,5,$B$16:$B$46)</f>
        <v>0</v>
      </c>
      <c r="H21" s="27">
        <f t="shared" si="2"/>
        <v>0</v>
      </c>
      <c r="I21" s="614"/>
      <c r="J21" s="157" t="str">
        <f t="shared" si="3"/>
        <v/>
      </c>
      <c r="K21" s="145" t="str">
        <f t="shared" si="0"/>
        <v/>
      </c>
      <c r="L21" s="517"/>
      <c r="M21" s="615">
        <f>VLOOKUP(B21,'App.2-B_Fixed Asset Cont - 2009'!$C$16:$L$46,10,$B$16:$B$46)</f>
        <v>0</v>
      </c>
    </row>
    <row r="22" spans="2:13" x14ac:dyDescent="0.2">
      <c r="B22" s="465">
        <v>1830</v>
      </c>
      <c r="C22" s="456" t="s">
        <v>540</v>
      </c>
      <c r="D22" s="580">
        <f>VLOOKUP(B22,'App.2-B_Fixed Asset Cont - 2009'!$C$16:$G$46,4,$B$16:$B$46)</f>
        <v>669653.69000000006</v>
      </c>
      <c r="E22" s="580">
        <v>-249.50999999991836</v>
      </c>
      <c r="F22" s="27">
        <f t="shared" si="1"/>
        <v>669903.19999999995</v>
      </c>
      <c r="G22" s="580">
        <f>VLOOKUP(B22,'App.2-B_Fixed Asset Cont - 2009'!$C$16:$G$46,5,$B$16:$B$46)</f>
        <v>62308.6</v>
      </c>
      <c r="H22" s="27">
        <f t="shared" si="2"/>
        <v>701057.5</v>
      </c>
      <c r="I22" s="614">
        <f>1/VLOOKUP(B22,'App.2-B_Fixed Asset Cont - 2009'!$C$16:$G$46,3,$B$16:$B$46)</f>
        <v>25</v>
      </c>
      <c r="J22" s="157">
        <f t="shared" si="3"/>
        <v>0.04</v>
      </c>
      <c r="K22" s="145">
        <f t="shared" si="0"/>
        <v>28042.3</v>
      </c>
      <c r="L22" s="517" t="s">
        <v>780</v>
      </c>
      <c r="M22" s="615">
        <f>VLOOKUP(B22,'App.2-B_Fixed Asset Cont - 2009'!$C$16:$L$46,10,$B$16:$B$46)</f>
        <v>28042.3</v>
      </c>
    </row>
    <row r="23" spans="2:13" x14ac:dyDescent="0.2">
      <c r="B23" s="465">
        <v>1835</v>
      </c>
      <c r="C23" s="456" t="s">
        <v>463</v>
      </c>
      <c r="D23" s="580">
        <f>VLOOKUP(B23,'App.2-B_Fixed Asset Cont - 2009'!$C$16:$G$46,4,$B$16:$B$46)</f>
        <v>5823217.6100000003</v>
      </c>
      <c r="E23" s="580">
        <v>127906.75499999998</v>
      </c>
      <c r="F23" s="27">
        <f t="shared" si="1"/>
        <v>5695310.8550000004</v>
      </c>
      <c r="G23" s="580">
        <f>VLOOKUP(B23,'App.2-B_Fixed Asset Cont - 2009'!$C$16:$G$46,5,$B$16:$B$46)</f>
        <v>106482.79</v>
      </c>
      <c r="H23" s="27">
        <f t="shared" si="2"/>
        <v>5748552.25</v>
      </c>
      <c r="I23" s="614">
        <f>1/VLOOKUP(B23,'App.2-B_Fixed Asset Cont - 2009'!$C$16:$G$46,3,$B$16:$B$46)</f>
        <v>25</v>
      </c>
      <c r="J23" s="157">
        <f t="shared" si="3"/>
        <v>0.04</v>
      </c>
      <c r="K23" s="145">
        <f t="shared" si="0"/>
        <v>229942.09</v>
      </c>
      <c r="L23" s="517" t="s">
        <v>780</v>
      </c>
      <c r="M23" s="615">
        <f>VLOOKUP(B23,'App.2-B_Fixed Asset Cont - 2009'!$C$16:$L$46,10,$B$16:$B$46)</f>
        <v>229942.09</v>
      </c>
    </row>
    <row r="24" spans="2:13" x14ac:dyDescent="0.2">
      <c r="B24" s="465">
        <v>1840</v>
      </c>
      <c r="C24" s="456" t="s">
        <v>464</v>
      </c>
      <c r="D24" s="580">
        <f>VLOOKUP(B24,'App.2-B_Fixed Asset Cont - 2009'!$C$16:$G$46,4,$B$16:$B$46)</f>
        <v>913131.65999999992</v>
      </c>
      <c r="E24" s="580">
        <v>-129.55000000001746</v>
      </c>
      <c r="F24" s="27">
        <f t="shared" si="1"/>
        <v>913261.21</v>
      </c>
      <c r="G24" s="580">
        <f>VLOOKUP(B24,'App.2-B_Fixed Asset Cont - 2009'!$C$16:$G$46,5,$B$16:$B$46)</f>
        <v>132682.07999999999</v>
      </c>
      <c r="H24" s="27">
        <f t="shared" si="2"/>
        <v>979602.25</v>
      </c>
      <c r="I24" s="614">
        <f>1/VLOOKUP(B24,'App.2-B_Fixed Asset Cont - 2009'!$C$16:$G$46,3,$B$16:$B$46)</f>
        <v>25</v>
      </c>
      <c r="J24" s="157">
        <f t="shared" si="3"/>
        <v>0.04</v>
      </c>
      <c r="K24" s="145">
        <f t="shared" si="0"/>
        <v>39184.089999999997</v>
      </c>
      <c r="L24" s="517" t="s">
        <v>780</v>
      </c>
      <c r="M24" s="615">
        <f>VLOOKUP(B24,'App.2-B_Fixed Asset Cont - 2009'!$C$16:$L$46,10,$B$16:$B$46)</f>
        <v>39184.089999999997</v>
      </c>
    </row>
    <row r="25" spans="2:13" x14ac:dyDescent="0.2">
      <c r="B25" s="465">
        <v>1845</v>
      </c>
      <c r="C25" s="456" t="s">
        <v>465</v>
      </c>
      <c r="D25" s="580">
        <f>VLOOKUP(B25,'App.2-B_Fixed Asset Cont - 2009'!$C$16:$G$46,4,$B$16:$B$46)</f>
        <v>6719111.6900000004</v>
      </c>
      <c r="E25" s="580">
        <v>429697.05000000028</v>
      </c>
      <c r="F25" s="27">
        <f t="shared" si="1"/>
        <v>6289414.6400000006</v>
      </c>
      <c r="G25" s="580">
        <f>VLOOKUP(B25,'App.2-B_Fixed Asset Cont - 2009'!$C$16:$G$46,5,$B$16:$B$46)</f>
        <v>140966.22</v>
      </c>
      <c r="H25" s="27">
        <f t="shared" si="2"/>
        <v>6359897.7500000009</v>
      </c>
      <c r="I25" s="614">
        <f>1/VLOOKUP(B25,'App.2-B_Fixed Asset Cont - 2009'!$C$16:$G$46,3,$B$16:$B$46)</f>
        <v>25</v>
      </c>
      <c r="J25" s="157">
        <f t="shared" si="3"/>
        <v>0.04</v>
      </c>
      <c r="K25" s="145">
        <f t="shared" si="0"/>
        <v>254395.91000000003</v>
      </c>
      <c r="L25" s="517" t="s">
        <v>780</v>
      </c>
      <c r="M25" s="615">
        <f>VLOOKUP(B25,'App.2-B_Fixed Asset Cont - 2009'!$C$16:$L$46,10,$B$16:$B$46)</f>
        <v>254395.91</v>
      </c>
    </row>
    <row r="26" spans="2:13" x14ac:dyDescent="0.2">
      <c r="B26" s="465">
        <v>1850</v>
      </c>
      <c r="C26" s="456" t="s">
        <v>541</v>
      </c>
      <c r="D26" s="580">
        <f>VLOOKUP(B26,'App.2-B_Fixed Asset Cont - 2009'!$C$16:$G$46,4,$B$16:$B$46)</f>
        <v>5186517.1499999994</v>
      </c>
      <c r="E26" s="580">
        <v>718485.37999999966</v>
      </c>
      <c r="F26" s="27">
        <f t="shared" si="1"/>
        <v>4468031.7699999996</v>
      </c>
      <c r="G26" s="580">
        <f>VLOOKUP(B26,'App.2-B_Fixed Asset Cont - 2009'!$C$16:$G$46,5,$B$16:$B$46)</f>
        <v>131200.95999999999</v>
      </c>
      <c r="H26" s="27">
        <f t="shared" si="2"/>
        <v>4533632.25</v>
      </c>
      <c r="I26" s="614">
        <f>1/VLOOKUP(B26,'App.2-B_Fixed Asset Cont - 2009'!$C$16:$G$46,3,$B$16:$B$46)</f>
        <v>25</v>
      </c>
      <c r="J26" s="157">
        <f t="shared" si="3"/>
        <v>0.04</v>
      </c>
      <c r="K26" s="145">
        <f t="shared" si="0"/>
        <v>181345.29</v>
      </c>
      <c r="L26" s="517" t="s">
        <v>780</v>
      </c>
      <c r="M26" s="615">
        <f>VLOOKUP(B26,'App.2-B_Fixed Asset Cont - 2009'!$C$16:$L$46,10,$B$16:$B$46)</f>
        <v>181345.29</v>
      </c>
    </row>
    <row r="27" spans="2:13" x14ac:dyDescent="0.2">
      <c r="B27" s="465">
        <v>1855</v>
      </c>
      <c r="C27" s="456" t="s">
        <v>481</v>
      </c>
      <c r="D27" s="580">
        <f>VLOOKUP(B27,'App.2-B_Fixed Asset Cont - 2009'!$C$16:$G$46,4,$B$16:$B$46)</f>
        <v>511694.44999999995</v>
      </c>
      <c r="E27" s="580">
        <v>-230.37999999996828</v>
      </c>
      <c r="F27" s="27">
        <f t="shared" si="1"/>
        <v>511924.8299999999</v>
      </c>
      <c r="G27" s="580">
        <f>VLOOKUP(B27,'App.2-B_Fixed Asset Cont - 2009'!$C$16:$G$46,5,$B$16:$B$46)</f>
        <v>50765.34</v>
      </c>
      <c r="H27" s="27">
        <f t="shared" si="2"/>
        <v>537307.49999999988</v>
      </c>
      <c r="I27" s="614">
        <f>1/VLOOKUP(B27,'App.2-B_Fixed Asset Cont - 2009'!$C$16:$G$46,3,$B$16:$B$46)</f>
        <v>25</v>
      </c>
      <c r="J27" s="157">
        <f t="shared" si="3"/>
        <v>0.04</v>
      </c>
      <c r="K27" s="145">
        <f t="shared" si="0"/>
        <v>21492.299999999996</v>
      </c>
      <c r="L27" s="517" t="s">
        <v>780</v>
      </c>
      <c r="M27" s="615">
        <f>VLOOKUP(B27,'App.2-B_Fixed Asset Cont - 2009'!$C$16:$L$46,10,$B$16:$B$46)</f>
        <v>21492.3</v>
      </c>
    </row>
    <row r="28" spans="2:13" x14ac:dyDescent="0.2">
      <c r="B28" s="465">
        <v>1860</v>
      </c>
      <c r="C28" s="456" t="s">
        <v>542</v>
      </c>
      <c r="D28" s="580">
        <f>VLOOKUP(B28,'App.2-B_Fixed Asset Cont - 2009'!$C$16:$G$46,4,$B$16:$B$46)</f>
        <v>1339484.8900000001</v>
      </c>
      <c r="E28" s="580">
        <v>220217.43500000011</v>
      </c>
      <c r="F28" s="27">
        <f t="shared" si="1"/>
        <v>1119267.4550000001</v>
      </c>
      <c r="G28" s="580">
        <f>VLOOKUP(B28,'App.2-B_Fixed Asset Cont - 2009'!$C$16:$G$46,5,$B$16:$B$46)</f>
        <v>35988.089999999997</v>
      </c>
      <c r="H28" s="27">
        <f t="shared" si="2"/>
        <v>1137261.5</v>
      </c>
      <c r="I28" s="614">
        <f>1/VLOOKUP(B28,'App.2-B_Fixed Asset Cont - 2009'!$C$16:$G$46,3,$B$16:$B$46)</f>
        <v>25</v>
      </c>
      <c r="J28" s="157">
        <f t="shared" si="3"/>
        <v>0.04</v>
      </c>
      <c r="K28" s="145">
        <f t="shared" si="0"/>
        <v>45490.46</v>
      </c>
      <c r="L28" s="517" t="s">
        <v>780</v>
      </c>
      <c r="M28" s="615">
        <f>VLOOKUP(B28,'App.2-B_Fixed Asset Cont - 2009'!$C$16:$L$46,10,$B$16:$B$46)</f>
        <v>45490.46</v>
      </c>
    </row>
    <row r="29" spans="2:13" x14ac:dyDescent="0.2">
      <c r="B29" s="465">
        <v>1905</v>
      </c>
      <c r="C29" s="456" t="s">
        <v>536</v>
      </c>
      <c r="D29" s="580">
        <f>VLOOKUP(B29,'App.2-B_Fixed Asset Cont - 2009'!$C$16:$G$46,4,$B$16:$B$46)</f>
        <v>171765.02</v>
      </c>
      <c r="E29" s="580"/>
      <c r="F29" s="27">
        <f t="shared" si="1"/>
        <v>171765.02</v>
      </c>
      <c r="G29" s="580">
        <f>VLOOKUP(B29,'App.2-B_Fixed Asset Cont - 2009'!$C$16:$G$46,5,$B$16:$B$46)</f>
        <v>0</v>
      </c>
      <c r="H29" s="27">
        <f t="shared" si="2"/>
        <v>171765.02</v>
      </c>
      <c r="I29" s="614"/>
      <c r="J29" s="157" t="str">
        <f t="shared" si="3"/>
        <v/>
      </c>
      <c r="K29" s="145" t="str">
        <f t="shared" si="0"/>
        <v/>
      </c>
      <c r="L29" s="517"/>
      <c r="M29" s="615">
        <f>VLOOKUP(B29,'App.2-B_Fixed Asset Cont - 2009'!$C$16:$L$46,10,$B$16:$B$46)</f>
        <v>0</v>
      </c>
    </row>
    <row r="30" spans="2:13" x14ac:dyDescent="0.2">
      <c r="B30" s="465">
        <v>1906</v>
      </c>
      <c r="C30" s="456" t="s">
        <v>545</v>
      </c>
      <c r="D30" s="580">
        <f>VLOOKUP(B30,'App.2-B_Fixed Asset Cont - 2009'!$C$16:$G$46,4,$B$16:$B$46)</f>
        <v>2944.73</v>
      </c>
      <c r="E30" s="580">
        <v>2944.7299999999996</v>
      </c>
      <c r="F30" s="27">
        <f t="shared" si="1"/>
        <v>0</v>
      </c>
      <c r="G30" s="580">
        <f>VLOOKUP(B30,'App.2-B_Fixed Asset Cont - 2009'!$C$16:$G$46,5,$B$16:$B$46)</f>
        <v>0</v>
      </c>
      <c r="H30" s="27">
        <f t="shared" si="2"/>
        <v>0</v>
      </c>
      <c r="I30" s="614">
        <f>1/VLOOKUP(B30,'App.2-B_Fixed Asset Cont - 2009'!$C$16:$G$46,3,$B$16:$B$46)</f>
        <v>50</v>
      </c>
      <c r="J30" s="157">
        <f t="shared" si="3"/>
        <v>0.02</v>
      </c>
      <c r="K30" s="145">
        <f t="shared" si="0"/>
        <v>0</v>
      </c>
      <c r="L30" s="517"/>
      <c r="M30" s="615">
        <f>VLOOKUP(B30,'App.2-B_Fixed Asset Cont - 2009'!$C$16:$L$46,10,$B$16:$B$46)</f>
        <v>0</v>
      </c>
    </row>
    <row r="31" spans="2:13" x14ac:dyDescent="0.2">
      <c r="B31" s="465">
        <v>1908</v>
      </c>
      <c r="C31" s="456" t="s">
        <v>546</v>
      </c>
      <c r="D31" s="580">
        <f>VLOOKUP(B31,'App.2-B_Fixed Asset Cont - 2009'!$C$16:$G$46,4,$B$16:$B$46)</f>
        <v>860528.11</v>
      </c>
      <c r="E31" s="580">
        <v>676501.30999999994</v>
      </c>
      <c r="F31" s="27">
        <f t="shared" si="1"/>
        <v>184026.80000000005</v>
      </c>
      <c r="G31" s="580">
        <f>VLOOKUP(B31,'App.2-B_Fixed Asset Cont - 2009'!$C$16:$G$46,5,$B$16:$B$46)</f>
        <v>0</v>
      </c>
      <c r="H31" s="27">
        <f t="shared" si="2"/>
        <v>184026.80000000005</v>
      </c>
      <c r="I31" s="614">
        <f>1/VLOOKUP(B31,'App.2-B_Fixed Asset Cont - 2009'!$C$16:$G$46,3,$B$16:$B$46)</f>
        <v>10</v>
      </c>
      <c r="J31" s="157">
        <f t="shared" si="3"/>
        <v>0.1</v>
      </c>
      <c r="K31" s="145">
        <f t="shared" si="0"/>
        <v>18402.680000000004</v>
      </c>
      <c r="L31" s="517" t="s">
        <v>780</v>
      </c>
      <c r="M31" s="615">
        <f>VLOOKUP(B31,'App.2-B_Fixed Asset Cont - 2009'!$C$16:$L$46,10,$B$16:$B$46)</f>
        <v>18402.68</v>
      </c>
    </row>
    <row r="32" spans="2:13" x14ac:dyDescent="0.2">
      <c r="B32" s="465">
        <v>1910</v>
      </c>
      <c r="C32" s="456" t="s">
        <v>579</v>
      </c>
      <c r="D32" s="580">
        <f>VLOOKUP(B32,'App.2-B_Fixed Asset Cont - 2009'!$C$16:$G$46,4,$B$16:$B$46)</f>
        <v>0</v>
      </c>
      <c r="E32" s="580"/>
      <c r="F32" s="27">
        <f t="shared" si="1"/>
        <v>0</v>
      </c>
      <c r="G32" s="580">
        <f>VLOOKUP(B32,'App.2-B_Fixed Asset Cont - 2009'!$C$16:$G$46,5,$B$16:$B$46)</f>
        <v>0</v>
      </c>
      <c r="H32" s="27">
        <f t="shared" si="2"/>
        <v>0</v>
      </c>
      <c r="I32" s="614"/>
      <c r="J32" s="157" t="str">
        <f t="shared" si="3"/>
        <v/>
      </c>
      <c r="K32" s="145" t="str">
        <f t="shared" si="0"/>
        <v/>
      </c>
      <c r="L32" s="517"/>
      <c r="M32" s="615">
        <f>VLOOKUP(B32,'App.2-B_Fixed Asset Cont - 2009'!$C$16:$L$46,10,$B$16:$B$46)</f>
        <v>0</v>
      </c>
    </row>
    <row r="33" spans="2:13" x14ac:dyDescent="0.2">
      <c r="B33" s="465">
        <v>1915</v>
      </c>
      <c r="C33" s="608" t="s">
        <v>750</v>
      </c>
      <c r="D33" s="580">
        <f>VLOOKUP(B33,'App.2-B_Fixed Asset Cont - 2009'!$C$16:$G$46,4,$B$16:$B$46)</f>
        <v>216992.34</v>
      </c>
      <c r="E33" s="580">
        <v>140521</v>
      </c>
      <c r="F33" s="27">
        <f t="shared" si="1"/>
        <v>76471.34</v>
      </c>
      <c r="G33" s="580">
        <f>VLOOKUP(B33,'App.2-B_Fixed Asset Cont - 2009'!$C$16:$G$46,5,$B$16:$B$46)</f>
        <v>5323.32</v>
      </c>
      <c r="H33" s="27">
        <f t="shared" si="2"/>
        <v>79133</v>
      </c>
      <c r="I33" s="614">
        <f>1/VLOOKUP(B33,'App.2-B_Fixed Asset Cont - 2009'!$C$16:$G$46,3,$B$16:$B$46)</f>
        <v>10</v>
      </c>
      <c r="J33" s="157">
        <f t="shared" si="3"/>
        <v>0.1</v>
      </c>
      <c r="K33" s="145">
        <f t="shared" si="0"/>
        <v>7913.3</v>
      </c>
      <c r="L33" s="517" t="s">
        <v>780</v>
      </c>
      <c r="M33" s="615">
        <f>VLOOKUP(B33,'App.2-B_Fixed Asset Cont - 2009'!$C$16:$L$46,10,$B$16:$B$46)</f>
        <v>7913.3</v>
      </c>
    </row>
    <row r="34" spans="2:13" x14ac:dyDescent="0.2">
      <c r="B34" s="465">
        <v>1920</v>
      </c>
      <c r="C34" s="456" t="s">
        <v>470</v>
      </c>
      <c r="D34" s="580">
        <f>VLOOKUP(B34,'App.2-B_Fixed Asset Cont - 2009'!$C$16:$G$46,4,$B$16:$B$46)</f>
        <v>346417.78</v>
      </c>
      <c r="E34" s="580">
        <v>215481.43500000006</v>
      </c>
      <c r="F34" s="27">
        <f t="shared" si="1"/>
        <v>130936.34499999997</v>
      </c>
      <c r="G34" s="580">
        <f>VLOOKUP(B34,'App.2-B_Fixed Asset Cont - 2009'!$C$16:$G$46,5,$B$16:$B$46)</f>
        <v>8227.81</v>
      </c>
      <c r="H34" s="27">
        <f t="shared" si="2"/>
        <v>135050.24999999997</v>
      </c>
      <c r="I34" s="614">
        <f>1/VLOOKUP(B34,'App.2-B_Fixed Asset Cont - 2009'!$C$16:$G$46,3,$B$16:$B$46)</f>
        <v>5</v>
      </c>
      <c r="J34" s="157">
        <f t="shared" si="3"/>
        <v>0.2</v>
      </c>
      <c r="K34" s="145">
        <f t="shared" si="0"/>
        <v>27010.049999999996</v>
      </c>
      <c r="L34" s="517" t="s">
        <v>780</v>
      </c>
      <c r="M34" s="615">
        <f>VLOOKUP(B34,'App.2-B_Fixed Asset Cont - 2009'!$C$16:$L$46,10,$B$16:$B$46)</f>
        <v>27010.05</v>
      </c>
    </row>
    <row r="35" spans="2:13" x14ac:dyDescent="0.2">
      <c r="B35" s="465">
        <v>1925</v>
      </c>
      <c r="C35" s="456" t="s">
        <v>563</v>
      </c>
      <c r="D35" s="580">
        <f>VLOOKUP(B35,'App.2-B_Fixed Asset Cont - 2009'!$C$16:$G$46,4,$B$16:$B$46)</f>
        <v>233445.09999999998</v>
      </c>
      <c r="E35" s="580">
        <v>30696.684999999998</v>
      </c>
      <c r="F35" s="27">
        <f t="shared" si="1"/>
        <v>202748.41499999998</v>
      </c>
      <c r="G35" s="580">
        <f>VLOOKUP(B35,'App.2-B_Fixed Asset Cont - 2009'!$C$16:$G$46,5,$B$16:$B$46)</f>
        <v>5386.77</v>
      </c>
      <c r="H35" s="27">
        <f t="shared" si="2"/>
        <v>205441.8</v>
      </c>
      <c r="I35" s="614">
        <f>1/VLOOKUP(B35,'App.2-B_Fixed Asset Cont - 2009'!$C$16:$G$46,3,$B$16:$B$46)</f>
        <v>5</v>
      </c>
      <c r="J35" s="157">
        <f t="shared" si="3"/>
        <v>0.2</v>
      </c>
      <c r="K35" s="145">
        <f t="shared" si="0"/>
        <v>41088.36</v>
      </c>
      <c r="L35" s="517" t="s">
        <v>780</v>
      </c>
      <c r="M35" s="615">
        <f>VLOOKUP(B35,'App.2-B_Fixed Asset Cont - 2009'!$C$16:$L$46,10,$B$16:$B$46)</f>
        <v>41088.36</v>
      </c>
    </row>
    <row r="36" spans="2:13" x14ac:dyDescent="0.2">
      <c r="B36" s="465">
        <v>1930</v>
      </c>
      <c r="C36" s="456" t="s">
        <v>564</v>
      </c>
      <c r="D36" s="580">
        <f>VLOOKUP(B36,'App.2-B_Fixed Asset Cont - 2009'!$C$16:$G$46,4,$B$16:$B$46)</f>
        <v>1798926.3599999999</v>
      </c>
      <c r="E36" s="580">
        <v>1134171.3849999998</v>
      </c>
      <c r="F36" s="27">
        <f t="shared" si="1"/>
        <v>664754.97500000009</v>
      </c>
      <c r="G36" s="580">
        <f>VLOOKUP(B36,'App.2-B_Fixed Asset Cont - 2009'!$C$16:$G$46,5,$B$16:$B$46)</f>
        <v>73521.09</v>
      </c>
      <c r="H36" s="27">
        <f t="shared" si="2"/>
        <v>701515.52000000014</v>
      </c>
      <c r="I36" s="614">
        <f>1/VLOOKUP(B36,'App.2-B_Fixed Asset Cont - 2009'!$C$16:$G$46,3,$B$16:$B$46)</f>
        <v>8</v>
      </c>
      <c r="J36" s="157">
        <f t="shared" si="3"/>
        <v>0.125</v>
      </c>
      <c r="K36" s="145">
        <f t="shared" si="0"/>
        <v>87689.440000000017</v>
      </c>
      <c r="L36" s="517" t="s">
        <v>780</v>
      </c>
      <c r="M36" s="615">
        <f>VLOOKUP(B36,'App.2-B_Fixed Asset Cont - 2009'!$C$16:$L$46,10,$B$16:$B$46)</f>
        <v>87689.44</v>
      </c>
    </row>
    <row r="37" spans="2:13" x14ac:dyDescent="0.2">
      <c r="B37" s="465">
        <v>1935</v>
      </c>
      <c r="C37" s="456" t="s">
        <v>565</v>
      </c>
      <c r="D37" s="580">
        <f>VLOOKUP(B37,'App.2-B_Fixed Asset Cont - 2009'!$C$16:$G$46,4,$B$16:$B$46)</f>
        <v>0</v>
      </c>
      <c r="E37" s="580"/>
      <c r="F37" s="27">
        <f t="shared" si="1"/>
        <v>0</v>
      </c>
      <c r="G37" s="580">
        <f>VLOOKUP(B37,'App.2-B_Fixed Asset Cont - 2009'!$C$16:$G$46,5,$B$16:$B$46)</f>
        <v>0</v>
      </c>
      <c r="H37" s="27">
        <f t="shared" si="2"/>
        <v>0</v>
      </c>
      <c r="I37" s="614"/>
      <c r="J37" s="157" t="str">
        <f t="shared" si="3"/>
        <v/>
      </c>
      <c r="K37" s="145" t="str">
        <f t="shared" si="0"/>
        <v/>
      </c>
      <c r="L37" s="517"/>
      <c r="M37" s="615">
        <f>VLOOKUP(B37,'App.2-B_Fixed Asset Cont - 2009'!$C$16:$L$46,10,$B$16:$B$46)</f>
        <v>0</v>
      </c>
    </row>
    <row r="38" spans="2:13" x14ac:dyDescent="0.2">
      <c r="B38" s="465">
        <v>1940</v>
      </c>
      <c r="C38" s="456" t="s">
        <v>566</v>
      </c>
      <c r="D38" s="580">
        <f>VLOOKUP(B38,'App.2-B_Fixed Asset Cont - 2009'!$C$16:$G$46,4,$B$16:$B$46)</f>
        <v>355668.03</v>
      </c>
      <c r="E38" s="580">
        <v>235995.63</v>
      </c>
      <c r="F38" s="27">
        <f t="shared" si="1"/>
        <v>119672.40000000002</v>
      </c>
      <c r="G38" s="580">
        <f>VLOOKUP(B38,'App.2-B_Fixed Asset Cont - 2009'!$C$16:$G$46,5,$B$16:$B$46)</f>
        <v>6257.2</v>
      </c>
      <c r="H38" s="27">
        <f t="shared" si="2"/>
        <v>122801.00000000003</v>
      </c>
      <c r="I38" s="614">
        <f>1/VLOOKUP(B38,'App.2-B_Fixed Asset Cont - 2009'!$C$16:$G$46,3,$B$16:$B$46)</f>
        <v>10</v>
      </c>
      <c r="J38" s="157">
        <f t="shared" si="3"/>
        <v>0.1</v>
      </c>
      <c r="K38" s="145">
        <f t="shared" si="0"/>
        <v>12280.100000000002</v>
      </c>
      <c r="L38" s="517" t="s">
        <v>780</v>
      </c>
      <c r="M38" s="615">
        <f>VLOOKUP(B38,'App.2-B_Fixed Asset Cont - 2009'!$C$16:$L$46,10,$B$16:$B$46)</f>
        <v>12280.1</v>
      </c>
    </row>
    <row r="39" spans="2:13" x14ac:dyDescent="0.2">
      <c r="B39" s="465">
        <v>1945</v>
      </c>
      <c r="C39" s="456" t="s">
        <v>567</v>
      </c>
      <c r="D39" s="580">
        <f>VLOOKUP(B39,'App.2-B_Fixed Asset Cont - 2009'!$C$16:$G$46,4,$B$16:$B$46)</f>
        <v>0</v>
      </c>
      <c r="E39" s="580"/>
      <c r="F39" s="27">
        <f t="shared" si="1"/>
        <v>0</v>
      </c>
      <c r="G39" s="580">
        <f>VLOOKUP(B39,'App.2-B_Fixed Asset Cont - 2009'!$C$16:$G$46,5,$B$16:$B$46)</f>
        <v>0</v>
      </c>
      <c r="H39" s="27">
        <f t="shared" si="2"/>
        <v>0</v>
      </c>
      <c r="I39" s="614"/>
      <c r="J39" s="157" t="str">
        <f t="shared" si="3"/>
        <v/>
      </c>
      <c r="K39" s="145" t="str">
        <f t="shared" si="0"/>
        <v/>
      </c>
      <c r="L39" s="517"/>
      <c r="M39" s="615">
        <f>VLOOKUP(B39,'App.2-B_Fixed Asset Cont - 2009'!$C$16:$L$46,10,$B$16:$B$46)</f>
        <v>0</v>
      </c>
    </row>
    <row r="40" spans="2:13" x14ac:dyDescent="0.2">
      <c r="B40" s="465">
        <v>1950</v>
      </c>
      <c r="C40" s="456" t="s">
        <v>473</v>
      </c>
      <c r="D40" s="580">
        <f>VLOOKUP(B40,'App.2-B_Fixed Asset Cont - 2009'!$C$16:$G$46,4,$B$16:$B$46)</f>
        <v>0</v>
      </c>
      <c r="E40" s="580"/>
      <c r="F40" s="27">
        <f t="shared" si="1"/>
        <v>0</v>
      </c>
      <c r="G40" s="580">
        <f>VLOOKUP(B40,'App.2-B_Fixed Asset Cont - 2009'!$C$16:$G$46,5,$B$16:$B$46)</f>
        <v>0</v>
      </c>
      <c r="H40" s="27">
        <f t="shared" si="2"/>
        <v>0</v>
      </c>
      <c r="I40" s="614"/>
      <c r="J40" s="157" t="str">
        <f t="shared" si="3"/>
        <v/>
      </c>
      <c r="K40" s="145" t="str">
        <f t="shared" si="0"/>
        <v/>
      </c>
      <c r="L40" s="517"/>
      <c r="M40" s="615">
        <f>VLOOKUP(B40,'App.2-B_Fixed Asset Cont - 2009'!$C$16:$L$46,10,$B$16:$B$46)</f>
        <v>0</v>
      </c>
    </row>
    <row r="41" spans="2:13" x14ac:dyDescent="0.2">
      <c r="B41" s="465">
        <v>1955</v>
      </c>
      <c r="C41" s="456" t="s">
        <v>568</v>
      </c>
      <c r="D41" s="580">
        <f>VLOOKUP(B41,'App.2-B_Fixed Asset Cont - 2009'!$C$16:$G$46,4,$B$16:$B$46)</f>
        <v>24604</v>
      </c>
      <c r="E41" s="580">
        <v>8135.6000000000013</v>
      </c>
      <c r="F41" s="27">
        <f>D41-E41</f>
        <v>16468.399999999998</v>
      </c>
      <c r="G41" s="580">
        <f>VLOOKUP(B41,'App.2-B_Fixed Asset Cont - 2009'!$C$16:$G$46,5,$B$16:$B$46)</f>
        <v>0</v>
      </c>
      <c r="H41" s="27">
        <f t="shared" si="2"/>
        <v>16468.399999999998</v>
      </c>
      <c r="I41" s="614">
        <f>1/VLOOKUP(B41,'App.2-B_Fixed Asset Cont - 2009'!$C$16:$G$46,3,$B$16:$B$46)</f>
        <v>10</v>
      </c>
      <c r="J41" s="157">
        <f t="shared" si="3"/>
        <v>0.1</v>
      </c>
      <c r="K41" s="145">
        <f t="shared" si="0"/>
        <v>1646.8399999999997</v>
      </c>
      <c r="L41" s="517" t="s">
        <v>780</v>
      </c>
      <c r="M41" s="615">
        <f>VLOOKUP(B41,'App.2-B_Fixed Asset Cont - 2009'!$C$16:$L$46,10,$B$16:$B$46)</f>
        <v>1646.84</v>
      </c>
    </row>
    <row r="42" spans="2:13" x14ac:dyDescent="0.2">
      <c r="B42" s="465">
        <v>1960</v>
      </c>
      <c r="C42" s="456" t="s">
        <v>475</v>
      </c>
      <c r="D42" s="580">
        <f>VLOOKUP(B42,'App.2-B_Fixed Asset Cont - 2009'!$C$16:$G$46,4,$B$16:$B$46)</f>
        <v>0</v>
      </c>
      <c r="E42" s="580"/>
      <c r="F42" s="27">
        <f t="shared" si="1"/>
        <v>0</v>
      </c>
      <c r="G42" s="580">
        <f>VLOOKUP(B42,'App.2-B_Fixed Asset Cont - 2009'!$C$16:$G$46,5,$B$16:$B$46)</f>
        <v>0</v>
      </c>
      <c r="H42" s="27">
        <f t="shared" si="2"/>
        <v>0</v>
      </c>
      <c r="I42" s="614"/>
      <c r="J42" s="157" t="str">
        <f t="shared" si="3"/>
        <v/>
      </c>
      <c r="K42" s="145" t="str">
        <f t="shared" si="0"/>
        <v/>
      </c>
      <c r="L42" s="517"/>
      <c r="M42" s="615">
        <f>VLOOKUP(B42,'App.2-B_Fixed Asset Cont - 2009'!$C$16:$L$46,10,$B$16:$B$46)</f>
        <v>0</v>
      </c>
    </row>
    <row r="43" spans="2:13" x14ac:dyDescent="0.2">
      <c r="B43" s="465">
        <v>1975</v>
      </c>
      <c r="C43" s="456" t="s">
        <v>569</v>
      </c>
      <c r="D43" s="580">
        <f>VLOOKUP(B43,'App.2-B_Fixed Asset Cont - 2009'!$C$16:$G$46,4,$B$16:$B$46)</f>
        <v>0</v>
      </c>
      <c r="E43" s="580"/>
      <c r="F43" s="27">
        <f t="shared" si="1"/>
        <v>0</v>
      </c>
      <c r="G43" s="580">
        <f>VLOOKUP(B43,'App.2-B_Fixed Asset Cont - 2009'!$C$16:$G$46,5,$B$16:$B$46)</f>
        <v>0</v>
      </c>
      <c r="H43" s="27">
        <f t="shared" si="2"/>
        <v>0</v>
      </c>
      <c r="I43" s="614"/>
      <c r="J43" s="157" t="str">
        <f t="shared" si="3"/>
        <v/>
      </c>
      <c r="K43" s="145" t="str">
        <f t="shared" si="0"/>
        <v/>
      </c>
      <c r="L43" s="517"/>
      <c r="M43" s="615">
        <f>VLOOKUP(B43,'App.2-B_Fixed Asset Cont - 2009'!$C$16:$L$46,10,$B$16:$B$46)</f>
        <v>0</v>
      </c>
    </row>
    <row r="44" spans="2:13" x14ac:dyDescent="0.2">
      <c r="B44" s="465">
        <v>1980</v>
      </c>
      <c r="C44" s="456" t="s">
        <v>570</v>
      </c>
      <c r="D44" s="580">
        <f>VLOOKUP(B44,'App.2-B_Fixed Asset Cont - 2009'!$C$16:$G$46,4,$B$16:$B$46)</f>
        <v>0</v>
      </c>
      <c r="E44" s="580"/>
      <c r="F44" s="27">
        <f t="shared" si="1"/>
        <v>0</v>
      </c>
      <c r="G44" s="580">
        <f>VLOOKUP(B44,'App.2-B_Fixed Asset Cont - 2009'!$C$16:$G$46,5,$B$16:$B$46)</f>
        <v>0</v>
      </c>
      <c r="H44" s="27">
        <f t="shared" si="2"/>
        <v>0</v>
      </c>
      <c r="I44" s="614"/>
      <c r="J44" s="157" t="str">
        <f t="shared" si="3"/>
        <v/>
      </c>
      <c r="K44" s="145" t="str">
        <f t="shared" si="0"/>
        <v/>
      </c>
      <c r="L44" s="517"/>
      <c r="M44" s="615">
        <f>VLOOKUP(B44,'App.2-B_Fixed Asset Cont - 2009'!$C$16:$L$46,10,$B$16:$B$46)</f>
        <v>0</v>
      </c>
    </row>
    <row r="45" spans="2:13" x14ac:dyDescent="0.2">
      <c r="B45" s="465">
        <v>1985</v>
      </c>
      <c r="C45" s="456" t="s">
        <v>571</v>
      </c>
      <c r="D45" s="580">
        <f>VLOOKUP(B45,'App.2-B_Fixed Asset Cont - 2009'!$C$16:$G$46,4,$B$16:$B$46)</f>
        <v>0</v>
      </c>
      <c r="E45" s="580">
        <v>0</v>
      </c>
      <c r="F45" s="27">
        <f t="shared" si="1"/>
        <v>0</v>
      </c>
      <c r="G45" s="580">
        <f>VLOOKUP(B45,'App.2-B_Fixed Asset Cont - 2009'!$C$16:$G$46,5,$B$16:$B$46)</f>
        <v>0</v>
      </c>
      <c r="H45" s="27">
        <f t="shared" si="2"/>
        <v>0</v>
      </c>
      <c r="I45" s="614">
        <f>1/VLOOKUP(B45,'App.2-B_Fixed Asset Cont - 2009'!$C$16:$G$46,3,$B$16:$B$46)</f>
        <v>10</v>
      </c>
      <c r="J45" s="157">
        <f t="shared" si="3"/>
        <v>0.1</v>
      </c>
      <c r="K45" s="145">
        <f t="shared" si="0"/>
        <v>0</v>
      </c>
      <c r="L45" s="517"/>
      <c r="M45" s="615">
        <f>VLOOKUP(B45,'App.2-B_Fixed Asset Cont - 2009'!$C$16:$L$46,10,$B$16:$B$46)</f>
        <v>0</v>
      </c>
    </row>
    <row r="46" spans="2:13" x14ac:dyDescent="0.2">
      <c r="B46" s="465">
        <v>1995</v>
      </c>
      <c r="C46" s="456" t="s">
        <v>572</v>
      </c>
      <c r="D46" s="580">
        <f>VLOOKUP(B46,'App.2-B_Fixed Asset Cont - 2009'!$C$16:$G$46,4,$B$16:$B$46)</f>
        <v>-3455631.41</v>
      </c>
      <c r="E46" s="580">
        <v>38803.779999999824</v>
      </c>
      <c r="F46" s="615">
        <f t="shared" si="1"/>
        <v>-3494435.19</v>
      </c>
      <c r="G46" s="580">
        <f>VLOOKUP(B46,'App.2-B_Fixed Asset Cont - 2009'!$C$16:$G$46,5,$B$16:$B$46)</f>
        <v>-189711.12</v>
      </c>
      <c r="H46" s="615">
        <f t="shared" si="2"/>
        <v>-3589290.75</v>
      </c>
      <c r="I46" s="614">
        <f>1/VLOOKUP(B46,'App.2-B_Fixed Asset Cont - 2009'!$C$16:$G$46,3,$B$16:$B$46)</f>
        <v>25</v>
      </c>
      <c r="J46" s="157">
        <f t="shared" si="3"/>
        <v>0.04</v>
      </c>
      <c r="K46" s="615">
        <f t="shared" si="0"/>
        <v>-143571.63</v>
      </c>
      <c r="L46" s="517" t="s">
        <v>780</v>
      </c>
      <c r="M46" s="615">
        <f>VLOOKUP(B46,'App.2-B_Fixed Asset Cont - 2009'!$C$16:$L$46,10,$B$16:$B$46)</f>
        <v>-143571.63</v>
      </c>
    </row>
    <row r="47" spans="2:13" x14ac:dyDescent="0.2">
      <c r="B47" s="465" t="s">
        <v>636</v>
      </c>
      <c r="C47" s="456"/>
      <c r="D47" s="580"/>
      <c r="E47" s="175"/>
      <c r="F47" s="157">
        <f t="shared" si="1"/>
        <v>0</v>
      </c>
      <c r="G47" s="175"/>
      <c r="H47" s="27">
        <f t="shared" si="2"/>
        <v>0</v>
      </c>
      <c r="I47" s="176"/>
      <c r="J47" s="157" t="str">
        <f t="shared" si="3"/>
        <v/>
      </c>
      <c r="K47" s="616" t="str">
        <f t="shared" si="0"/>
        <v/>
      </c>
      <c r="L47" s="517"/>
    </row>
    <row r="48" spans="2:13" ht="13.5" thickBot="1" x14ac:dyDescent="0.25">
      <c r="B48" s="466"/>
      <c r="C48" s="467"/>
      <c r="D48" s="171"/>
      <c r="E48" s="171"/>
      <c r="F48" s="520">
        <f t="shared" si="1"/>
        <v>0</v>
      </c>
      <c r="G48" s="171"/>
      <c r="H48" s="611">
        <f t="shared" si="2"/>
        <v>0</v>
      </c>
      <c r="I48" s="519"/>
      <c r="J48" s="520" t="str">
        <f t="shared" si="3"/>
        <v/>
      </c>
      <c r="K48" s="521" t="str">
        <f t="shared" si="0"/>
        <v/>
      </c>
      <c r="L48" s="518"/>
    </row>
    <row r="49" spans="2:13" ht="14.25" thickTop="1" thickBot="1" x14ac:dyDescent="0.25">
      <c r="B49" s="468"/>
      <c r="C49" s="469" t="s">
        <v>573</v>
      </c>
      <c r="D49" s="167">
        <f>SUM(D16:D48)</f>
        <v>21862681.680000003</v>
      </c>
      <c r="E49" s="167">
        <f>SUM(E16:E48)</f>
        <v>4119497.9649999999</v>
      </c>
      <c r="F49" s="303">
        <f>D49-E49</f>
        <v>17743183.715000004</v>
      </c>
      <c r="G49" s="27">
        <f>SUM(G16:G48)</f>
        <v>569399.14999999979</v>
      </c>
      <c r="H49" s="303">
        <f>F49+0.5*G49</f>
        <v>18027883.290000003</v>
      </c>
      <c r="I49" s="617"/>
      <c r="J49" s="303"/>
      <c r="K49" s="308">
        <f>SUM(K16:K48)</f>
        <v>852413.55000000016</v>
      </c>
      <c r="L49" s="464"/>
      <c r="M49" s="308">
        <f>SUM(M16:M48)</f>
        <v>852413.55000000016</v>
      </c>
    </row>
    <row r="50" spans="2:13" ht="7.5" customHeight="1" x14ac:dyDescent="0.2"/>
    <row r="51" spans="2:13" x14ac:dyDescent="0.2">
      <c r="B51" s="52" t="s">
        <v>639</v>
      </c>
      <c r="C51" s="389"/>
      <c r="D51" s="389"/>
      <c r="E51" s="389"/>
      <c r="F51" s="389"/>
      <c r="G51" s="389"/>
      <c r="H51" s="612"/>
      <c r="I51" s="389"/>
      <c r="J51" s="389"/>
      <c r="K51" s="389"/>
    </row>
    <row r="52" spans="2:13" ht="7.5" customHeight="1" x14ac:dyDescent="0.2">
      <c r="B52" s="389"/>
      <c r="C52" s="389"/>
      <c r="D52" s="389"/>
      <c r="E52" s="389"/>
      <c r="F52" s="389"/>
      <c r="G52" s="389"/>
      <c r="H52" s="612"/>
      <c r="I52" s="389"/>
      <c r="J52" s="389"/>
      <c r="K52" s="389"/>
    </row>
    <row r="53" spans="2:13" x14ac:dyDescent="0.2">
      <c r="B53" s="760" t="s">
        <v>192</v>
      </c>
      <c r="C53" s="761"/>
      <c r="D53" s="761"/>
      <c r="E53" s="761"/>
      <c r="F53" s="761"/>
      <c r="G53" s="761"/>
      <c r="H53" s="761"/>
      <c r="I53" s="761"/>
      <c r="J53" s="761"/>
    </row>
    <row r="54" spans="2:13" ht="26.25" customHeight="1" x14ac:dyDescent="0.2">
      <c r="B54" s="760" t="s">
        <v>193</v>
      </c>
      <c r="C54" s="761"/>
      <c r="D54" s="761"/>
      <c r="E54" s="761"/>
      <c r="F54" s="761"/>
      <c r="G54" s="761"/>
      <c r="H54" s="761"/>
      <c r="I54" s="761"/>
      <c r="J54" s="761"/>
    </row>
    <row r="55" spans="2:13" x14ac:dyDescent="0.2">
      <c r="B55" s="762" t="s">
        <v>194</v>
      </c>
      <c r="C55" s="763"/>
      <c r="D55" s="763"/>
      <c r="E55" s="763"/>
      <c r="F55" s="763"/>
      <c r="G55" s="763"/>
      <c r="H55" s="763"/>
      <c r="I55" s="763"/>
      <c r="J55" s="763"/>
    </row>
    <row r="56" spans="2:13" ht="19.5" customHeight="1" x14ac:dyDescent="0.2">
      <c r="B56" s="763"/>
      <c r="C56" s="763"/>
      <c r="D56" s="763"/>
      <c r="E56" s="763"/>
      <c r="F56" s="763"/>
      <c r="G56" s="763"/>
      <c r="H56" s="763"/>
      <c r="I56" s="763"/>
      <c r="J56" s="763"/>
    </row>
    <row r="57" spans="2:13" ht="3" customHeight="1" x14ac:dyDescent="0.2">
      <c r="B57" s="389"/>
      <c r="C57" s="389"/>
      <c r="D57" s="389"/>
      <c r="E57" s="389"/>
      <c r="F57" s="389"/>
      <c r="G57" s="389"/>
      <c r="H57" s="612"/>
      <c r="I57" s="389"/>
      <c r="J57" s="389"/>
      <c r="K57" s="389"/>
    </row>
    <row r="58" spans="2:13" x14ac:dyDescent="0.2">
      <c r="B58" s="52" t="s">
        <v>482</v>
      </c>
      <c r="C58" s="764" t="s">
        <v>419</v>
      </c>
      <c r="D58" s="764"/>
      <c r="E58" s="764"/>
      <c r="F58" s="764"/>
      <c r="G58" s="764"/>
      <c r="H58" s="764"/>
      <c r="I58" s="764"/>
      <c r="J58" s="764"/>
      <c r="K58" s="764"/>
    </row>
    <row r="59" spans="2:13" x14ac:dyDescent="0.2">
      <c r="B59" s="389"/>
      <c r="C59" s="764"/>
      <c r="D59" s="764"/>
      <c r="E59" s="764"/>
      <c r="F59" s="764"/>
      <c r="G59" s="764"/>
      <c r="H59" s="764"/>
      <c r="I59" s="764"/>
      <c r="J59" s="764"/>
      <c r="K59" s="764"/>
    </row>
    <row r="60" spans="2:13" x14ac:dyDescent="0.2">
      <c r="B60" s="389"/>
      <c r="C60" s="764"/>
      <c r="D60" s="764"/>
      <c r="E60" s="764"/>
      <c r="F60" s="764"/>
      <c r="G60" s="764"/>
      <c r="H60" s="764"/>
      <c r="I60" s="764"/>
      <c r="J60" s="764"/>
      <c r="K60" s="764"/>
    </row>
  </sheetData>
  <mergeCells count="9">
    <mergeCell ref="B9:K9"/>
    <mergeCell ref="B10:K10"/>
    <mergeCell ref="B14:B15"/>
    <mergeCell ref="C14:C15"/>
    <mergeCell ref="L14:L15"/>
    <mergeCell ref="B53:J53"/>
    <mergeCell ref="B54:J54"/>
    <mergeCell ref="B55:J56"/>
    <mergeCell ref="C58:K60"/>
  </mergeCells>
  <dataValidations count="2">
    <dataValidation type="list" allowBlank="1" showInputMessage="1" showErrorMessage="1" sqref="L16:L48">
      <formula1>"Yes, No"</formula1>
    </dataValidation>
    <dataValidation allowBlank="1" showInputMessage="1" showErrorMessage="1" promptTitle="Date Format" prompt="E.g:  &quot;August 1, 2011&quot;" sqref="K7"/>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M60"/>
  <sheetViews>
    <sheetView showGridLines="0" topLeftCell="C28" zoomScaleNormal="100" workbookViewId="0">
      <selection activeCell="Q10" sqref="Q10"/>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2010</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- 2010'!$C$16:$G$46,4,$B$16:$B$46)</f>
        <v>2112</v>
      </c>
      <c r="E16" s="175"/>
      <c r="F16" s="27">
        <f>D16-E16</f>
        <v>2112</v>
      </c>
      <c r="G16" s="580">
        <f>VLOOKUP(B16,'App.2-B_Fixed Asset Cont - 2010'!$C$16:$G$46,5,$B$16:$B$46)</f>
        <v>0</v>
      </c>
      <c r="H16" s="27">
        <f>F16+0.5*G16</f>
        <v>2112</v>
      </c>
      <c r="I16" s="613"/>
      <c r="J16" s="157" t="str">
        <f>IF(I16=0,"",1/I16)</f>
        <v/>
      </c>
      <c r="K16" s="158" t="str">
        <f t="shared" ref="K16:K48" si="0">IF(I16=0,"",H16/I16)</f>
        <v/>
      </c>
      <c r="L16" s="517"/>
      <c r="M16" s="615">
        <f>VLOOKUP(B16,'App.2-B_Fixed Asset Cont - 2010'!$C$16:$L$46,10,$B$16:$B$46)</f>
        <v>0</v>
      </c>
    </row>
    <row r="17" spans="2:13" x14ac:dyDescent="0.2">
      <c r="B17" s="148">
        <v>1808</v>
      </c>
      <c r="C17" s="2" t="s">
        <v>537</v>
      </c>
      <c r="D17" s="580">
        <f>VLOOKUP(B17,'App.2-B_Fixed Asset Cont - 2010'!$C$16:$G$46,4,$B$16:$B$46)</f>
        <v>0</v>
      </c>
      <c r="E17" s="175"/>
      <c r="F17" s="27">
        <f t="shared" ref="F17:F48" si="1">D17-E17</f>
        <v>0</v>
      </c>
      <c r="G17" s="580">
        <f>VLOOKUP(B17,'App.2-B_Fixed Asset Cont - 2010'!$C$16:$G$46,5,$B$16:$B$46)</f>
        <v>0</v>
      </c>
      <c r="H17" s="27">
        <f t="shared" ref="H17:H48" si="2">F17+0.5*G17</f>
        <v>0</v>
      </c>
      <c r="I17" s="613"/>
      <c r="J17" s="157" t="str">
        <f t="shared" ref="J17:J48" si="3">IF(I17=0,"",1/I17)</f>
        <v/>
      </c>
      <c r="K17" s="158" t="str">
        <f t="shared" si="0"/>
        <v/>
      </c>
      <c r="L17" s="517"/>
      <c r="M17" s="615">
        <f>VLOOKUP(B17,'App.2-B_Fixed Asset Cont - 2010'!$C$16:$L$46,10,$B$16:$B$46)</f>
        <v>0</v>
      </c>
    </row>
    <row r="18" spans="2:13" x14ac:dyDescent="0.2">
      <c r="B18" s="148">
        <v>1810</v>
      </c>
      <c r="C18" s="2" t="s">
        <v>579</v>
      </c>
      <c r="D18" s="580">
        <f>VLOOKUP(B18,'App.2-B_Fixed Asset Cont - 2010'!$C$16:$G$46,4,$B$16:$B$46)</f>
        <v>0</v>
      </c>
      <c r="E18" s="175"/>
      <c r="F18" s="27">
        <f t="shared" si="1"/>
        <v>0</v>
      </c>
      <c r="G18" s="580">
        <f>VLOOKUP(B18,'App.2-B_Fixed Asset Cont - 2010'!$C$16:$G$46,5,$B$16:$B$46)</f>
        <v>0</v>
      </c>
      <c r="H18" s="27">
        <f t="shared" si="2"/>
        <v>0</v>
      </c>
      <c r="I18" s="613"/>
      <c r="J18" s="157" t="str">
        <f t="shared" si="3"/>
        <v/>
      </c>
      <c r="K18" s="158" t="str">
        <f t="shared" si="0"/>
        <v/>
      </c>
      <c r="L18" s="517"/>
      <c r="M18" s="615">
        <f>VLOOKUP(B18,'App.2-B_Fixed Asset Cont - 2010'!$C$16:$L$46,10,$B$16:$B$46)</f>
        <v>0</v>
      </c>
    </row>
    <row r="19" spans="2:13" x14ac:dyDescent="0.2">
      <c r="B19" s="148">
        <v>1815</v>
      </c>
      <c r="C19" s="2" t="s">
        <v>538</v>
      </c>
      <c r="D19" s="580">
        <f>VLOOKUP(B19,'App.2-B_Fixed Asset Cont - 2010'!$C$16:$G$46,4,$B$16:$B$46)</f>
        <v>0</v>
      </c>
      <c r="E19" s="175"/>
      <c r="F19" s="27">
        <f t="shared" si="1"/>
        <v>0</v>
      </c>
      <c r="G19" s="580">
        <f>VLOOKUP(B19,'App.2-B_Fixed Asset Cont - 2010'!$C$16:$G$46,5,$B$16:$B$46)</f>
        <v>0</v>
      </c>
      <c r="H19" s="27">
        <f t="shared" si="2"/>
        <v>0</v>
      </c>
      <c r="I19" s="613"/>
      <c r="J19" s="157" t="str">
        <f t="shared" si="3"/>
        <v/>
      </c>
      <c r="K19" s="158" t="str">
        <f t="shared" si="0"/>
        <v/>
      </c>
      <c r="L19" s="517"/>
      <c r="M19" s="615">
        <f>VLOOKUP(B19,'App.2-B_Fixed Asset Cont - 2010'!$C$16:$L$46,10,$B$16:$B$46)</f>
        <v>0</v>
      </c>
    </row>
    <row r="20" spans="2:13" x14ac:dyDescent="0.2">
      <c r="B20" s="465">
        <v>1820</v>
      </c>
      <c r="C20" s="456" t="s">
        <v>462</v>
      </c>
      <c r="D20" s="580">
        <f>VLOOKUP(B20,'App.2-B_Fixed Asset Cont - 2010'!$C$16:$G$46,4,$B$16:$B$46)</f>
        <v>142098.48000000001</v>
      </c>
      <c r="E20" s="580">
        <v>140549.23000000001</v>
      </c>
      <c r="F20" s="27">
        <f t="shared" si="1"/>
        <v>1549.25</v>
      </c>
      <c r="G20" s="580">
        <f>VLOOKUP(B20,'App.2-B_Fixed Asset Cont - 2010'!$C$16:$G$46,5,$B$16:$B$46)</f>
        <v>0</v>
      </c>
      <c r="H20" s="27">
        <f t="shared" si="2"/>
        <v>1549.25</v>
      </c>
      <c r="I20" s="614">
        <f>1/VLOOKUP(B20,'App.2-B_Fixed Asset Cont - 2010'!$C$16:$G$46,3,$B$16:$B$46)</f>
        <v>25</v>
      </c>
      <c r="J20" s="157">
        <f t="shared" si="3"/>
        <v>0.04</v>
      </c>
      <c r="K20" s="145">
        <f t="shared" si="0"/>
        <v>61.97</v>
      </c>
      <c r="L20" s="517" t="s">
        <v>780</v>
      </c>
      <c r="M20" s="615">
        <f>VLOOKUP(B20,'App.2-B_Fixed Asset Cont - 2010'!$C$16:$L$46,10,$B$16:$B$46)</f>
        <v>61.97</v>
      </c>
    </row>
    <row r="21" spans="2:13" x14ac:dyDescent="0.2">
      <c r="B21" s="465">
        <v>1825</v>
      </c>
      <c r="C21" s="456" t="s">
        <v>539</v>
      </c>
      <c r="D21" s="580">
        <f>VLOOKUP(B21,'App.2-B_Fixed Asset Cont - 2010'!$C$16:$G$46,4,$B$16:$B$46)</f>
        <v>0</v>
      </c>
      <c r="E21" s="580"/>
      <c r="F21" s="27">
        <f t="shared" si="1"/>
        <v>0</v>
      </c>
      <c r="G21" s="580">
        <f>VLOOKUP(B21,'App.2-B_Fixed Asset Cont - 2010'!$C$16:$G$46,5,$B$16:$B$46)</f>
        <v>0</v>
      </c>
      <c r="H21" s="27">
        <f t="shared" si="2"/>
        <v>0</v>
      </c>
      <c r="I21" s="614"/>
      <c r="J21" s="157" t="str">
        <f t="shared" si="3"/>
        <v/>
      </c>
      <c r="K21" s="145" t="str">
        <f t="shared" si="0"/>
        <v/>
      </c>
      <c r="L21" s="517"/>
      <c r="M21" s="615">
        <f>VLOOKUP(B21,'App.2-B_Fixed Asset Cont - 2010'!$C$16:$L$46,10,$B$16:$B$46)</f>
        <v>0</v>
      </c>
    </row>
    <row r="22" spans="2:13" x14ac:dyDescent="0.2">
      <c r="B22" s="465">
        <v>1830</v>
      </c>
      <c r="C22" s="456" t="s">
        <v>540</v>
      </c>
      <c r="D22" s="580">
        <f>VLOOKUP(B22,'App.2-B_Fixed Asset Cont - 2010'!$C$16:$G$46,4,$B$16:$B$46)</f>
        <v>731962.29</v>
      </c>
      <c r="E22" s="580">
        <v>-249.51499999997395</v>
      </c>
      <c r="F22" s="27">
        <f t="shared" si="1"/>
        <v>732211.80500000005</v>
      </c>
      <c r="G22" s="580">
        <f>VLOOKUP(B22,'App.2-B_Fixed Asset Cont - 2010'!$C$16:$G$46,5,$B$16:$B$46)</f>
        <v>105761.89</v>
      </c>
      <c r="H22" s="27">
        <f t="shared" si="2"/>
        <v>785092.75</v>
      </c>
      <c r="I22" s="614">
        <f>1/VLOOKUP(B22,'App.2-B_Fixed Asset Cont - 2010'!$C$16:$G$46,3,$B$16:$B$46)</f>
        <v>25</v>
      </c>
      <c r="J22" s="157">
        <f t="shared" si="3"/>
        <v>0.04</v>
      </c>
      <c r="K22" s="145">
        <f t="shared" si="0"/>
        <v>31403.71</v>
      </c>
      <c r="L22" s="517" t="s">
        <v>780</v>
      </c>
      <c r="M22" s="615">
        <f>VLOOKUP(B22,'App.2-B_Fixed Asset Cont - 2010'!$C$16:$L$46,10,$B$16:$B$46)</f>
        <v>31403.71</v>
      </c>
    </row>
    <row r="23" spans="2:13" x14ac:dyDescent="0.2">
      <c r="B23" s="465">
        <v>1835</v>
      </c>
      <c r="C23" s="456" t="s">
        <v>463</v>
      </c>
      <c r="D23" s="580">
        <f>VLOOKUP(B23,'App.2-B_Fixed Asset Cont - 2010'!$C$16:$G$46,4,$B$16:$B$46)</f>
        <v>5929700.4000000004</v>
      </c>
      <c r="E23" s="580">
        <v>127906.7750000002</v>
      </c>
      <c r="F23" s="27">
        <f t="shared" si="1"/>
        <v>5801793.625</v>
      </c>
      <c r="G23" s="580">
        <f>VLOOKUP(B23,'App.2-B_Fixed Asset Cont - 2010'!$C$16:$G$46,5,$B$16:$B$46)</f>
        <v>159164.75</v>
      </c>
      <c r="H23" s="27">
        <f t="shared" si="2"/>
        <v>5881376</v>
      </c>
      <c r="I23" s="614">
        <f>1/VLOOKUP(B23,'App.2-B_Fixed Asset Cont - 2010'!$C$16:$G$46,3,$B$16:$B$46)</f>
        <v>25</v>
      </c>
      <c r="J23" s="157">
        <f t="shared" si="3"/>
        <v>0.04</v>
      </c>
      <c r="K23" s="145">
        <f t="shared" si="0"/>
        <v>235255.04000000001</v>
      </c>
      <c r="L23" s="517" t="s">
        <v>780</v>
      </c>
      <c r="M23" s="615">
        <f>VLOOKUP(B23,'App.2-B_Fixed Asset Cont - 2010'!$C$16:$L$46,10,$B$16:$B$46)</f>
        <v>235255.04000000001</v>
      </c>
    </row>
    <row r="24" spans="2:13" x14ac:dyDescent="0.2">
      <c r="B24" s="465">
        <v>1840</v>
      </c>
      <c r="C24" s="456" t="s">
        <v>464</v>
      </c>
      <c r="D24" s="580">
        <f>VLOOKUP(B24,'App.2-B_Fixed Asset Cont - 2010'!$C$16:$G$46,4,$B$16:$B$46)</f>
        <v>1045813.7399999999</v>
      </c>
      <c r="E24" s="580">
        <v>-129.6200000000681</v>
      </c>
      <c r="F24" s="27">
        <f t="shared" si="1"/>
        <v>1045943.36</v>
      </c>
      <c r="G24" s="580">
        <f>VLOOKUP(B24,'App.2-B_Fixed Asset Cont - 2010'!$C$16:$G$46,5,$B$16:$B$46)</f>
        <v>123093.78</v>
      </c>
      <c r="H24" s="27">
        <f t="shared" si="2"/>
        <v>1107490.25</v>
      </c>
      <c r="I24" s="614">
        <f>1/VLOOKUP(B24,'App.2-B_Fixed Asset Cont - 2010'!$C$16:$G$46,3,$B$16:$B$46)</f>
        <v>25</v>
      </c>
      <c r="J24" s="157">
        <f t="shared" si="3"/>
        <v>0.04</v>
      </c>
      <c r="K24" s="145">
        <f t="shared" si="0"/>
        <v>44299.61</v>
      </c>
      <c r="L24" s="517" t="s">
        <v>780</v>
      </c>
      <c r="M24" s="615">
        <f>VLOOKUP(B24,'App.2-B_Fixed Asset Cont - 2010'!$C$16:$L$46,10,$B$16:$B$46)</f>
        <v>44299.61</v>
      </c>
    </row>
    <row r="25" spans="2:13" x14ac:dyDescent="0.2">
      <c r="B25" s="465">
        <v>1845</v>
      </c>
      <c r="C25" s="456" t="s">
        <v>465</v>
      </c>
      <c r="D25" s="580">
        <f>VLOOKUP(B25,'App.2-B_Fixed Asset Cont - 2010'!$C$16:$G$46,4,$B$16:$B$46)</f>
        <v>6860077.9100000001</v>
      </c>
      <c r="E25" s="580">
        <v>429697.02499999985</v>
      </c>
      <c r="F25" s="27">
        <f t="shared" si="1"/>
        <v>6430380.8850000007</v>
      </c>
      <c r="G25" s="580">
        <f>VLOOKUP(B25,'App.2-B_Fixed Asset Cont - 2010'!$C$16:$G$46,5,$B$16:$B$46)</f>
        <v>216251.23</v>
      </c>
      <c r="H25" s="27">
        <f t="shared" si="2"/>
        <v>6538506.5000000009</v>
      </c>
      <c r="I25" s="614">
        <f>1/VLOOKUP(B25,'App.2-B_Fixed Asset Cont - 2010'!$C$16:$G$46,3,$B$16:$B$46)</f>
        <v>25</v>
      </c>
      <c r="J25" s="157">
        <f t="shared" si="3"/>
        <v>0.04</v>
      </c>
      <c r="K25" s="145">
        <f t="shared" si="0"/>
        <v>261540.26000000004</v>
      </c>
      <c r="L25" s="517" t="s">
        <v>780</v>
      </c>
      <c r="M25" s="615">
        <f>VLOOKUP(B25,'App.2-B_Fixed Asset Cont - 2010'!$C$16:$L$46,10,$B$16:$B$46)</f>
        <v>261540.26</v>
      </c>
    </row>
    <row r="26" spans="2:13" x14ac:dyDescent="0.2">
      <c r="B26" s="465">
        <v>1850</v>
      </c>
      <c r="C26" s="456" t="s">
        <v>541</v>
      </c>
      <c r="D26" s="580">
        <f>VLOOKUP(B26,'App.2-B_Fixed Asset Cont - 2010'!$C$16:$G$46,4,$B$16:$B$46)</f>
        <v>5317718.1099999994</v>
      </c>
      <c r="E26" s="580">
        <v>718485.37499999872</v>
      </c>
      <c r="F26" s="27">
        <f t="shared" si="1"/>
        <v>4599232.7350000003</v>
      </c>
      <c r="G26" s="580">
        <f>VLOOKUP(B26,'App.2-B_Fixed Asset Cont - 2010'!$C$16:$G$46,5,$B$16:$B$46)</f>
        <v>107789.53</v>
      </c>
      <c r="H26" s="27">
        <f t="shared" si="2"/>
        <v>4653127.5</v>
      </c>
      <c r="I26" s="614">
        <f>1/VLOOKUP(B26,'App.2-B_Fixed Asset Cont - 2010'!$C$16:$G$46,3,$B$16:$B$46)</f>
        <v>25</v>
      </c>
      <c r="J26" s="157">
        <f t="shared" si="3"/>
        <v>0.04</v>
      </c>
      <c r="K26" s="145">
        <f t="shared" si="0"/>
        <v>186125.1</v>
      </c>
      <c r="L26" s="517" t="s">
        <v>780</v>
      </c>
      <c r="M26" s="615">
        <f>VLOOKUP(B26,'App.2-B_Fixed Asset Cont - 2010'!$C$16:$L$46,10,$B$16:$B$46)</f>
        <v>186125.1</v>
      </c>
    </row>
    <row r="27" spans="2:13" x14ac:dyDescent="0.2">
      <c r="B27" s="465">
        <v>1855</v>
      </c>
      <c r="C27" s="456" t="s">
        <v>481</v>
      </c>
      <c r="D27" s="580">
        <f>VLOOKUP(B27,'App.2-B_Fixed Asset Cont - 2010'!$C$16:$G$46,4,$B$16:$B$46)</f>
        <v>562459.78999999992</v>
      </c>
      <c r="E27" s="580">
        <v>-230.41500000008455</v>
      </c>
      <c r="F27" s="27">
        <f t="shared" si="1"/>
        <v>562690.20499999996</v>
      </c>
      <c r="G27" s="580">
        <f>VLOOKUP(B27,'App.2-B_Fixed Asset Cont - 2010'!$C$16:$G$46,5,$B$16:$B$46)</f>
        <v>67317.09</v>
      </c>
      <c r="H27" s="27">
        <f t="shared" si="2"/>
        <v>596348.75</v>
      </c>
      <c r="I27" s="614">
        <f>1/VLOOKUP(B27,'App.2-B_Fixed Asset Cont - 2010'!$C$16:$G$46,3,$B$16:$B$46)</f>
        <v>25</v>
      </c>
      <c r="J27" s="157">
        <f t="shared" si="3"/>
        <v>0.04</v>
      </c>
      <c r="K27" s="145">
        <f t="shared" si="0"/>
        <v>23853.95</v>
      </c>
      <c r="L27" s="517" t="s">
        <v>780</v>
      </c>
      <c r="M27" s="615">
        <f>VLOOKUP(B27,'App.2-B_Fixed Asset Cont - 2010'!$C$16:$L$46,10,$B$16:$B$46)</f>
        <v>23853.95</v>
      </c>
    </row>
    <row r="28" spans="2:13" x14ac:dyDescent="0.2">
      <c r="B28" s="465">
        <v>1860</v>
      </c>
      <c r="C28" s="456" t="s">
        <v>542</v>
      </c>
      <c r="D28" s="580">
        <f>VLOOKUP(B28,'App.2-B_Fixed Asset Cont - 2010'!$C$16:$G$46,4,$B$16:$B$46)</f>
        <v>1375472.9800000002</v>
      </c>
      <c r="E28" s="580">
        <v>1175813.6550000003</v>
      </c>
      <c r="F28" s="27">
        <f t="shared" si="1"/>
        <v>199659.32499999995</v>
      </c>
      <c r="G28" s="580">
        <f>VLOOKUP(B28,'App.2-B_Fixed Asset Cont - 2010'!$C$16:$G$46,5,$B$16:$B$46)</f>
        <v>26120.35</v>
      </c>
      <c r="H28" s="27">
        <f t="shared" si="2"/>
        <v>212719.49999999994</v>
      </c>
      <c r="I28" s="614">
        <f>1/VLOOKUP(B28,'App.2-B_Fixed Asset Cont - 2010'!$C$16:$G$46,3,$B$16:$B$46)</f>
        <v>25</v>
      </c>
      <c r="J28" s="157">
        <f t="shared" si="3"/>
        <v>0.04</v>
      </c>
      <c r="K28" s="145">
        <f t="shared" si="0"/>
        <v>8508.779999999997</v>
      </c>
      <c r="L28" s="517" t="s">
        <v>780</v>
      </c>
      <c r="M28" s="615">
        <f>VLOOKUP(B28,'App.2-B_Fixed Asset Cont - 2010'!$C$16:$L$46,10,$B$16:$B$46)</f>
        <v>8508.7800000000007</v>
      </c>
    </row>
    <row r="29" spans="2:13" x14ac:dyDescent="0.2">
      <c r="B29" s="465">
        <v>1905</v>
      </c>
      <c r="C29" s="456" t="s">
        <v>536</v>
      </c>
      <c r="D29" s="580">
        <f>VLOOKUP(B29,'App.2-B_Fixed Asset Cont - 2010'!$C$16:$G$46,4,$B$16:$B$46)</f>
        <v>171765.02</v>
      </c>
      <c r="E29" s="580"/>
      <c r="F29" s="27">
        <f t="shared" si="1"/>
        <v>171765.02</v>
      </c>
      <c r="G29" s="580">
        <f>VLOOKUP(B29,'App.2-B_Fixed Asset Cont - 2010'!$C$16:$G$46,5,$B$16:$B$46)</f>
        <v>0</v>
      </c>
      <c r="H29" s="27">
        <f t="shared" si="2"/>
        <v>171765.02</v>
      </c>
      <c r="I29" s="614"/>
      <c r="J29" s="157" t="str">
        <f t="shared" si="3"/>
        <v/>
      </c>
      <c r="K29" s="145" t="str">
        <f t="shared" si="0"/>
        <v/>
      </c>
      <c r="L29" s="517"/>
      <c r="M29" s="615">
        <f>VLOOKUP(B29,'App.2-B_Fixed Asset Cont - 2010'!$C$16:$L$46,10,$B$16:$B$46)</f>
        <v>0</v>
      </c>
    </row>
    <row r="30" spans="2:13" x14ac:dyDescent="0.2">
      <c r="B30" s="465">
        <v>1906</v>
      </c>
      <c r="C30" s="456" t="s">
        <v>545</v>
      </c>
      <c r="D30" s="580">
        <f>VLOOKUP(B30,'App.2-B_Fixed Asset Cont - 2010'!$C$16:$G$46,4,$B$16:$B$46)</f>
        <v>2944.73</v>
      </c>
      <c r="E30" s="580">
        <v>2944.7299999999996</v>
      </c>
      <c r="F30" s="27">
        <f t="shared" si="1"/>
        <v>0</v>
      </c>
      <c r="G30" s="580">
        <f>VLOOKUP(B30,'App.2-B_Fixed Asset Cont - 2010'!$C$16:$G$46,5,$B$16:$B$46)</f>
        <v>0</v>
      </c>
      <c r="H30" s="27">
        <f t="shared" si="2"/>
        <v>0</v>
      </c>
      <c r="I30" s="614">
        <f>1/VLOOKUP(B30,'App.2-B_Fixed Asset Cont - 2010'!$C$16:$G$46,3,$B$16:$B$46)</f>
        <v>50</v>
      </c>
      <c r="J30" s="157">
        <f t="shared" si="3"/>
        <v>0.02</v>
      </c>
      <c r="K30" s="145">
        <f t="shared" si="0"/>
        <v>0</v>
      </c>
      <c r="L30" s="517"/>
      <c r="M30" s="615">
        <f>VLOOKUP(B30,'App.2-B_Fixed Asset Cont - 2010'!$C$16:$L$46,10,$B$16:$B$46)</f>
        <v>0</v>
      </c>
    </row>
    <row r="31" spans="2:13" x14ac:dyDescent="0.2">
      <c r="B31" s="465">
        <v>1908</v>
      </c>
      <c r="C31" s="456" t="s">
        <v>546</v>
      </c>
      <c r="D31" s="580">
        <f>VLOOKUP(B31,'App.2-B_Fixed Asset Cont - 2010'!$C$16:$G$46,4,$B$16:$B$46)</f>
        <v>860528.11</v>
      </c>
      <c r="E31" s="580">
        <v>717006.21000000008</v>
      </c>
      <c r="F31" s="27">
        <f t="shared" si="1"/>
        <v>143521.89999999991</v>
      </c>
      <c r="G31" s="580">
        <f>VLOOKUP(B31,'App.2-B_Fixed Asset Cont - 2010'!$C$16:$G$46,5,$B$16:$B$46)</f>
        <v>318.60000000000002</v>
      </c>
      <c r="H31" s="27">
        <f t="shared" si="2"/>
        <v>143681.1999999999</v>
      </c>
      <c r="I31" s="614">
        <f>1/VLOOKUP(B31,'App.2-B_Fixed Asset Cont - 2010'!$C$16:$G$46,3,$B$16:$B$46)</f>
        <v>10</v>
      </c>
      <c r="J31" s="157">
        <f t="shared" si="3"/>
        <v>0.1</v>
      </c>
      <c r="K31" s="145">
        <f t="shared" si="0"/>
        <v>14368.11999999999</v>
      </c>
      <c r="L31" s="517" t="s">
        <v>780</v>
      </c>
      <c r="M31" s="615">
        <f>VLOOKUP(B31,'App.2-B_Fixed Asset Cont - 2010'!$C$16:$L$46,10,$B$16:$B$46)</f>
        <v>14368.12</v>
      </c>
    </row>
    <row r="32" spans="2:13" x14ac:dyDescent="0.2">
      <c r="B32" s="465">
        <v>1910</v>
      </c>
      <c r="C32" s="456" t="s">
        <v>579</v>
      </c>
      <c r="D32" s="580">
        <f>VLOOKUP(B32,'App.2-B_Fixed Asset Cont - 2010'!$C$16:$G$46,4,$B$16:$B$46)</f>
        <v>0</v>
      </c>
      <c r="E32" s="580"/>
      <c r="F32" s="27">
        <f t="shared" si="1"/>
        <v>0</v>
      </c>
      <c r="G32" s="580">
        <f>VLOOKUP(B32,'App.2-B_Fixed Asset Cont - 2010'!$C$16:$G$46,5,$B$16:$B$46)</f>
        <v>0</v>
      </c>
      <c r="H32" s="27">
        <f t="shared" si="2"/>
        <v>0</v>
      </c>
      <c r="I32" s="614"/>
      <c r="J32" s="157" t="str">
        <f t="shared" si="3"/>
        <v/>
      </c>
      <c r="K32" s="145" t="str">
        <f t="shared" si="0"/>
        <v/>
      </c>
      <c r="L32" s="517"/>
      <c r="M32" s="615">
        <f>VLOOKUP(B32,'App.2-B_Fixed Asset Cont - 2010'!$C$16:$L$46,10,$B$16:$B$46)</f>
        <v>0</v>
      </c>
    </row>
    <row r="33" spans="2:13" x14ac:dyDescent="0.2">
      <c r="B33" s="465">
        <v>1915</v>
      </c>
      <c r="C33" s="608" t="s">
        <v>750</v>
      </c>
      <c r="D33" s="580">
        <f>VLOOKUP(B33,'App.2-B_Fixed Asset Cont - 2010'!$C$16:$G$46,4,$B$16:$B$46)</f>
        <v>222315.66</v>
      </c>
      <c r="E33" s="580">
        <v>143075.47499999998</v>
      </c>
      <c r="F33" s="27">
        <f t="shared" si="1"/>
        <v>79240.185000000027</v>
      </c>
      <c r="G33" s="580">
        <f>VLOOKUP(B33,'App.2-B_Fixed Asset Cont - 2010'!$C$16:$G$46,5,$B$16:$B$46)</f>
        <v>20593.43</v>
      </c>
      <c r="H33" s="27">
        <f t="shared" si="2"/>
        <v>89536.900000000023</v>
      </c>
      <c r="I33" s="614">
        <f>1/VLOOKUP(B33,'App.2-B_Fixed Asset Cont - 2010'!$C$16:$G$46,3,$B$16:$B$46)</f>
        <v>10</v>
      </c>
      <c r="J33" s="157">
        <f t="shared" si="3"/>
        <v>0.1</v>
      </c>
      <c r="K33" s="145">
        <f t="shared" si="0"/>
        <v>8953.6900000000023</v>
      </c>
      <c r="L33" s="517" t="s">
        <v>780</v>
      </c>
      <c r="M33" s="615">
        <f>VLOOKUP(B33,'App.2-B_Fixed Asset Cont - 2010'!$C$16:$L$46,10,$B$16:$B$46)</f>
        <v>8953.69</v>
      </c>
    </row>
    <row r="34" spans="2:13" x14ac:dyDescent="0.2">
      <c r="B34" s="465">
        <v>1920</v>
      </c>
      <c r="C34" s="456" t="s">
        <v>470</v>
      </c>
      <c r="D34" s="580">
        <f>VLOOKUP(B34,'App.2-B_Fixed Asset Cont - 2010'!$C$16:$G$46,4,$B$16:$B$46)</f>
        <v>354645.59</v>
      </c>
      <c r="E34" s="580">
        <v>263658.79999999993</v>
      </c>
      <c r="F34" s="27">
        <f t="shared" si="1"/>
        <v>90986.790000000095</v>
      </c>
      <c r="G34" s="580">
        <f>VLOOKUP(B34,'App.2-B_Fixed Asset Cont - 2010'!$C$16:$G$46,5,$B$16:$B$46)</f>
        <v>3384.72</v>
      </c>
      <c r="H34" s="27">
        <f t="shared" si="2"/>
        <v>92679.150000000096</v>
      </c>
      <c r="I34" s="614">
        <f>1/VLOOKUP(B34,'App.2-B_Fixed Asset Cont - 2010'!$C$16:$G$46,3,$B$16:$B$46)</f>
        <v>5</v>
      </c>
      <c r="J34" s="157">
        <f t="shared" si="3"/>
        <v>0.2</v>
      </c>
      <c r="K34" s="145">
        <f t="shared" si="0"/>
        <v>18535.83000000002</v>
      </c>
      <c r="L34" s="517" t="s">
        <v>780</v>
      </c>
      <c r="M34" s="615">
        <f>VLOOKUP(B34,'App.2-B_Fixed Asset Cont - 2010'!$C$16:$L$46,10,$B$16:$B$46)</f>
        <v>18535.830000000002</v>
      </c>
    </row>
    <row r="35" spans="2:13" x14ac:dyDescent="0.2">
      <c r="B35" s="465">
        <v>1925</v>
      </c>
      <c r="C35" s="456" t="s">
        <v>563</v>
      </c>
      <c r="D35" s="580">
        <f>VLOOKUP(B35,'App.2-B_Fixed Asset Cont - 2010'!$C$16:$G$46,4,$B$16:$B$46)</f>
        <v>238831.86999999997</v>
      </c>
      <c r="E35" s="580">
        <v>49252.869999999966</v>
      </c>
      <c r="F35" s="27">
        <f t="shared" si="1"/>
        <v>189579</v>
      </c>
      <c r="G35" s="580">
        <f>VLOOKUP(B35,'App.2-B_Fixed Asset Cont - 2010'!$C$16:$G$46,5,$B$16:$B$46)</f>
        <v>895</v>
      </c>
      <c r="H35" s="27">
        <f t="shared" si="2"/>
        <v>190026.5</v>
      </c>
      <c r="I35" s="614">
        <f>1/VLOOKUP(B35,'App.2-B_Fixed Asset Cont - 2010'!$C$16:$G$46,3,$B$16:$B$46)</f>
        <v>5</v>
      </c>
      <c r="J35" s="157">
        <f t="shared" si="3"/>
        <v>0.2</v>
      </c>
      <c r="K35" s="145">
        <f t="shared" si="0"/>
        <v>38005.300000000003</v>
      </c>
      <c r="L35" s="517" t="s">
        <v>780</v>
      </c>
      <c r="M35" s="615">
        <f>VLOOKUP(B35,'App.2-B_Fixed Asset Cont - 2010'!$C$16:$L$46,10,$B$16:$B$46)</f>
        <v>38005.300000000003</v>
      </c>
    </row>
    <row r="36" spans="2:13" x14ac:dyDescent="0.2">
      <c r="B36" s="465">
        <v>1930</v>
      </c>
      <c r="C36" s="456" t="s">
        <v>564</v>
      </c>
      <c r="D36" s="580">
        <f>VLOOKUP(B36,'App.2-B_Fixed Asset Cont - 2010'!$C$16:$G$46,4,$B$16:$B$46)</f>
        <v>1872447.45</v>
      </c>
      <c r="E36" s="580">
        <v>1177576.5699999998</v>
      </c>
      <c r="F36" s="27">
        <f t="shared" si="1"/>
        <v>694870.88000000012</v>
      </c>
      <c r="G36" s="580">
        <f>VLOOKUP(B36,'App.2-B_Fixed Asset Cont - 2010'!$C$16:$G$46,5,$B$16:$B$46)</f>
        <v>0</v>
      </c>
      <c r="H36" s="27">
        <f t="shared" si="2"/>
        <v>694870.88000000012</v>
      </c>
      <c r="I36" s="614">
        <f>1/VLOOKUP(B36,'App.2-B_Fixed Asset Cont - 2010'!$C$16:$G$46,3,$B$16:$B$46)</f>
        <v>8</v>
      </c>
      <c r="J36" s="157">
        <f t="shared" si="3"/>
        <v>0.125</v>
      </c>
      <c r="K36" s="145">
        <f t="shared" si="0"/>
        <v>86858.860000000015</v>
      </c>
      <c r="L36" s="517" t="s">
        <v>780</v>
      </c>
      <c r="M36" s="615">
        <f>VLOOKUP(B36,'App.2-B_Fixed Asset Cont - 2010'!$C$16:$L$46,10,$B$16:$B$46)</f>
        <v>86858.86</v>
      </c>
    </row>
    <row r="37" spans="2:13" x14ac:dyDescent="0.2">
      <c r="B37" s="465">
        <v>1935</v>
      </c>
      <c r="C37" s="456" t="s">
        <v>565</v>
      </c>
      <c r="D37" s="580">
        <f>VLOOKUP(B37,'App.2-B_Fixed Asset Cont - 2010'!$C$16:$G$46,4,$B$16:$B$46)</f>
        <v>0</v>
      </c>
      <c r="E37" s="580"/>
      <c r="F37" s="27">
        <f t="shared" si="1"/>
        <v>0</v>
      </c>
      <c r="G37" s="580">
        <f>VLOOKUP(B37,'App.2-B_Fixed Asset Cont - 2010'!$C$16:$G$46,5,$B$16:$B$46)</f>
        <v>0</v>
      </c>
      <c r="H37" s="27">
        <f t="shared" si="2"/>
        <v>0</v>
      </c>
      <c r="I37" s="614"/>
      <c r="J37" s="157" t="str">
        <f t="shared" si="3"/>
        <v/>
      </c>
      <c r="K37" s="145" t="str">
        <f t="shared" si="0"/>
        <v/>
      </c>
      <c r="L37" s="517"/>
      <c r="M37" s="615">
        <f>VLOOKUP(B37,'App.2-B_Fixed Asset Cont - 2010'!$C$16:$L$46,10,$B$16:$B$46)</f>
        <v>0</v>
      </c>
    </row>
    <row r="38" spans="2:13" x14ac:dyDescent="0.2">
      <c r="B38" s="465">
        <v>1940</v>
      </c>
      <c r="C38" s="456" t="s">
        <v>566</v>
      </c>
      <c r="D38" s="580">
        <f>VLOOKUP(B38,'App.2-B_Fixed Asset Cont - 2010'!$C$16:$G$46,4,$B$16:$B$46)</f>
        <v>361925.23000000004</v>
      </c>
      <c r="E38" s="580">
        <v>236986.20500000005</v>
      </c>
      <c r="F38" s="27">
        <f t="shared" si="1"/>
        <v>124939.02499999999</v>
      </c>
      <c r="G38" s="580">
        <f>VLOOKUP(B38,'App.2-B_Fixed Asset Cont - 2010'!$C$16:$G$46,5,$B$16:$B$46)</f>
        <v>2828.15</v>
      </c>
      <c r="H38" s="27">
        <f t="shared" si="2"/>
        <v>126353.09999999999</v>
      </c>
      <c r="I38" s="614">
        <f>1/VLOOKUP(B38,'App.2-B_Fixed Asset Cont - 2010'!$C$16:$G$46,3,$B$16:$B$46)</f>
        <v>10</v>
      </c>
      <c r="J38" s="157">
        <f t="shared" si="3"/>
        <v>0.1</v>
      </c>
      <c r="K38" s="145">
        <f t="shared" si="0"/>
        <v>12635.31</v>
      </c>
      <c r="L38" s="517" t="s">
        <v>780</v>
      </c>
      <c r="M38" s="615">
        <f>VLOOKUP(B38,'App.2-B_Fixed Asset Cont - 2010'!$C$16:$L$46,10,$B$16:$B$46)</f>
        <v>12635.31</v>
      </c>
    </row>
    <row r="39" spans="2:13" x14ac:dyDescent="0.2">
      <c r="B39" s="465">
        <v>1945</v>
      </c>
      <c r="C39" s="456" t="s">
        <v>567</v>
      </c>
      <c r="D39" s="580">
        <f>VLOOKUP(B39,'App.2-B_Fixed Asset Cont - 2010'!$C$16:$G$46,4,$B$16:$B$46)</f>
        <v>0</v>
      </c>
      <c r="E39" s="580"/>
      <c r="F39" s="27">
        <f t="shared" si="1"/>
        <v>0</v>
      </c>
      <c r="G39" s="580">
        <f>VLOOKUP(B39,'App.2-B_Fixed Asset Cont - 2010'!$C$16:$G$46,5,$B$16:$B$46)</f>
        <v>0</v>
      </c>
      <c r="H39" s="27">
        <f t="shared" si="2"/>
        <v>0</v>
      </c>
      <c r="I39" s="614"/>
      <c r="J39" s="157" t="str">
        <f t="shared" si="3"/>
        <v/>
      </c>
      <c r="K39" s="145" t="str">
        <f t="shared" si="0"/>
        <v/>
      </c>
      <c r="L39" s="517"/>
      <c r="M39" s="615">
        <f>VLOOKUP(B39,'App.2-B_Fixed Asset Cont - 2010'!$C$16:$L$46,10,$B$16:$B$46)</f>
        <v>0</v>
      </c>
    </row>
    <row r="40" spans="2:13" x14ac:dyDescent="0.2">
      <c r="B40" s="465">
        <v>1950</v>
      </c>
      <c r="C40" s="456" t="s">
        <v>473</v>
      </c>
      <c r="D40" s="580">
        <f>VLOOKUP(B40,'App.2-B_Fixed Asset Cont - 2010'!$C$16:$G$46,4,$B$16:$B$46)</f>
        <v>0</v>
      </c>
      <c r="E40" s="580"/>
      <c r="F40" s="27">
        <f t="shared" si="1"/>
        <v>0</v>
      </c>
      <c r="G40" s="580">
        <f>VLOOKUP(B40,'App.2-B_Fixed Asset Cont - 2010'!$C$16:$G$46,5,$B$16:$B$46)</f>
        <v>0</v>
      </c>
      <c r="H40" s="27">
        <f t="shared" si="2"/>
        <v>0</v>
      </c>
      <c r="I40" s="614"/>
      <c r="J40" s="157" t="str">
        <f t="shared" si="3"/>
        <v/>
      </c>
      <c r="K40" s="145" t="str">
        <f t="shared" si="0"/>
        <v/>
      </c>
      <c r="L40" s="517"/>
      <c r="M40" s="615">
        <f>VLOOKUP(B40,'App.2-B_Fixed Asset Cont - 2010'!$C$16:$L$46,10,$B$16:$B$46)</f>
        <v>0</v>
      </c>
    </row>
    <row r="41" spans="2:13" x14ac:dyDescent="0.2">
      <c r="B41" s="465">
        <v>1955</v>
      </c>
      <c r="C41" s="456" t="s">
        <v>568</v>
      </c>
      <c r="D41" s="580">
        <f>VLOOKUP(B41,'App.2-B_Fixed Asset Cont - 2010'!$C$16:$G$46,4,$B$16:$B$46)</f>
        <v>24604</v>
      </c>
      <c r="E41" s="580">
        <v>10160.799999999999</v>
      </c>
      <c r="F41" s="27">
        <f>D41-E41</f>
        <v>14443.2</v>
      </c>
      <c r="G41" s="580">
        <f>VLOOKUP(B41,'App.2-B_Fixed Asset Cont - 2010'!$C$16:$G$46,5,$B$16:$B$46)</f>
        <v>11226.6</v>
      </c>
      <c r="H41" s="27">
        <f t="shared" si="2"/>
        <v>20056.5</v>
      </c>
      <c r="I41" s="614">
        <f>1/VLOOKUP(B41,'App.2-B_Fixed Asset Cont - 2010'!$C$16:$G$46,3,$B$16:$B$46)</f>
        <v>10</v>
      </c>
      <c r="J41" s="157">
        <f t="shared" si="3"/>
        <v>0.1</v>
      </c>
      <c r="K41" s="145">
        <f t="shared" si="0"/>
        <v>2005.65</v>
      </c>
      <c r="L41" s="517" t="s">
        <v>780</v>
      </c>
      <c r="M41" s="615">
        <f>VLOOKUP(B41,'App.2-B_Fixed Asset Cont - 2010'!$C$16:$L$46,10,$B$16:$B$46)</f>
        <v>2005.65</v>
      </c>
    </row>
    <row r="42" spans="2:13" x14ac:dyDescent="0.2">
      <c r="B42" s="465">
        <v>1960</v>
      </c>
      <c r="C42" s="456" t="s">
        <v>475</v>
      </c>
      <c r="D42" s="580">
        <f>VLOOKUP(B42,'App.2-B_Fixed Asset Cont - 2010'!$C$16:$G$46,4,$B$16:$B$46)</f>
        <v>0</v>
      </c>
      <c r="E42" s="580"/>
      <c r="F42" s="27">
        <f t="shared" si="1"/>
        <v>0</v>
      </c>
      <c r="G42" s="580">
        <f>VLOOKUP(B42,'App.2-B_Fixed Asset Cont - 2010'!$C$16:$G$46,5,$B$16:$B$46)</f>
        <v>0</v>
      </c>
      <c r="H42" s="27">
        <f t="shared" si="2"/>
        <v>0</v>
      </c>
      <c r="I42" s="614"/>
      <c r="J42" s="157" t="str">
        <f t="shared" si="3"/>
        <v/>
      </c>
      <c r="K42" s="145" t="str">
        <f t="shared" si="0"/>
        <v/>
      </c>
      <c r="L42" s="517"/>
      <c r="M42" s="615">
        <f>VLOOKUP(B42,'App.2-B_Fixed Asset Cont - 2010'!$C$16:$L$46,10,$B$16:$B$46)</f>
        <v>0</v>
      </c>
    </row>
    <row r="43" spans="2:13" x14ac:dyDescent="0.2">
      <c r="B43" s="465">
        <v>1975</v>
      </c>
      <c r="C43" s="456" t="s">
        <v>569</v>
      </c>
      <c r="D43" s="580">
        <f>VLOOKUP(B43,'App.2-B_Fixed Asset Cont - 2010'!$C$16:$G$46,4,$B$16:$B$46)</f>
        <v>0</v>
      </c>
      <c r="E43" s="580"/>
      <c r="F43" s="27">
        <f t="shared" si="1"/>
        <v>0</v>
      </c>
      <c r="G43" s="580">
        <f>VLOOKUP(B43,'App.2-B_Fixed Asset Cont - 2010'!$C$16:$G$46,5,$B$16:$B$46)</f>
        <v>0</v>
      </c>
      <c r="H43" s="27">
        <f t="shared" si="2"/>
        <v>0</v>
      </c>
      <c r="I43" s="614"/>
      <c r="J43" s="157" t="str">
        <f t="shared" si="3"/>
        <v/>
      </c>
      <c r="K43" s="145" t="str">
        <f t="shared" si="0"/>
        <v/>
      </c>
      <c r="L43" s="517"/>
      <c r="M43" s="615">
        <f>VLOOKUP(B43,'App.2-B_Fixed Asset Cont - 2010'!$C$16:$L$46,10,$B$16:$B$46)</f>
        <v>0</v>
      </c>
    </row>
    <row r="44" spans="2:13" x14ac:dyDescent="0.2">
      <c r="B44" s="465">
        <v>1980</v>
      </c>
      <c r="C44" s="456" t="s">
        <v>570</v>
      </c>
      <c r="D44" s="580">
        <f>VLOOKUP(B44,'App.2-B_Fixed Asset Cont - 2010'!$C$16:$G$46,4,$B$16:$B$46)</f>
        <v>0</v>
      </c>
      <c r="E44" s="580"/>
      <c r="F44" s="27">
        <f t="shared" si="1"/>
        <v>0</v>
      </c>
      <c r="G44" s="580">
        <f>VLOOKUP(B44,'App.2-B_Fixed Asset Cont - 2010'!$C$16:$G$46,5,$B$16:$B$46)</f>
        <v>0</v>
      </c>
      <c r="H44" s="27">
        <f t="shared" si="2"/>
        <v>0</v>
      </c>
      <c r="I44" s="614"/>
      <c r="J44" s="157" t="str">
        <f t="shared" si="3"/>
        <v/>
      </c>
      <c r="K44" s="145" t="str">
        <f t="shared" si="0"/>
        <v/>
      </c>
      <c r="L44" s="517"/>
      <c r="M44" s="615">
        <f>VLOOKUP(B44,'App.2-B_Fixed Asset Cont - 2010'!$C$16:$L$46,10,$B$16:$B$46)</f>
        <v>0</v>
      </c>
    </row>
    <row r="45" spans="2:13" x14ac:dyDescent="0.2">
      <c r="B45" s="465">
        <v>1985</v>
      </c>
      <c r="C45" s="456" t="s">
        <v>571</v>
      </c>
      <c r="D45" s="580">
        <f>VLOOKUP(B45,'App.2-B_Fixed Asset Cont - 2010'!$C$16:$G$46,4,$B$16:$B$46)</f>
        <v>0</v>
      </c>
      <c r="E45" s="580">
        <v>0</v>
      </c>
      <c r="F45" s="27">
        <f t="shared" si="1"/>
        <v>0</v>
      </c>
      <c r="G45" s="580">
        <f>VLOOKUP(B45,'App.2-B_Fixed Asset Cont - 2010'!$C$16:$G$46,5,$B$16:$B$46)</f>
        <v>0</v>
      </c>
      <c r="H45" s="27">
        <f t="shared" si="2"/>
        <v>0</v>
      </c>
      <c r="I45" s="614">
        <f>1/VLOOKUP(B45,'App.2-B_Fixed Asset Cont - 2010'!$C$16:$G$46,3,$B$16:$B$46)</f>
        <v>10</v>
      </c>
      <c r="J45" s="157">
        <f t="shared" si="3"/>
        <v>0.1</v>
      </c>
      <c r="K45" s="145">
        <f t="shared" si="0"/>
        <v>0</v>
      </c>
      <c r="L45" s="517"/>
      <c r="M45" s="615">
        <f>VLOOKUP(B45,'App.2-B_Fixed Asset Cont - 2010'!$C$16:$L$46,10,$B$16:$B$46)</f>
        <v>0</v>
      </c>
    </row>
    <row r="46" spans="2:13" x14ac:dyDescent="0.2">
      <c r="B46" s="465">
        <v>1995</v>
      </c>
      <c r="C46" s="456" t="s">
        <v>572</v>
      </c>
      <c r="D46" s="580">
        <f>VLOOKUP(B46,'App.2-B_Fixed Asset Cont - 2010'!$C$16:$G$46,4,$B$16:$B$46)</f>
        <v>-3645342.5300000003</v>
      </c>
      <c r="E46" s="580">
        <v>38803.710000000137</v>
      </c>
      <c r="F46" s="615">
        <f t="shared" si="1"/>
        <v>-3684146.24</v>
      </c>
      <c r="G46" s="580">
        <f>VLOOKUP(B46,'App.2-B_Fixed Asset Cont - 2010'!$C$16:$G$46,5,$B$16:$B$46)</f>
        <v>-34434.519999999997</v>
      </c>
      <c r="H46" s="615">
        <f t="shared" si="2"/>
        <v>-3701363.5</v>
      </c>
      <c r="I46" s="614">
        <f>1/VLOOKUP(B46,'App.2-B_Fixed Asset Cont - 2010'!$C$16:$G$46,3,$B$16:$B$46)</f>
        <v>25</v>
      </c>
      <c r="J46" s="157">
        <f t="shared" si="3"/>
        <v>0.04</v>
      </c>
      <c r="K46" s="615">
        <f t="shared" si="0"/>
        <v>-148054.54</v>
      </c>
      <c r="L46" s="517" t="s">
        <v>780</v>
      </c>
      <c r="M46" s="615">
        <f>VLOOKUP(B46,'App.2-B_Fixed Asset Cont - 2010'!$C$16:$L$46,10,$B$16:$B$46)</f>
        <v>-148054.54</v>
      </c>
    </row>
    <row r="47" spans="2:13" x14ac:dyDescent="0.2">
      <c r="B47" s="465" t="s">
        <v>636</v>
      </c>
      <c r="C47" s="456"/>
      <c r="D47" s="580"/>
      <c r="E47" s="175"/>
      <c r="F47" s="157">
        <f t="shared" si="1"/>
        <v>0</v>
      </c>
      <c r="G47" s="175"/>
      <c r="H47" s="27">
        <f t="shared" si="2"/>
        <v>0</v>
      </c>
      <c r="I47" s="176"/>
      <c r="J47" s="157" t="str">
        <f t="shared" si="3"/>
        <v/>
      </c>
      <c r="K47" s="616" t="str">
        <f t="shared" si="0"/>
        <v/>
      </c>
      <c r="L47" s="517"/>
    </row>
    <row r="48" spans="2:13" ht="13.5" thickBot="1" x14ac:dyDescent="0.25">
      <c r="B48" s="466"/>
      <c r="C48" s="467"/>
      <c r="D48" s="171"/>
      <c r="E48" s="171"/>
      <c r="F48" s="520">
        <f t="shared" si="1"/>
        <v>0</v>
      </c>
      <c r="G48" s="171"/>
      <c r="H48" s="611">
        <f t="shared" si="2"/>
        <v>0</v>
      </c>
      <c r="I48" s="519"/>
      <c r="J48" s="520" t="str">
        <f t="shared" si="3"/>
        <v/>
      </c>
      <c r="K48" s="521" t="str">
        <f t="shared" si="0"/>
        <v/>
      </c>
      <c r="L48" s="518"/>
    </row>
    <row r="49" spans="2:13" ht="14.25" thickTop="1" thickBot="1" x14ac:dyDescent="0.25">
      <c r="B49" s="468"/>
      <c r="C49" s="469" t="s">
        <v>573</v>
      </c>
      <c r="D49" s="167">
        <f>SUM(D16:D48)</f>
        <v>22432080.829999998</v>
      </c>
      <c r="E49" s="167">
        <f>SUM(E16:E48)</f>
        <v>5231307.879999999</v>
      </c>
      <c r="F49" s="303">
        <f>D49-E49</f>
        <v>17200772.949999999</v>
      </c>
      <c r="G49" s="27">
        <f>SUM(G16:G48)</f>
        <v>810310.6</v>
      </c>
      <c r="H49" s="303">
        <f>F49+0.5*G49</f>
        <v>17605928.25</v>
      </c>
      <c r="I49" s="617"/>
      <c r="J49" s="303"/>
      <c r="K49" s="308">
        <f>SUM(K16:K48)</f>
        <v>824356.64000000013</v>
      </c>
      <c r="L49" s="464"/>
      <c r="M49" s="308">
        <f>SUM(M16:M48)</f>
        <v>824356.64</v>
      </c>
    </row>
    <row r="50" spans="2:13" ht="7.5" customHeight="1" x14ac:dyDescent="0.2"/>
    <row r="51" spans="2:13" x14ac:dyDescent="0.2">
      <c r="B51" s="52" t="s">
        <v>639</v>
      </c>
      <c r="C51" s="389"/>
      <c r="D51" s="389"/>
      <c r="E51" s="389"/>
      <c r="F51" s="389"/>
      <c r="G51" s="389"/>
      <c r="H51" s="612"/>
      <c r="I51" s="389"/>
      <c r="J51" s="389"/>
      <c r="K51" s="389"/>
    </row>
    <row r="52" spans="2:13" ht="7.5" customHeight="1" x14ac:dyDescent="0.2">
      <c r="B52" s="389"/>
      <c r="C52" s="389"/>
      <c r="D52" s="389"/>
      <c r="E52" s="389"/>
      <c r="F52" s="389"/>
      <c r="G52" s="389"/>
      <c r="H52" s="612"/>
      <c r="I52" s="389"/>
      <c r="J52" s="389"/>
      <c r="K52" s="389"/>
    </row>
    <row r="53" spans="2:13" x14ac:dyDescent="0.2">
      <c r="B53" s="760" t="s">
        <v>192</v>
      </c>
      <c r="C53" s="761"/>
      <c r="D53" s="761"/>
      <c r="E53" s="761"/>
      <c r="F53" s="761"/>
      <c r="G53" s="761"/>
      <c r="H53" s="761"/>
      <c r="I53" s="761"/>
      <c r="J53" s="761"/>
    </row>
    <row r="54" spans="2:13" ht="26.25" customHeight="1" x14ac:dyDescent="0.2">
      <c r="B54" s="760" t="s">
        <v>193</v>
      </c>
      <c r="C54" s="761"/>
      <c r="D54" s="761"/>
      <c r="E54" s="761"/>
      <c r="F54" s="761"/>
      <c r="G54" s="761"/>
      <c r="H54" s="761"/>
      <c r="I54" s="761"/>
      <c r="J54" s="761"/>
    </row>
    <row r="55" spans="2:13" x14ac:dyDescent="0.2">
      <c r="B55" s="762" t="s">
        <v>194</v>
      </c>
      <c r="C55" s="763"/>
      <c r="D55" s="763"/>
      <c r="E55" s="763"/>
      <c r="F55" s="763"/>
      <c r="G55" s="763"/>
      <c r="H55" s="763"/>
      <c r="I55" s="763"/>
      <c r="J55" s="763"/>
    </row>
    <row r="56" spans="2:13" ht="19.5" customHeight="1" x14ac:dyDescent="0.2">
      <c r="B56" s="763"/>
      <c r="C56" s="763"/>
      <c r="D56" s="763"/>
      <c r="E56" s="763"/>
      <c r="F56" s="763"/>
      <c r="G56" s="763"/>
      <c r="H56" s="763"/>
      <c r="I56" s="763"/>
      <c r="J56" s="763"/>
    </row>
    <row r="57" spans="2:13" ht="3" customHeight="1" x14ac:dyDescent="0.2">
      <c r="B57" s="389"/>
      <c r="C57" s="389"/>
      <c r="D57" s="389"/>
      <c r="E57" s="389"/>
      <c r="F57" s="389"/>
      <c r="G57" s="389"/>
      <c r="H57" s="612"/>
      <c r="I57" s="389"/>
      <c r="J57" s="389"/>
      <c r="K57" s="389"/>
    </row>
    <row r="58" spans="2:13" x14ac:dyDescent="0.2">
      <c r="B58" s="52" t="s">
        <v>482</v>
      </c>
      <c r="C58" s="764" t="s">
        <v>419</v>
      </c>
      <c r="D58" s="764"/>
      <c r="E58" s="764"/>
      <c r="F58" s="764"/>
      <c r="G58" s="764"/>
      <c r="H58" s="764"/>
      <c r="I58" s="764"/>
      <c r="J58" s="764"/>
      <c r="K58" s="764"/>
    </row>
    <row r="59" spans="2:13" x14ac:dyDescent="0.2">
      <c r="B59" s="389"/>
      <c r="C59" s="764"/>
      <c r="D59" s="764"/>
      <c r="E59" s="764"/>
      <c r="F59" s="764"/>
      <c r="G59" s="764"/>
      <c r="H59" s="764"/>
      <c r="I59" s="764"/>
      <c r="J59" s="764"/>
      <c r="K59" s="764"/>
    </row>
    <row r="60" spans="2:13" x14ac:dyDescent="0.2">
      <c r="B60" s="389"/>
      <c r="C60" s="764"/>
      <c r="D60" s="764"/>
      <c r="E60" s="764"/>
      <c r="F60" s="764"/>
      <c r="G60" s="764"/>
      <c r="H60" s="764"/>
      <c r="I60" s="764"/>
      <c r="J60" s="764"/>
      <c r="K60" s="764"/>
    </row>
  </sheetData>
  <mergeCells count="9">
    <mergeCell ref="B9:K9"/>
    <mergeCell ref="B10:K10"/>
    <mergeCell ref="B14:B15"/>
    <mergeCell ref="C14:C15"/>
    <mergeCell ref="L14:L15"/>
    <mergeCell ref="B53:J53"/>
    <mergeCell ref="B54:J54"/>
    <mergeCell ref="B55:J56"/>
    <mergeCell ref="C58:K60"/>
  </mergeCells>
  <dataValidations count="2">
    <dataValidation type="list" allowBlank="1" showInputMessage="1" showErrorMessage="1" sqref="L16:L48">
      <formula1>"Yes, No"</formula1>
    </dataValidation>
    <dataValidation allowBlank="1" showInputMessage="1" showErrorMessage="1" promptTitle="Date Format" prompt="E.g:  &quot;August 1, 2011&quot;" sqref="K7"/>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1:M60"/>
  <sheetViews>
    <sheetView showGridLines="0" topLeftCell="B18" zoomScaleNormal="100" workbookViewId="0">
      <selection activeCell="R14" sqref="R14"/>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2011</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- 2011'!$C$16:$G$46,4,$B$16:$B$46)</f>
        <v>2112</v>
      </c>
      <c r="E16" s="175"/>
      <c r="F16" s="27">
        <f>D16-E16</f>
        <v>2112</v>
      </c>
      <c r="G16" s="580">
        <f>VLOOKUP(B16,'App.2-B_Fixed Asset Cont - 2011'!$C$16:$G$46,5,$B$16:$B$46)</f>
        <v>0</v>
      </c>
      <c r="H16" s="27">
        <f>F16+0.5*G16</f>
        <v>2112</v>
      </c>
      <c r="I16" s="613"/>
      <c r="J16" s="157" t="str">
        <f>IF(I16=0,"",1/I16)</f>
        <v/>
      </c>
      <c r="K16" s="158" t="str">
        <f t="shared" ref="K16:K48" si="0">IF(I16=0,"",H16/I16)</f>
        <v/>
      </c>
      <c r="L16" s="517"/>
      <c r="M16" s="615">
        <f>VLOOKUP(B16,'App.2-B_Fixed Asset Cont - 2011'!$C$16:$L$46,10,$B$16:$B$46)</f>
        <v>0</v>
      </c>
    </row>
    <row r="17" spans="2:13" x14ac:dyDescent="0.2">
      <c r="B17" s="148">
        <v>1808</v>
      </c>
      <c r="C17" s="2" t="s">
        <v>537</v>
      </c>
      <c r="D17" s="580">
        <f>VLOOKUP(B17,'App.2-B_Fixed Asset Cont - 2011'!$C$16:$G$46,4,$B$16:$B$46)</f>
        <v>0</v>
      </c>
      <c r="E17" s="175"/>
      <c r="F17" s="27">
        <f t="shared" ref="F17:F48" si="1">D17-E17</f>
        <v>0</v>
      </c>
      <c r="G17" s="580">
        <f>VLOOKUP(B17,'App.2-B_Fixed Asset Cont - 2011'!$C$16:$G$46,5,$B$16:$B$46)</f>
        <v>0</v>
      </c>
      <c r="H17" s="27">
        <f t="shared" ref="H17:H48" si="2">F17+0.5*G17</f>
        <v>0</v>
      </c>
      <c r="I17" s="613"/>
      <c r="J17" s="157" t="str">
        <f t="shared" ref="J17:J48" si="3">IF(I17=0,"",1/I17)</f>
        <v/>
      </c>
      <c r="K17" s="158" t="str">
        <f t="shared" si="0"/>
        <v/>
      </c>
      <c r="L17" s="517"/>
      <c r="M17" s="615">
        <f>VLOOKUP(B17,'App.2-B_Fixed Asset Cont - 2011'!$C$16:$L$46,10,$B$16:$B$46)</f>
        <v>0</v>
      </c>
    </row>
    <row r="18" spans="2:13" x14ac:dyDescent="0.2">
      <c r="B18" s="148">
        <v>1810</v>
      </c>
      <c r="C18" s="2" t="s">
        <v>579</v>
      </c>
      <c r="D18" s="580">
        <f>VLOOKUP(B18,'App.2-B_Fixed Asset Cont - 2011'!$C$16:$G$46,4,$B$16:$B$46)</f>
        <v>0</v>
      </c>
      <c r="E18" s="175"/>
      <c r="F18" s="27">
        <f t="shared" si="1"/>
        <v>0</v>
      </c>
      <c r="G18" s="580">
        <f>VLOOKUP(B18,'App.2-B_Fixed Asset Cont - 2011'!$C$16:$G$46,5,$B$16:$B$46)</f>
        <v>0</v>
      </c>
      <c r="H18" s="27">
        <f t="shared" si="2"/>
        <v>0</v>
      </c>
      <c r="I18" s="613"/>
      <c r="J18" s="157" t="str">
        <f t="shared" si="3"/>
        <v/>
      </c>
      <c r="K18" s="158" t="str">
        <f t="shared" si="0"/>
        <v/>
      </c>
      <c r="L18" s="517"/>
      <c r="M18" s="615">
        <f>VLOOKUP(B18,'App.2-B_Fixed Asset Cont - 2011'!$C$16:$L$46,10,$B$16:$B$46)</f>
        <v>0</v>
      </c>
    </row>
    <row r="19" spans="2:13" x14ac:dyDescent="0.2">
      <c r="B19" s="148">
        <v>1815</v>
      </c>
      <c r="C19" s="2" t="s">
        <v>538</v>
      </c>
      <c r="D19" s="580">
        <f>VLOOKUP(B19,'App.2-B_Fixed Asset Cont - 2011'!$C$16:$G$46,4,$B$16:$B$46)</f>
        <v>0</v>
      </c>
      <c r="E19" s="175"/>
      <c r="F19" s="27">
        <f t="shared" si="1"/>
        <v>0</v>
      </c>
      <c r="G19" s="580">
        <f>VLOOKUP(B19,'App.2-B_Fixed Asset Cont - 2011'!$C$16:$G$46,5,$B$16:$B$46)</f>
        <v>0</v>
      </c>
      <c r="H19" s="27">
        <f t="shared" si="2"/>
        <v>0</v>
      </c>
      <c r="I19" s="613"/>
      <c r="J19" s="157" t="str">
        <f t="shared" si="3"/>
        <v/>
      </c>
      <c r="K19" s="158" t="str">
        <f t="shared" si="0"/>
        <v/>
      </c>
      <c r="L19" s="517"/>
      <c r="M19" s="615">
        <f>VLOOKUP(B19,'App.2-B_Fixed Asset Cont - 2011'!$C$16:$L$46,10,$B$16:$B$46)</f>
        <v>0</v>
      </c>
    </row>
    <row r="20" spans="2:13" x14ac:dyDescent="0.2">
      <c r="B20" s="465">
        <v>1820</v>
      </c>
      <c r="C20" s="456" t="s">
        <v>462</v>
      </c>
      <c r="D20" s="580">
        <f>VLOOKUP(B20,'App.2-B_Fixed Asset Cont - 2011'!$C$16:$G$46,4,$B$16:$B$46)</f>
        <v>142098.48000000001</v>
      </c>
      <c r="E20" s="580">
        <v>140549.23000000001</v>
      </c>
      <c r="F20" s="27">
        <f t="shared" si="1"/>
        <v>1549.25</v>
      </c>
      <c r="G20" s="580">
        <f>VLOOKUP(B20,'App.2-B_Fixed Asset Cont - 2011'!$C$16:$G$46,5,$B$16:$B$46)</f>
        <v>0</v>
      </c>
      <c r="H20" s="27">
        <f t="shared" si="2"/>
        <v>1549.25</v>
      </c>
      <c r="I20" s="614">
        <f>1/VLOOKUP(B20,'App.2-B_Fixed Asset Cont - 2011'!$C$16:$G$46,3,$B$16:$B$46)</f>
        <v>25</v>
      </c>
      <c r="J20" s="157">
        <f t="shared" si="3"/>
        <v>0.04</v>
      </c>
      <c r="K20" s="145">
        <f t="shared" si="0"/>
        <v>61.97</v>
      </c>
      <c r="L20" s="517" t="s">
        <v>780</v>
      </c>
      <c r="M20" s="615">
        <f>VLOOKUP(B20,'App.2-B_Fixed Asset Cont - 2011'!$C$16:$L$46,10,$B$16:$B$46)</f>
        <v>61.97</v>
      </c>
    </row>
    <row r="21" spans="2:13" x14ac:dyDescent="0.2">
      <c r="B21" s="465">
        <v>1825</v>
      </c>
      <c r="C21" s="456" t="s">
        <v>539</v>
      </c>
      <c r="D21" s="580">
        <f>VLOOKUP(B21,'App.2-B_Fixed Asset Cont - 2011'!$C$16:$G$46,4,$B$16:$B$46)</f>
        <v>0</v>
      </c>
      <c r="E21" s="580"/>
      <c r="F21" s="27">
        <f t="shared" si="1"/>
        <v>0</v>
      </c>
      <c r="G21" s="580">
        <f>VLOOKUP(B21,'App.2-B_Fixed Asset Cont - 2011'!$C$16:$G$46,5,$B$16:$B$46)</f>
        <v>0</v>
      </c>
      <c r="H21" s="27">
        <f t="shared" si="2"/>
        <v>0</v>
      </c>
      <c r="I21" s="614"/>
      <c r="J21" s="157" t="str">
        <f t="shared" si="3"/>
        <v/>
      </c>
      <c r="K21" s="145" t="str">
        <f t="shared" si="0"/>
        <v/>
      </c>
      <c r="L21" s="517"/>
      <c r="M21" s="615">
        <f>VLOOKUP(B21,'App.2-B_Fixed Asset Cont - 2011'!$C$16:$L$46,10,$B$16:$B$46)</f>
        <v>0</v>
      </c>
    </row>
    <row r="22" spans="2:13" x14ac:dyDescent="0.2">
      <c r="B22" s="465">
        <v>1830</v>
      </c>
      <c r="C22" s="456" t="s">
        <v>540</v>
      </c>
      <c r="D22" s="580">
        <f>VLOOKUP(B22,'App.2-B_Fixed Asset Cont - 2011'!$C$16:$G$46,4,$B$16:$B$46)</f>
        <v>837724.18</v>
      </c>
      <c r="E22" s="580">
        <v>-249.57500000000437</v>
      </c>
      <c r="F22" s="27">
        <f t="shared" si="1"/>
        <v>837973.755</v>
      </c>
      <c r="G22" s="580">
        <f>VLOOKUP(B22,'App.2-B_Fixed Asset Cont - 2011'!$C$16:$G$46,5,$B$16:$B$46)</f>
        <v>51131.49</v>
      </c>
      <c r="H22" s="27">
        <f t="shared" si="2"/>
        <v>863539.5</v>
      </c>
      <c r="I22" s="614">
        <f>1/VLOOKUP(B22,'App.2-B_Fixed Asset Cont - 2011'!$C$16:$G$46,3,$B$16:$B$46)</f>
        <v>25</v>
      </c>
      <c r="J22" s="157">
        <f t="shared" si="3"/>
        <v>0.04</v>
      </c>
      <c r="K22" s="145">
        <f t="shared" si="0"/>
        <v>34541.58</v>
      </c>
      <c r="L22" s="517" t="s">
        <v>780</v>
      </c>
      <c r="M22" s="615">
        <f>VLOOKUP(B22,'App.2-B_Fixed Asset Cont - 2011'!$C$16:$L$46,10,$B$16:$B$46)</f>
        <v>34541.58</v>
      </c>
    </row>
    <row r="23" spans="2:13" x14ac:dyDescent="0.2">
      <c r="B23" s="465">
        <v>1835</v>
      </c>
      <c r="C23" s="456" t="s">
        <v>463</v>
      </c>
      <c r="D23" s="580">
        <f>VLOOKUP(B23,'App.2-B_Fixed Asset Cont - 2011'!$C$16:$G$46,4,$B$16:$B$46)</f>
        <v>6088865.1500000004</v>
      </c>
      <c r="E23" s="580">
        <v>127906.7750000002</v>
      </c>
      <c r="F23" s="27">
        <f t="shared" si="1"/>
        <v>5960958.375</v>
      </c>
      <c r="G23" s="580">
        <f>VLOOKUP(B23,'App.2-B_Fixed Asset Cont - 2011'!$C$16:$G$46,5,$B$16:$B$46)</f>
        <v>186167.25</v>
      </c>
      <c r="H23" s="27">
        <f t="shared" si="2"/>
        <v>6054042</v>
      </c>
      <c r="I23" s="614">
        <f>1/VLOOKUP(B23,'App.2-B_Fixed Asset Cont - 2011'!$C$16:$G$46,3,$B$16:$B$46)</f>
        <v>25</v>
      </c>
      <c r="J23" s="157">
        <f t="shared" si="3"/>
        <v>0.04</v>
      </c>
      <c r="K23" s="145">
        <f t="shared" si="0"/>
        <v>242161.68</v>
      </c>
      <c r="L23" s="517" t="s">
        <v>780</v>
      </c>
      <c r="M23" s="615">
        <f>VLOOKUP(B23,'App.2-B_Fixed Asset Cont - 2011'!$C$16:$L$46,10,$B$16:$B$46)</f>
        <v>242161.68</v>
      </c>
    </row>
    <row r="24" spans="2:13" x14ac:dyDescent="0.2">
      <c r="B24" s="465">
        <v>1840</v>
      </c>
      <c r="C24" s="456" t="s">
        <v>464</v>
      </c>
      <c r="D24" s="580">
        <f>VLOOKUP(B24,'App.2-B_Fixed Asset Cont - 2011'!$C$16:$G$46,4,$B$16:$B$46)</f>
        <v>1168907.5199999998</v>
      </c>
      <c r="E24" s="580">
        <v>-129.51000000030035</v>
      </c>
      <c r="F24" s="27">
        <f t="shared" si="1"/>
        <v>1169037.03</v>
      </c>
      <c r="G24" s="580">
        <f>VLOOKUP(B24,'App.2-B_Fixed Asset Cont - 2011'!$C$16:$G$46,5,$B$16:$B$46)</f>
        <v>82633.440000000002</v>
      </c>
      <c r="H24" s="27">
        <f t="shared" si="2"/>
        <v>1210353.75</v>
      </c>
      <c r="I24" s="614">
        <f>1/VLOOKUP(B24,'App.2-B_Fixed Asset Cont - 2011'!$C$16:$G$46,3,$B$16:$B$46)</f>
        <v>25</v>
      </c>
      <c r="J24" s="157">
        <f t="shared" si="3"/>
        <v>0.04</v>
      </c>
      <c r="K24" s="145">
        <f t="shared" si="0"/>
        <v>48414.15</v>
      </c>
      <c r="L24" s="517" t="s">
        <v>780</v>
      </c>
      <c r="M24" s="615">
        <f>VLOOKUP(B24,'App.2-B_Fixed Asset Cont - 2011'!$C$16:$L$46,10,$B$16:$B$46)</f>
        <v>48414.15</v>
      </c>
    </row>
    <row r="25" spans="2:13" x14ac:dyDescent="0.2">
      <c r="B25" s="465">
        <v>1845</v>
      </c>
      <c r="C25" s="456" t="s">
        <v>465</v>
      </c>
      <c r="D25" s="580">
        <f>VLOOKUP(B25,'App.2-B_Fixed Asset Cont - 2011'!$C$16:$G$46,4,$B$16:$B$46)</f>
        <v>7076329.1400000006</v>
      </c>
      <c r="E25" s="580">
        <v>429697.11000000098</v>
      </c>
      <c r="F25" s="27">
        <f t="shared" si="1"/>
        <v>6646632.0299999993</v>
      </c>
      <c r="G25" s="580">
        <f>VLOOKUP(B25,'App.2-B_Fixed Asset Cont - 2011'!$C$16:$G$46,5,$B$16:$B$46)</f>
        <v>170663.44</v>
      </c>
      <c r="H25" s="27">
        <f t="shared" si="2"/>
        <v>6731963.7499999991</v>
      </c>
      <c r="I25" s="614">
        <f>1/VLOOKUP(B25,'App.2-B_Fixed Asset Cont - 2011'!$C$16:$G$46,3,$B$16:$B$46)</f>
        <v>25</v>
      </c>
      <c r="J25" s="157">
        <f t="shared" si="3"/>
        <v>0.04</v>
      </c>
      <c r="K25" s="145">
        <f t="shared" si="0"/>
        <v>269278.55</v>
      </c>
      <c r="L25" s="517" t="s">
        <v>780</v>
      </c>
      <c r="M25" s="615">
        <f>VLOOKUP(B25,'App.2-B_Fixed Asset Cont - 2011'!$C$16:$L$46,10,$B$16:$B$46)</f>
        <v>269278.55</v>
      </c>
    </row>
    <row r="26" spans="2:13" x14ac:dyDescent="0.2">
      <c r="B26" s="465">
        <v>1850</v>
      </c>
      <c r="C26" s="456" t="s">
        <v>541</v>
      </c>
      <c r="D26" s="580">
        <f>VLOOKUP(B26,'App.2-B_Fixed Asset Cont - 2011'!$C$16:$G$46,4,$B$16:$B$46)</f>
        <v>5425507.6399999997</v>
      </c>
      <c r="E26" s="580">
        <v>718485.34499999951</v>
      </c>
      <c r="F26" s="27">
        <f t="shared" si="1"/>
        <v>4707022.2949999999</v>
      </c>
      <c r="G26" s="580">
        <f>VLOOKUP(B26,'App.2-B_Fixed Asset Cont - 2011'!$C$16:$G$46,5,$B$16:$B$46)</f>
        <v>85816.41</v>
      </c>
      <c r="H26" s="27">
        <f t="shared" si="2"/>
        <v>4749930.5</v>
      </c>
      <c r="I26" s="614">
        <f>1/VLOOKUP(B26,'App.2-B_Fixed Asset Cont - 2011'!$C$16:$G$46,3,$B$16:$B$46)</f>
        <v>25</v>
      </c>
      <c r="J26" s="157">
        <f t="shared" si="3"/>
        <v>0.04</v>
      </c>
      <c r="K26" s="145">
        <f t="shared" si="0"/>
        <v>189997.22</v>
      </c>
      <c r="L26" s="517" t="s">
        <v>780</v>
      </c>
      <c r="M26" s="615">
        <f>VLOOKUP(B26,'App.2-B_Fixed Asset Cont - 2011'!$C$16:$L$46,10,$B$16:$B$46)</f>
        <v>189997.22</v>
      </c>
    </row>
    <row r="27" spans="2:13" x14ac:dyDescent="0.2">
      <c r="B27" s="465">
        <v>1855</v>
      </c>
      <c r="C27" s="456" t="s">
        <v>481</v>
      </c>
      <c r="D27" s="580">
        <f>VLOOKUP(B27,'App.2-B_Fixed Asset Cont - 2011'!$C$16:$G$46,4,$B$16:$B$46)</f>
        <v>629776.87999999989</v>
      </c>
      <c r="E27" s="580">
        <v>-230.2800000001298</v>
      </c>
      <c r="F27" s="27">
        <f t="shared" si="1"/>
        <v>630007.16</v>
      </c>
      <c r="G27" s="580">
        <f>VLOOKUP(B27,'App.2-B_Fixed Asset Cont - 2011'!$C$16:$G$46,5,$B$16:$B$46)</f>
        <v>70050.679999999993</v>
      </c>
      <c r="H27" s="27">
        <f t="shared" si="2"/>
        <v>665032.5</v>
      </c>
      <c r="I27" s="614">
        <f>1/VLOOKUP(B27,'App.2-B_Fixed Asset Cont - 2011'!$C$16:$G$46,3,$B$16:$B$46)</f>
        <v>25</v>
      </c>
      <c r="J27" s="157">
        <f t="shared" si="3"/>
        <v>0.04</v>
      </c>
      <c r="K27" s="145">
        <f t="shared" si="0"/>
        <v>26601.3</v>
      </c>
      <c r="L27" s="517" t="s">
        <v>780</v>
      </c>
      <c r="M27" s="615">
        <f>VLOOKUP(B27,'App.2-B_Fixed Asset Cont - 2011'!$C$16:$L$46,10,$B$16:$B$46)</f>
        <v>26601.3</v>
      </c>
    </row>
    <row r="28" spans="2:13" x14ac:dyDescent="0.2">
      <c r="B28" s="465">
        <v>1860</v>
      </c>
      <c r="C28" s="456" t="s">
        <v>542</v>
      </c>
      <c r="D28" s="580">
        <f>VLOOKUP(B28,'App.2-B_Fixed Asset Cont - 2011'!$C$16:$G$46,4,$B$16:$B$46)</f>
        <v>509802.08000000031</v>
      </c>
      <c r="E28" s="580">
        <v>284022.54000000027</v>
      </c>
      <c r="F28" s="27">
        <f t="shared" si="1"/>
        <v>225779.54000000004</v>
      </c>
      <c r="G28" s="580">
        <f>VLOOKUP(B28,'App.2-B_Fixed Asset Cont - 2011'!$C$16:$G$46,5,$B$16:$B$46)</f>
        <v>4458.92</v>
      </c>
      <c r="H28" s="27">
        <f t="shared" si="2"/>
        <v>228009.00000000003</v>
      </c>
      <c r="I28" s="614">
        <f>1/VLOOKUP(B28,'App.2-B_Fixed Asset Cont - 2011'!$C$16:$G$46,3,$B$16:$B$46)</f>
        <v>25</v>
      </c>
      <c r="J28" s="157">
        <f t="shared" si="3"/>
        <v>0.04</v>
      </c>
      <c r="K28" s="145">
        <f t="shared" si="0"/>
        <v>9120.36</v>
      </c>
      <c r="L28" s="517" t="s">
        <v>780</v>
      </c>
      <c r="M28" s="615">
        <f>VLOOKUP(B28,'App.2-B_Fixed Asset Cont - 2011'!$C$16:$L$46,10,$B$16:$B$46)</f>
        <v>9120.36</v>
      </c>
    </row>
    <row r="29" spans="2:13" x14ac:dyDescent="0.2">
      <c r="B29" s="465">
        <v>1905</v>
      </c>
      <c r="C29" s="456" t="s">
        <v>536</v>
      </c>
      <c r="D29" s="580">
        <f>VLOOKUP(B29,'App.2-B_Fixed Asset Cont - 2011'!$C$16:$G$46,4,$B$16:$B$46)</f>
        <v>171765.02</v>
      </c>
      <c r="E29" s="580"/>
      <c r="F29" s="27">
        <f t="shared" si="1"/>
        <v>171765.02</v>
      </c>
      <c r="G29" s="580">
        <f>VLOOKUP(B29,'App.2-B_Fixed Asset Cont - 2011'!$C$16:$G$46,5,$B$16:$B$46)</f>
        <v>0</v>
      </c>
      <c r="H29" s="27">
        <f t="shared" si="2"/>
        <v>171765.02</v>
      </c>
      <c r="I29" s="614"/>
      <c r="J29" s="157" t="str">
        <f t="shared" si="3"/>
        <v/>
      </c>
      <c r="K29" s="145" t="str">
        <f t="shared" si="0"/>
        <v/>
      </c>
      <c r="L29" s="517"/>
      <c r="M29" s="615">
        <f>VLOOKUP(B29,'App.2-B_Fixed Asset Cont - 2011'!$C$16:$L$46,10,$B$16:$B$46)</f>
        <v>0</v>
      </c>
    </row>
    <row r="30" spans="2:13" x14ac:dyDescent="0.2">
      <c r="B30" s="465">
        <v>1906</v>
      </c>
      <c r="C30" s="456" t="s">
        <v>545</v>
      </c>
      <c r="D30" s="580">
        <f>VLOOKUP(B30,'App.2-B_Fixed Asset Cont - 2011'!$C$16:$G$46,4,$B$16:$B$46)</f>
        <v>2944.73</v>
      </c>
      <c r="E30" s="580">
        <v>2944.7299999999996</v>
      </c>
      <c r="F30" s="27">
        <f t="shared" si="1"/>
        <v>0</v>
      </c>
      <c r="G30" s="580">
        <f>VLOOKUP(B30,'App.2-B_Fixed Asset Cont - 2011'!$C$16:$G$46,5,$B$16:$B$46)</f>
        <v>0</v>
      </c>
      <c r="H30" s="27">
        <f t="shared" si="2"/>
        <v>0</v>
      </c>
      <c r="I30" s="614">
        <f>1/VLOOKUP(B30,'App.2-B_Fixed Asset Cont - 2011'!$C$16:$G$46,3,$B$16:$B$46)</f>
        <v>50</v>
      </c>
      <c r="J30" s="157">
        <f t="shared" si="3"/>
        <v>0.02</v>
      </c>
      <c r="K30" s="145">
        <f t="shared" si="0"/>
        <v>0</v>
      </c>
      <c r="L30" s="517"/>
      <c r="M30" s="615">
        <f>VLOOKUP(B30,'App.2-B_Fixed Asset Cont - 2011'!$C$16:$L$46,10,$B$16:$B$46)</f>
        <v>0</v>
      </c>
    </row>
    <row r="31" spans="2:13" x14ac:dyDescent="0.2">
      <c r="B31" s="465">
        <v>1908</v>
      </c>
      <c r="C31" s="456" t="s">
        <v>546</v>
      </c>
      <c r="D31" s="580">
        <f>VLOOKUP(B31,'App.2-B_Fixed Asset Cont - 2011'!$C$16:$G$46,4,$B$16:$B$46)</f>
        <v>658959.77</v>
      </c>
      <c r="E31" s="580">
        <v>516406.67</v>
      </c>
      <c r="F31" s="27">
        <f t="shared" si="1"/>
        <v>142553.10000000003</v>
      </c>
      <c r="G31" s="580">
        <f>VLOOKUP(B31,'App.2-B_Fixed Asset Cont - 2011'!$C$16:$G$46,5,$B$16:$B$46)</f>
        <v>2880</v>
      </c>
      <c r="H31" s="27">
        <f t="shared" si="2"/>
        <v>143993.10000000003</v>
      </c>
      <c r="I31" s="614">
        <f>1/VLOOKUP(B31,'App.2-B_Fixed Asset Cont - 2011'!$C$16:$G$46,3,$B$16:$B$46)</f>
        <v>10</v>
      </c>
      <c r="J31" s="157">
        <f t="shared" si="3"/>
        <v>0.1</v>
      </c>
      <c r="K31" s="145">
        <f t="shared" si="0"/>
        <v>14399.310000000003</v>
      </c>
      <c r="L31" s="517" t="s">
        <v>780</v>
      </c>
      <c r="M31" s="615">
        <f>VLOOKUP(B31,'App.2-B_Fixed Asset Cont - 2011'!$C$16:$L$46,10,$B$16:$B$46)</f>
        <v>14399.31</v>
      </c>
    </row>
    <row r="32" spans="2:13" x14ac:dyDescent="0.2">
      <c r="B32" s="465">
        <v>1910</v>
      </c>
      <c r="C32" s="456" t="s">
        <v>579</v>
      </c>
      <c r="D32" s="580">
        <f>VLOOKUP(B32,'App.2-B_Fixed Asset Cont - 2011'!$C$16:$G$46,4,$B$16:$B$46)</f>
        <v>0</v>
      </c>
      <c r="E32" s="580"/>
      <c r="F32" s="27">
        <f t="shared" si="1"/>
        <v>0</v>
      </c>
      <c r="G32" s="580">
        <f>VLOOKUP(B32,'App.2-B_Fixed Asset Cont - 2011'!$C$16:$G$46,5,$B$16:$B$46)</f>
        <v>0</v>
      </c>
      <c r="H32" s="27">
        <f t="shared" si="2"/>
        <v>0</v>
      </c>
      <c r="I32" s="614"/>
      <c r="J32" s="157" t="str">
        <f t="shared" si="3"/>
        <v/>
      </c>
      <c r="K32" s="145" t="str">
        <f t="shared" si="0"/>
        <v/>
      </c>
      <c r="L32" s="517"/>
      <c r="M32" s="615">
        <f>VLOOKUP(B32,'App.2-B_Fixed Asset Cont - 2011'!$C$16:$L$46,10,$B$16:$B$46)</f>
        <v>0</v>
      </c>
    </row>
    <row r="33" spans="2:13" x14ac:dyDescent="0.2">
      <c r="B33" s="465">
        <v>1915</v>
      </c>
      <c r="C33" s="608" t="s">
        <v>750</v>
      </c>
      <c r="D33" s="580">
        <f>VLOOKUP(B33,'App.2-B_Fixed Asset Cont - 2011'!$C$16:$G$46,4,$B$16:$B$46)</f>
        <v>242909.09</v>
      </c>
      <c r="E33" s="580">
        <v>158409.58999999997</v>
      </c>
      <c r="F33" s="27">
        <f t="shared" si="1"/>
        <v>84499.500000000029</v>
      </c>
      <c r="G33" s="580">
        <f>VLOOKUP(B33,'App.2-B_Fixed Asset Cont - 2011'!$C$16:$G$46,5,$B$16:$B$46)</f>
        <v>0</v>
      </c>
      <c r="H33" s="27">
        <f t="shared" si="2"/>
        <v>84499.500000000029</v>
      </c>
      <c r="I33" s="614">
        <f>1/VLOOKUP(B33,'App.2-B_Fixed Asset Cont - 2011'!$C$16:$G$46,3,$B$16:$B$46)</f>
        <v>10</v>
      </c>
      <c r="J33" s="157">
        <f t="shared" si="3"/>
        <v>0.1</v>
      </c>
      <c r="K33" s="145">
        <f t="shared" si="0"/>
        <v>8449.9500000000025</v>
      </c>
      <c r="L33" s="517" t="s">
        <v>780</v>
      </c>
      <c r="M33" s="615">
        <f>VLOOKUP(B33,'App.2-B_Fixed Asset Cont - 2011'!$C$16:$L$46,10,$B$16:$B$46)</f>
        <v>8449.9500000000007</v>
      </c>
    </row>
    <row r="34" spans="2:13" x14ac:dyDescent="0.2">
      <c r="B34" s="465">
        <v>1920</v>
      </c>
      <c r="C34" s="456" t="s">
        <v>470</v>
      </c>
      <c r="D34" s="580">
        <f>VLOOKUP(B34,'App.2-B_Fixed Asset Cont - 2011'!$C$16:$G$46,4,$B$16:$B$46)</f>
        <v>357976.31</v>
      </c>
      <c r="E34" s="580">
        <v>279467.40999999997</v>
      </c>
      <c r="F34" s="27">
        <f t="shared" si="1"/>
        <v>78508.900000000023</v>
      </c>
      <c r="G34" s="580">
        <f>VLOOKUP(B34,'App.2-B_Fixed Asset Cont - 2011'!$C$16:$G$46,5,$B$16:$B$46)</f>
        <v>2992</v>
      </c>
      <c r="H34" s="27">
        <f t="shared" si="2"/>
        <v>80004.900000000023</v>
      </c>
      <c r="I34" s="614">
        <f>1/VLOOKUP(B34,'App.2-B_Fixed Asset Cont - 2011'!$C$16:$G$46,3,$B$16:$B$46)</f>
        <v>5</v>
      </c>
      <c r="J34" s="157">
        <f t="shared" si="3"/>
        <v>0.2</v>
      </c>
      <c r="K34" s="145">
        <f t="shared" si="0"/>
        <v>16000.980000000005</v>
      </c>
      <c r="L34" s="517" t="s">
        <v>780</v>
      </c>
      <c r="M34" s="615">
        <f>VLOOKUP(B34,'App.2-B_Fixed Asset Cont - 2011'!$C$16:$L$46,10,$B$16:$B$46)</f>
        <v>16000.98</v>
      </c>
    </row>
    <row r="35" spans="2:13" x14ac:dyDescent="0.2">
      <c r="B35" s="465">
        <v>1925</v>
      </c>
      <c r="C35" s="456" t="s">
        <v>563</v>
      </c>
      <c r="D35" s="580">
        <f>VLOOKUP(B35,'App.2-B_Fixed Asset Cont - 2011'!$C$16:$G$46,4,$B$16:$B$46)</f>
        <v>239726.86999999997</v>
      </c>
      <c r="E35" s="580">
        <v>57699.519999999975</v>
      </c>
      <c r="F35" s="27">
        <f t="shared" si="1"/>
        <v>182027.34999999998</v>
      </c>
      <c r="G35" s="580">
        <f>VLOOKUP(B35,'App.2-B_Fixed Asset Cont - 2011'!$C$16:$G$46,5,$B$16:$B$46)</f>
        <v>0</v>
      </c>
      <c r="H35" s="27">
        <f t="shared" si="2"/>
        <v>182027.34999999998</v>
      </c>
      <c r="I35" s="614">
        <f>1/VLOOKUP(B35,'App.2-B_Fixed Asset Cont - 2011'!$C$16:$G$46,3,$B$16:$B$46)</f>
        <v>5</v>
      </c>
      <c r="J35" s="157">
        <f t="shared" si="3"/>
        <v>0.2</v>
      </c>
      <c r="K35" s="145">
        <f t="shared" si="0"/>
        <v>36405.469999999994</v>
      </c>
      <c r="L35" s="517" t="s">
        <v>780</v>
      </c>
      <c r="M35" s="615">
        <f>VLOOKUP(B35,'App.2-B_Fixed Asset Cont - 2011'!$C$16:$L$46,10,$B$16:$B$46)</f>
        <v>36405.47</v>
      </c>
    </row>
    <row r="36" spans="2:13" x14ac:dyDescent="0.2">
      <c r="B36" s="465">
        <v>1930</v>
      </c>
      <c r="C36" s="456" t="s">
        <v>564</v>
      </c>
      <c r="D36" s="580">
        <f>VLOOKUP(B36,'App.2-B_Fixed Asset Cont - 2011'!$C$16:$G$46,4,$B$16:$B$46)</f>
        <v>1872447.45</v>
      </c>
      <c r="E36" s="580">
        <v>1221474.77</v>
      </c>
      <c r="F36" s="27">
        <f t="shared" si="1"/>
        <v>650972.67999999993</v>
      </c>
      <c r="G36" s="580">
        <f>VLOOKUP(B36,'App.2-B_Fixed Asset Cont - 2011'!$C$16:$G$46,5,$B$16:$B$46)</f>
        <v>14618</v>
      </c>
      <c r="H36" s="27">
        <f t="shared" si="2"/>
        <v>658281.67999999993</v>
      </c>
      <c r="I36" s="614">
        <f>1/VLOOKUP(B36,'App.2-B_Fixed Asset Cont - 2011'!$C$16:$G$46,3,$B$16:$B$46)</f>
        <v>8</v>
      </c>
      <c r="J36" s="157">
        <f t="shared" si="3"/>
        <v>0.125</v>
      </c>
      <c r="K36" s="145">
        <f t="shared" si="0"/>
        <v>82285.209999999992</v>
      </c>
      <c r="L36" s="517" t="s">
        <v>780</v>
      </c>
      <c r="M36" s="615">
        <f>VLOOKUP(B36,'App.2-B_Fixed Asset Cont - 2011'!$C$16:$L$46,10,$B$16:$B$46)</f>
        <v>82285.210000000006</v>
      </c>
    </row>
    <row r="37" spans="2:13" x14ac:dyDescent="0.2">
      <c r="B37" s="465">
        <v>1935</v>
      </c>
      <c r="C37" s="456" t="s">
        <v>565</v>
      </c>
      <c r="D37" s="580">
        <f>VLOOKUP(B37,'App.2-B_Fixed Asset Cont - 2011'!$C$16:$G$46,4,$B$16:$B$46)</f>
        <v>0</v>
      </c>
      <c r="E37" s="580"/>
      <c r="F37" s="27">
        <f t="shared" si="1"/>
        <v>0</v>
      </c>
      <c r="G37" s="580">
        <f>VLOOKUP(B37,'App.2-B_Fixed Asset Cont - 2011'!$C$16:$G$46,5,$B$16:$B$46)</f>
        <v>0</v>
      </c>
      <c r="H37" s="27">
        <f t="shared" si="2"/>
        <v>0</v>
      </c>
      <c r="I37" s="614"/>
      <c r="J37" s="157" t="str">
        <f t="shared" si="3"/>
        <v/>
      </c>
      <c r="K37" s="145" t="str">
        <f t="shared" si="0"/>
        <v/>
      </c>
      <c r="L37" s="517"/>
      <c r="M37" s="615">
        <f>VLOOKUP(B37,'App.2-B_Fixed Asset Cont - 2011'!$C$16:$L$46,10,$B$16:$B$46)</f>
        <v>0</v>
      </c>
    </row>
    <row r="38" spans="2:13" x14ac:dyDescent="0.2">
      <c r="B38" s="465">
        <v>1940</v>
      </c>
      <c r="C38" s="456" t="s">
        <v>566</v>
      </c>
      <c r="D38" s="580">
        <f>VLOOKUP(B38,'App.2-B_Fixed Asset Cont - 2011'!$C$16:$G$46,4,$B$16:$B$46)</f>
        <v>364753.38000000006</v>
      </c>
      <c r="E38" s="580">
        <v>238184.96000000008</v>
      </c>
      <c r="F38" s="27">
        <f t="shared" si="1"/>
        <v>126568.41999999998</v>
      </c>
      <c r="G38" s="580">
        <f>VLOOKUP(B38,'App.2-B_Fixed Asset Cont - 2011'!$C$16:$G$46,5,$B$16:$B$46)</f>
        <v>563.55999999999995</v>
      </c>
      <c r="H38" s="27">
        <f t="shared" si="2"/>
        <v>126850.19999999998</v>
      </c>
      <c r="I38" s="614">
        <f>1/VLOOKUP(B38,'App.2-B_Fixed Asset Cont - 2011'!$C$16:$G$46,3,$B$16:$B$46)</f>
        <v>10</v>
      </c>
      <c r="J38" s="157">
        <f t="shared" si="3"/>
        <v>0.1</v>
      </c>
      <c r="K38" s="145">
        <f t="shared" si="0"/>
        <v>12685.019999999999</v>
      </c>
      <c r="L38" s="517" t="s">
        <v>780</v>
      </c>
      <c r="M38" s="615">
        <f>VLOOKUP(B38,'App.2-B_Fixed Asset Cont - 2011'!$C$16:$L$46,10,$B$16:$B$46)</f>
        <v>12685.02</v>
      </c>
    </row>
    <row r="39" spans="2:13" x14ac:dyDescent="0.2">
      <c r="B39" s="465">
        <v>1945</v>
      </c>
      <c r="C39" s="456" t="s">
        <v>567</v>
      </c>
      <c r="D39" s="580">
        <f>VLOOKUP(B39,'App.2-B_Fixed Asset Cont - 2011'!$C$16:$G$46,4,$B$16:$B$46)</f>
        <v>0</v>
      </c>
      <c r="E39" s="580"/>
      <c r="F39" s="27">
        <f t="shared" si="1"/>
        <v>0</v>
      </c>
      <c r="G39" s="580">
        <f>VLOOKUP(B39,'App.2-B_Fixed Asset Cont - 2011'!$C$16:$G$46,5,$B$16:$B$46)</f>
        <v>0</v>
      </c>
      <c r="H39" s="27">
        <f t="shared" si="2"/>
        <v>0</v>
      </c>
      <c r="I39" s="614"/>
      <c r="J39" s="157" t="str">
        <f t="shared" si="3"/>
        <v/>
      </c>
      <c r="K39" s="145" t="str">
        <f t="shared" si="0"/>
        <v/>
      </c>
      <c r="L39" s="517"/>
      <c r="M39" s="615">
        <f>VLOOKUP(B39,'App.2-B_Fixed Asset Cont - 2011'!$C$16:$L$46,10,$B$16:$B$46)</f>
        <v>0</v>
      </c>
    </row>
    <row r="40" spans="2:13" x14ac:dyDescent="0.2">
      <c r="B40" s="465">
        <v>1950</v>
      </c>
      <c r="C40" s="456" t="s">
        <v>473</v>
      </c>
      <c r="D40" s="580">
        <f>VLOOKUP(B40,'App.2-B_Fixed Asset Cont - 2011'!$C$16:$G$46,4,$B$16:$B$46)</f>
        <v>0</v>
      </c>
      <c r="E40" s="580"/>
      <c r="F40" s="27">
        <f t="shared" si="1"/>
        <v>0</v>
      </c>
      <c r="G40" s="580">
        <f>VLOOKUP(B40,'App.2-B_Fixed Asset Cont - 2011'!$C$16:$G$46,5,$B$16:$B$46)</f>
        <v>0</v>
      </c>
      <c r="H40" s="27">
        <f t="shared" si="2"/>
        <v>0</v>
      </c>
      <c r="I40" s="614"/>
      <c r="J40" s="157" t="str">
        <f t="shared" si="3"/>
        <v/>
      </c>
      <c r="K40" s="145" t="str">
        <f t="shared" si="0"/>
        <v/>
      </c>
      <c r="L40" s="517"/>
      <c r="M40" s="615">
        <f>VLOOKUP(B40,'App.2-B_Fixed Asset Cont - 2011'!$C$16:$L$46,10,$B$16:$B$46)</f>
        <v>0</v>
      </c>
    </row>
    <row r="41" spans="2:13" x14ac:dyDescent="0.2">
      <c r="B41" s="465">
        <v>1955</v>
      </c>
      <c r="C41" s="456" t="s">
        <v>568</v>
      </c>
      <c r="D41" s="580">
        <f>VLOOKUP(B41,'App.2-B_Fixed Asset Cont - 2011'!$C$16:$G$46,4,$B$16:$B$46)</f>
        <v>35830.6</v>
      </c>
      <c r="E41" s="580">
        <v>16106.099999999999</v>
      </c>
      <c r="F41" s="27">
        <f>D41-E41</f>
        <v>19724.5</v>
      </c>
      <c r="G41" s="580">
        <f>VLOOKUP(B41,'App.2-B_Fixed Asset Cont - 2011'!$C$16:$G$46,5,$B$16:$B$46)</f>
        <v>0</v>
      </c>
      <c r="H41" s="27">
        <f t="shared" si="2"/>
        <v>19724.5</v>
      </c>
      <c r="I41" s="614">
        <f>1/VLOOKUP(B41,'App.2-B_Fixed Asset Cont - 2011'!$C$16:$G$46,3,$B$16:$B$46)</f>
        <v>10</v>
      </c>
      <c r="J41" s="157">
        <f t="shared" si="3"/>
        <v>0.1</v>
      </c>
      <c r="K41" s="145">
        <f t="shared" si="0"/>
        <v>1972.45</v>
      </c>
      <c r="L41" s="517" t="s">
        <v>780</v>
      </c>
      <c r="M41" s="615">
        <f>VLOOKUP(B41,'App.2-B_Fixed Asset Cont - 2011'!$C$16:$L$46,10,$B$16:$B$46)</f>
        <v>1972.45</v>
      </c>
    </row>
    <row r="42" spans="2:13" x14ac:dyDescent="0.2">
      <c r="B42" s="465">
        <v>1960</v>
      </c>
      <c r="C42" s="456" t="s">
        <v>475</v>
      </c>
      <c r="D42" s="580">
        <f>VLOOKUP(B42,'App.2-B_Fixed Asset Cont - 2011'!$C$16:$G$46,4,$B$16:$B$46)</f>
        <v>0</v>
      </c>
      <c r="E42" s="580"/>
      <c r="F42" s="27">
        <f t="shared" si="1"/>
        <v>0</v>
      </c>
      <c r="G42" s="580">
        <f>VLOOKUP(B42,'App.2-B_Fixed Asset Cont - 2011'!$C$16:$G$46,5,$B$16:$B$46)</f>
        <v>0</v>
      </c>
      <c r="H42" s="27">
        <f t="shared" si="2"/>
        <v>0</v>
      </c>
      <c r="I42" s="614"/>
      <c r="J42" s="157" t="str">
        <f t="shared" si="3"/>
        <v/>
      </c>
      <c r="K42" s="145" t="str">
        <f t="shared" si="0"/>
        <v/>
      </c>
      <c r="L42" s="517"/>
      <c r="M42" s="615">
        <f>VLOOKUP(B42,'App.2-B_Fixed Asset Cont - 2011'!$C$16:$L$46,10,$B$16:$B$46)</f>
        <v>0</v>
      </c>
    </row>
    <row r="43" spans="2:13" x14ac:dyDescent="0.2">
      <c r="B43" s="465">
        <v>1975</v>
      </c>
      <c r="C43" s="456" t="s">
        <v>569</v>
      </c>
      <c r="D43" s="580">
        <f>VLOOKUP(B43,'App.2-B_Fixed Asset Cont - 2011'!$C$16:$G$46,4,$B$16:$B$46)</f>
        <v>0</v>
      </c>
      <c r="E43" s="580"/>
      <c r="F43" s="27">
        <f t="shared" si="1"/>
        <v>0</v>
      </c>
      <c r="G43" s="580">
        <f>VLOOKUP(B43,'App.2-B_Fixed Asset Cont - 2011'!$C$16:$G$46,5,$B$16:$B$46)</f>
        <v>0</v>
      </c>
      <c r="H43" s="27">
        <f t="shared" si="2"/>
        <v>0</v>
      </c>
      <c r="I43" s="614"/>
      <c r="J43" s="157" t="str">
        <f t="shared" si="3"/>
        <v/>
      </c>
      <c r="K43" s="145" t="str">
        <f t="shared" si="0"/>
        <v/>
      </c>
      <c r="L43" s="517"/>
      <c r="M43" s="615">
        <f>VLOOKUP(B43,'App.2-B_Fixed Asset Cont - 2011'!$C$16:$L$46,10,$B$16:$B$46)</f>
        <v>0</v>
      </c>
    </row>
    <row r="44" spans="2:13" x14ac:dyDescent="0.2">
      <c r="B44" s="465">
        <v>1980</v>
      </c>
      <c r="C44" s="456" t="s">
        <v>570</v>
      </c>
      <c r="D44" s="580">
        <f>VLOOKUP(B44,'App.2-B_Fixed Asset Cont - 2011'!$C$16:$G$46,4,$B$16:$B$46)</f>
        <v>0</v>
      </c>
      <c r="E44" s="580"/>
      <c r="F44" s="27">
        <f t="shared" si="1"/>
        <v>0</v>
      </c>
      <c r="G44" s="580">
        <f>VLOOKUP(B44,'App.2-B_Fixed Asset Cont - 2011'!$C$16:$G$46,5,$B$16:$B$46)</f>
        <v>0</v>
      </c>
      <c r="H44" s="27">
        <f t="shared" si="2"/>
        <v>0</v>
      </c>
      <c r="I44" s="614"/>
      <c r="J44" s="157" t="str">
        <f t="shared" si="3"/>
        <v/>
      </c>
      <c r="K44" s="145" t="str">
        <f t="shared" si="0"/>
        <v/>
      </c>
      <c r="L44" s="517"/>
      <c r="M44" s="615">
        <f>VLOOKUP(B44,'App.2-B_Fixed Asset Cont - 2011'!$C$16:$L$46,10,$B$16:$B$46)</f>
        <v>0</v>
      </c>
    </row>
    <row r="45" spans="2:13" x14ac:dyDescent="0.2">
      <c r="B45" s="465">
        <v>1985</v>
      </c>
      <c r="C45" s="456" t="s">
        <v>571</v>
      </c>
      <c r="D45" s="580">
        <f>VLOOKUP(B45,'App.2-B_Fixed Asset Cont - 2011'!$C$16:$G$46,4,$B$16:$B$46)</f>
        <v>0</v>
      </c>
      <c r="E45" s="580">
        <v>0</v>
      </c>
      <c r="F45" s="27">
        <f t="shared" si="1"/>
        <v>0</v>
      </c>
      <c r="G45" s="580">
        <f>VLOOKUP(B45,'App.2-B_Fixed Asset Cont - 2011'!$C$16:$G$46,5,$B$16:$B$46)</f>
        <v>0</v>
      </c>
      <c r="H45" s="27">
        <f t="shared" si="2"/>
        <v>0</v>
      </c>
      <c r="I45" s="614">
        <f>1/VLOOKUP(B45,'App.2-B_Fixed Asset Cont - 2011'!$C$16:$G$46,3,$B$16:$B$46)</f>
        <v>10</v>
      </c>
      <c r="J45" s="157">
        <f t="shared" si="3"/>
        <v>0.1</v>
      </c>
      <c r="K45" s="145">
        <f t="shared" si="0"/>
        <v>0</v>
      </c>
      <c r="L45" s="517"/>
      <c r="M45" s="615">
        <f>VLOOKUP(B45,'App.2-B_Fixed Asset Cont - 2011'!$C$16:$L$46,10,$B$16:$B$46)</f>
        <v>0</v>
      </c>
    </row>
    <row r="46" spans="2:13" x14ac:dyDescent="0.2">
      <c r="B46" s="465">
        <v>1995</v>
      </c>
      <c r="C46" s="456" t="s">
        <v>572</v>
      </c>
      <c r="D46" s="580">
        <f>VLOOKUP(B46,'App.2-B_Fixed Asset Cont - 2011'!$C$16:$G$46,4,$B$16:$B$46)</f>
        <v>-3679777.0500000003</v>
      </c>
      <c r="E46" s="580">
        <v>38803.664999999455</v>
      </c>
      <c r="F46" s="615">
        <f t="shared" si="1"/>
        <v>-3718580.7149999999</v>
      </c>
      <c r="G46" s="580">
        <f>VLOOKUP(B46,'App.2-B_Fixed Asset Cont - 2011'!$C$16:$G$46,5,$B$16:$B$46)</f>
        <v>-191644.07</v>
      </c>
      <c r="H46" s="615">
        <f t="shared" si="2"/>
        <v>-3814402.75</v>
      </c>
      <c r="I46" s="614">
        <f>1/VLOOKUP(B46,'App.2-B_Fixed Asset Cont - 2011'!$C$16:$G$46,3,$B$16:$B$46)</f>
        <v>25</v>
      </c>
      <c r="J46" s="157">
        <f t="shared" si="3"/>
        <v>0.04</v>
      </c>
      <c r="K46" s="615">
        <f t="shared" si="0"/>
        <v>-152576.10999999999</v>
      </c>
      <c r="L46" s="517" t="s">
        <v>780</v>
      </c>
      <c r="M46" s="615">
        <f>VLOOKUP(B46,'App.2-B_Fixed Asset Cont - 2011'!$C$16:$L$46,10,$B$16:$B$46)</f>
        <v>-152576.10999999999</v>
      </c>
    </row>
    <row r="47" spans="2:13" x14ac:dyDescent="0.2">
      <c r="B47" s="465" t="s">
        <v>636</v>
      </c>
      <c r="C47" s="456"/>
      <c r="D47" s="580"/>
      <c r="E47" s="175"/>
      <c r="F47" s="157">
        <f t="shared" si="1"/>
        <v>0</v>
      </c>
      <c r="G47" s="175"/>
      <c r="H47" s="27">
        <f t="shared" si="2"/>
        <v>0</v>
      </c>
      <c r="I47" s="176"/>
      <c r="J47" s="157" t="str">
        <f t="shared" si="3"/>
        <v/>
      </c>
      <c r="K47" s="616" t="str">
        <f t="shared" si="0"/>
        <v/>
      </c>
      <c r="L47" s="517"/>
    </row>
    <row r="48" spans="2:13" ht="13.5" thickBot="1" x14ac:dyDescent="0.25">
      <c r="B48" s="466"/>
      <c r="C48" s="467"/>
      <c r="D48" s="171"/>
      <c r="E48" s="171"/>
      <c r="F48" s="520">
        <f t="shared" si="1"/>
        <v>0</v>
      </c>
      <c r="G48" s="171"/>
      <c r="H48" s="611">
        <f t="shared" si="2"/>
        <v>0</v>
      </c>
      <c r="I48" s="519"/>
      <c r="J48" s="520" t="str">
        <f t="shared" si="3"/>
        <v/>
      </c>
      <c r="K48" s="521" t="str">
        <f t="shared" si="0"/>
        <v/>
      </c>
      <c r="L48" s="518"/>
    </row>
    <row r="49" spans="2:13" ht="14.25" thickTop="1" thickBot="1" x14ac:dyDescent="0.25">
      <c r="B49" s="468"/>
      <c r="C49" s="469" t="s">
        <v>573</v>
      </c>
      <c r="D49" s="167">
        <f>SUM(D16:D48)</f>
        <v>22148659.239999998</v>
      </c>
      <c r="E49" s="167">
        <f>SUM(E16:E48)</f>
        <v>4229549.05</v>
      </c>
      <c r="F49" s="303">
        <f>D49-E49</f>
        <v>17919110.189999998</v>
      </c>
      <c r="G49" s="27">
        <f>SUM(G16:G48)</f>
        <v>480331.12000000005</v>
      </c>
      <c r="H49" s="303">
        <f>F49+0.5*G49</f>
        <v>18159275.749999996</v>
      </c>
      <c r="I49" s="617"/>
      <c r="J49" s="303"/>
      <c r="K49" s="308">
        <f>SUM(K16:K48)</f>
        <v>839799.08999999985</v>
      </c>
      <c r="L49" s="464"/>
      <c r="M49" s="308">
        <f>SUM(M16:M48)</f>
        <v>839799.08999999985</v>
      </c>
    </row>
    <row r="50" spans="2:13" ht="7.5" customHeight="1" x14ac:dyDescent="0.2"/>
    <row r="51" spans="2:13" x14ac:dyDescent="0.2">
      <c r="B51" s="52" t="s">
        <v>639</v>
      </c>
      <c r="C51" s="389"/>
      <c r="D51" s="389"/>
      <c r="E51" s="389"/>
      <c r="F51" s="389"/>
      <c r="G51" s="389"/>
      <c r="H51" s="612"/>
      <c r="I51" s="389"/>
      <c r="J51" s="389"/>
      <c r="K51" s="389"/>
    </row>
    <row r="52" spans="2:13" ht="7.5" customHeight="1" x14ac:dyDescent="0.2">
      <c r="B52" s="389"/>
      <c r="C52" s="389"/>
      <c r="D52" s="389"/>
      <c r="E52" s="389"/>
      <c r="F52" s="389"/>
      <c r="G52" s="389"/>
      <c r="H52" s="612"/>
      <c r="I52" s="389"/>
      <c r="J52" s="389"/>
      <c r="K52" s="389"/>
    </row>
    <row r="53" spans="2:13" x14ac:dyDescent="0.2">
      <c r="B53" s="760" t="s">
        <v>192</v>
      </c>
      <c r="C53" s="761"/>
      <c r="D53" s="761"/>
      <c r="E53" s="761"/>
      <c r="F53" s="761"/>
      <c r="G53" s="761"/>
      <c r="H53" s="761"/>
      <c r="I53" s="761"/>
      <c r="J53" s="761"/>
    </row>
    <row r="54" spans="2:13" ht="26.25" customHeight="1" x14ac:dyDescent="0.2">
      <c r="B54" s="760" t="s">
        <v>193</v>
      </c>
      <c r="C54" s="761"/>
      <c r="D54" s="761"/>
      <c r="E54" s="761"/>
      <c r="F54" s="761"/>
      <c r="G54" s="761"/>
      <c r="H54" s="761"/>
      <c r="I54" s="761"/>
      <c r="J54" s="761"/>
    </row>
    <row r="55" spans="2:13" x14ac:dyDescent="0.2">
      <c r="B55" s="762" t="s">
        <v>194</v>
      </c>
      <c r="C55" s="763"/>
      <c r="D55" s="763"/>
      <c r="E55" s="763"/>
      <c r="F55" s="763"/>
      <c r="G55" s="763"/>
      <c r="H55" s="763"/>
      <c r="I55" s="763"/>
      <c r="J55" s="763"/>
    </row>
    <row r="56" spans="2:13" ht="19.5" customHeight="1" x14ac:dyDescent="0.2">
      <c r="B56" s="763"/>
      <c r="C56" s="763"/>
      <c r="D56" s="763"/>
      <c r="E56" s="763"/>
      <c r="F56" s="763"/>
      <c r="G56" s="763"/>
      <c r="H56" s="763"/>
      <c r="I56" s="763"/>
      <c r="J56" s="763"/>
    </row>
    <row r="57" spans="2:13" ht="3" customHeight="1" x14ac:dyDescent="0.2">
      <c r="B57" s="389"/>
      <c r="C57" s="389"/>
      <c r="D57" s="389"/>
      <c r="E57" s="389"/>
      <c r="F57" s="389"/>
      <c r="G57" s="389"/>
      <c r="H57" s="612"/>
      <c r="I57" s="389"/>
      <c r="J57" s="389"/>
      <c r="K57" s="389"/>
    </row>
    <row r="58" spans="2:13" x14ac:dyDescent="0.2">
      <c r="B58" s="52" t="s">
        <v>482</v>
      </c>
      <c r="C58" s="764" t="s">
        <v>419</v>
      </c>
      <c r="D58" s="764"/>
      <c r="E58" s="764"/>
      <c r="F58" s="764"/>
      <c r="G58" s="764"/>
      <c r="H58" s="764"/>
      <c r="I58" s="764"/>
      <c r="J58" s="764"/>
      <c r="K58" s="764"/>
    </row>
    <row r="59" spans="2:13" x14ac:dyDescent="0.2">
      <c r="B59" s="389"/>
      <c r="C59" s="764"/>
      <c r="D59" s="764"/>
      <c r="E59" s="764"/>
      <c r="F59" s="764"/>
      <c r="G59" s="764"/>
      <c r="H59" s="764"/>
      <c r="I59" s="764"/>
      <c r="J59" s="764"/>
      <c r="K59" s="764"/>
    </row>
    <row r="60" spans="2:13" x14ac:dyDescent="0.2">
      <c r="B60" s="389"/>
      <c r="C60" s="764"/>
      <c r="D60" s="764"/>
      <c r="E60" s="764"/>
      <c r="F60" s="764"/>
      <c r="G60" s="764"/>
      <c r="H60" s="764"/>
      <c r="I60" s="764"/>
      <c r="J60" s="764"/>
      <c r="K60" s="764"/>
    </row>
  </sheetData>
  <mergeCells count="9">
    <mergeCell ref="B9:K9"/>
    <mergeCell ref="B10:K10"/>
    <mergeCell ref="B14:B15"/>
    <mergeCell ref="C14:C15"/>
    <mergeCell ref="L14:L15"/>
    <mergeCell ref="B53:J53"/>
    <mergeCell ref="B54:J54"/>
    <mergeCell ref="B55:J56"/>
    <mergeCell ref="C58:K60"/>
  </mergeCells>
  <dataValidations count="2">
    <dataValidation allowBlank="1" showInputMessage="1" showErrorMessage="1" promptTitle="Date Format" prompt="E.g:  &quot;August 1, 2011&quot;" sqref="K7"/>
    <dataValidation type="list" allowBlank="1" showInputMessage="1" showErrorMessage="1" sqref="L16:L48">
      <formula1>"Yes, No"</formula1>
    </dataValidation>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1:M61"/>
  <sheetViews>
    <sheetView showGridLines="0" topLeftCell="A27" zoomScaleNormal="100" workbookViewId="0">
      <selection activeCell="H52" sqref="H52"/>
    </sheetView>
  </sheetViews>
  <sheetFormatPr defaultRowHeight="12.75" x14ac:dyDescent="0.2"/>
  <cols>
    <col min="1" max="1" width="2.7109375" customWidth="1"/>
    <col min="3" max="3" width="40.28515625" bestFit="1" customWidth="1"/>
    <col min="4" max="4" width="15" bestFit="1" customWidth="1"/>
    <col min="5" max="5" width="13.140625" customWidth="1"/>
    <col min="6" max="6" width="15" bestFit="1" customWidth="1"/>
    <col min="7" max="7" width="12.28515625" bestFit="1" customWidth="1"/>
    <col min="8" max="8" width="17.85546875" style="581" customWidth="1"/>
    <col min="9" max="9" width="7.7109375" customWidth="1"/>
    <col min="10" max="10" width="12.28515625" customWidth="1"/>
    <col min="11" max="11" width="12.7109375" customWidth="1"/>
    <col min="12" max="12" width="15.85546875" customWidth="1"/>
    <col min="13" max="13" width="12" customWidth="1"/>
    <col min="14" max="14" width="11.140625" customWidth="1"/>
  </cols>
  <sheetData>
    <row r="1" spans="2:13" x14ac:dyDescent="0.2">
      <c r="I1" s="52" t="s">
        <v>581</v>
      </c>
      <c r="K1" s="151" t="s">
        <v>170</v>
      </c>
    </row>
    <row r="2" spans="2:13" x14ac:dyDescent="0.2">
      <c r="I2" s="52" t="s">
        <v>582</v>
      </c>
      <c r="K2" s="151" t="s">
        <v>587</v>
      </c>
    </row>
    <row r="3" spans="2:13" x14ac:dyDescent="0.2">
      <c r="I3" s="52" t="s">
        <v>583</v>
      </c>
      <c r="K3" s="151" t="s">
        <v>588</v>
      </c>
    </row>
    <row r="4" spans="2:13" x14ac:dyDescent="0.2">
      <c r="I4" s="52" t="s">
        <v>584</v>
      </c>
      <c r="K4" s="151" t="s">
        <v>589</v>
      </c>
    </row>
    <row r="5" spans="2:13" x14ac:dyDescent="0.2">
      <c r="I5" s="52" t="s">
        <v>585</v>
      </c>
      <c r="K5" s="151" t="s">
        <v>590</v>
      </c>
    </row>
    <row r="6" spans="2:13" x14ac:dyDescent="0.2">
      <c r="I6" s="52"/>
    </row>
    <row r="7" spans="2:13" x14ac:dyDescent="0.2">
      <c r="I7" s="52" t="s">
        <v>586</v>
      </c>
      <c r="K7" s="472"/>
    </row>
    <row r="9" spans="2:13" ht="18" x14ac:dyDescent="0.25">
      <c r="B9" s="659" t="s">
        <v>41</v>
      </c>
      <c r="C9" s="659"/>
      <c r="D9" s="659"/>
      <c r="E9" s="659"/>
      <c r="F9" s="659"/>
      <c r="G9" s="659"/>
      <c r="H9" s="659"/>
      <c r="I9" s="659"/>
      <c r="J9" s="659"/>
      <c r="K9" s="659"/>
    </row>
    <row r="10" spans="2:13" ht="18" x14ac:dyDescent="0.25">
      <c r="B10" s="659" t="s">
        <v>624</v>
      </c>
      <c r="C10" s="659"/>
      <c r="D10" s="659"/>
      <c r="E10" s="659"/>
      <c r="F10" s="659"/>
      <c r="G10" s="659"/>
      <c r="H10" s="659"/>
      <c r="I10" s="659"/>
      <c r="J10" s="659"/>
      <c r="K10" s="659"/>
    </row>
    <row r="11" spans="2:13" ht="13.5" customHeight="1" x14ac:dyDescent="0.25">
      <c r="B11" s="284"/>
      <c r="C11" s="284"/>
      <c r="D11" s="284"/>
      <c r="E11" s="284"/>
      <c r="F11" s="284"/>
      <c r="G11" s="284"/>
      <c r="H11" s="609"/>
      <c r="I11" s="284"/>
      <c r="J11" s="284"/>
      <c r="K11" s="284"/>
    </row>
    <row r="12" spans="2:13" ht="13.5" customHeight="1" x14ac:dyDescent="0.25">
      <c r="B12" s="284"/>
      <c r="C12" s="284"/>
      <c r="D12" s="284"/>
      <c r="E12" s="419" t="s">
        <v>27</v>
      </c>
      <c r="F12" s="425">
        <v>2012</v>
      </c>
      <c r="G12" s="284"/>
      <c r="H12" s="609"/>
      <c r="I12" s="284"/>
      <c r="J12" s="284"/>
      <c r="K12" s="284"/>
    </row>
    <row r="13" spans="2:13" ht="13.5" thickBot="1" x14ac:dyDescent="0.25"/>
    <row r="14" spans="2:13" ht="39" customHeight="1" x14ac:dyDescent="0.2">
      <c r="B14" s="765" t="s">
        <v>625</v>
      </c>
      <c r="C14" s="767" t="s">
        <v>528</v>
      </c>
      <c r="D14" s="513" t="s">
        <v>529</v>
      </c>
      <c r="E14" s="510" t="s">
        <v>189</v>
      </c>
      <c r="F14" s="510" t="s">
        <v>628</v>
      </c>
      <c r="G14" s="510" t="s">
        <v>530</v>
      </c>
      <c r="H14" s="610" t="s">
        <v>630</v>
      </c>
      <c r="I14" s="510" t="s">
        <v>631</v>
      </c>
      <c r="J14" s="510" t="s">
        <v>577</v>
      </c>
      <c r="K14" s="514" t="s">
        <v>634</v>
      </c>
      <c r="L14" s="758" t="s">
        <v>191</v>
      </c>
    </row>
    <row r="15" spans="2:13" ht="25.5" x14ac:dyDescent="0.2">
      <c r="B15" s="766"/>
      <c r="C15" s="768"/>
      <c r="D15" s="515" t="s">
        <v>626</v>
      </c>
      <c r="E15" s="515" t="s">
        <v>627</v>
      </c>
      <c r="F15" s="515" t="s">
        <v>638</v>
      </c>
      <c r="G15" s="515" t="s">
        <v>629</v>
      </c>
      <c r="H15" s="618" t="s">
        <v>190</v>
      </c>
      <c r="I15" s="515" t="s">
        <v>632</v>
      </c>
      <c r="J15" s="515" t="s">
        <v>633</v>
      </c>
      <c r="K15" s="516" t="s">
        <v>635</v>
      </c>
      <c r="L15" s="759"/>
    </row>
    <row r="16" spans="2:13" x14ac:dyDescent="0.2">
      <c r="B16" s="148">
        <v>1805</v>
      </c>
      <c r="C16" s="2" t="s">
        <v>536</v>
      </c>
      <c r="D16" s="580">
        <f>VLOOKUP(B16,'App.2-B_Fixed Asset Cont - 2012'!$C$16:$G$47,4,$B$16:$B$47)</f>
        <v>2112</v>
      </c>
      <c r="E16" s="175"/>
      <c r="F16" s="27">
        <f>D16-E16</f>
        <v>2112</v>
      </c>
      <c r="G16" s="580">
        <f>VLOOKUP(B16,'App.2-B_Fixed Asset Cont - 2012'!$C$16:$G$45,5,$B$16:$B$47)</f>
        <v>0</v>
      </c>
      <c r="H16" s="27">
        <f>F16+0.5*G16</f>
        <v>2112</v>
      </c>
      <c r="I16" s="613"/>
      <c r="J16" s="157" t="str">
        <f>IF(I16=0,"",1/I16)</f>
        <v/>
      </c>
      <c r="K16" s="158" t="str">
        <f t="shared" ref="K16:K49" si="0">IF(I16=0,"",H16/I16)</f>
        <v/>
      </c>
      <c r="L16" s="517"/>
      <c r="M16" s="615">
        <f>VLOOKUP(B16,'App.2-B_Fixed Asset Cont - 2012'!$C$16:$L$45,10,$B$16:$B$47)</f>
        <v>0</v>
      </c>
    </row>
    <row r="17" spans="2:13" x14ac:dyDescent="0.2">
      <c r="B17" s="148">
        <v>1808</v>
      </c>
      <c r="C17" s="2" t="s">
        <v>537</v>
      </c>
      <c r="D17" s="580">
        <f>VLOOKUP(B17,'App.2-B_Fixed Asset Cont - 2012'!$C$16:$G$47,4,$B$16:$B$47)</f>
        <v>0</v>
      </c>
      <c r="E17" s="175"/>
      <c r="F17" s="27">
        <f t="shared" ref="F17:F49" si="1">D17-E17</f>
        <v>0</v>
      </c>
      <c r="G17" s="580">
        <f>VLOOKUP(B17,'App.2-B_Fixed Asset Cont - 2012'!$C$16:$G$45,5,$B$16:$B$47)</f>
        <v>0</v>
      </c>
      <c r="H17" s="27">
        <f t="shared" ref="H17:H49" si="2">F17+0.5*G17</f>
        <v>0</v>
      </c>
      <c r="I17" s="613"/>
      <c r="J17" s="157" t="str">
        <f t="shared" ref="J17:J49" si="3">IF(I17=0,"",1/I17)</f>
        <v/>
      </c>
      <c r="K17" s="158" t="str">
        <f t="shared" si="0"/>
        <v/>
      </c>
      <c r="L17" s="517"/>
      <c r="M17" s="615">
        <f>VLOOKUP(B17,'App.2-B_Fixed Asset Cont - 2012'!$C$16:$L$45,10,$B$16:$B$47)</f>
        <v>0</v>
      </c>
    </row>
    <row r="18" spans="2:13" x14ac:dyDescent="0.2">
      <c r="B18" s="148">
        <v>1810</v>
      </c>
      <c r="C18" s="2" t="s">
        <v>579</v>
      </c>
      <c r="D18" s="580">
        <f>VLOOKUP(B18,'App.2-B_Fixed Asset Cont - 2012'!$C$16:$G$47,4,$B$16:$B$47)</f>
        <v>0</v>
      </c>
      <c r="E18" s="175"/>
      <c r="F18" s="27">
        <f t="shared" si="1"/>
        <v>0</v>
      </c>
      <c r="G18" s="580">
        <f>VLOOKUP(B18,'App.2-B_Fixed Asset Cont - 2012'!$C$16:$G$45,5,$B$16:$B$47)</f>
        <v>0</v>
      </c>
      <c r="H18" s="27">
        <f t="shared" si="2"/>
        <v>0</v>
      </c>
      <c r="I18" s="613"/>
      <c r="J18" s="157" t="str">
        <f t="shared" si="3"/>
        <v/>
      </c>
      <c r="K18" s="158" t="str">
        <f t="shared" si="0"/>
        <v/>
      </c>
      <c r="L18" s="517"/>
      <c r="M18" s="615">
        <f>VLOOKUP(B18,'App.2-B_Fixed Asset Cont - 2012'!$C$16:$L$45,10,$B$16:$B$47)</f>
        <v>0</v>
      </c>
    </row>
    <row r="19" spans="2:13" x14ac:dyDescent="0.2">
      <c r="B19" s="148">
        <v>1815</v>
      </c>
      <c r="C19" s="2" t="s">
        <v>538</v>
      </c>
      <c r="D19" s="580">
        <f>VLOOKUP(B19,'App.2-B_Fixed Asset Cont - 2012'!$C$16:$G$47,4,$B$16:$B$47)</f>
        <v>0</v>
      </c>
      <c r="E19" s="175"/>
      <c r="F19" s="27">
        <f t="shared" si="1"/>
        <v>0</v>
      </c>
      <c r="G19" s="580">
        <f>VLOOKUP(B19,'App.2-B_Fixed Asset Cont - 2012'!$C$16:$G$45,5,$B$16:$B$47)</f>
        <v>0</v>
      </c>
      <c r="H19" s="27">
        <f t="shared" si="2"/>
        <v>0</v>
      </c>
      <c r="I19" s="613"/>
      <c r="J19" s="157" t="str">
        <f t="shared" si="3"/>
        <v/>
      </c>
      <c r="K19" s="158" t="str">
        <f t="shared" si="0"/>
        <v/>
      </c>
      <c r="L19" s="517"/>
      <c r="M19" s="615">
        <f>VLOOKUP(B19,'App.2-B_Fixed Asset Cont - 2012'!$C$16:$L$45,10,$B$16:$B$47)</f>
        <v>0</v>
      </c>
    </row>
    <row r="20" spans="2:13" x14ac:dyDescent="0.2">
      <c r="B20" s="465">
        <v>1820</v>
      </c>
      <c r="C20" s="456" t="s">
        <v>462</v>
      </c>
      <c r="D20" s="580">
        <f>VLOOKUP(B20,'App.2-B_Fixed Asset Cont - 2012'!$C$16:$G$47,4,$B$16:$B$47)</f>
        <v>142098.48000000001</v>
      </c>
      <c r="E20" s="580">
        <v>140549.23000000001</v>
      </c>
      <c r="F20" s="27">
        <f t="shared" si="1"/>
        <v>1549.25</v>
      </c>
      <c r="G20" s="580">
        <f>VLOOKUP(B20,'App.2-B_Fixed Asset Cont - 2012'!$C$16:$G$45,5,$B$16:$B$47)</f>
        <v>0</v>
      </c>
      <c r="H20" s="27">
        <f t="shared" si="2"/>
        <v>1549.25</v>
      </c>
      <c r="I20" s="614">
        <f>1/VLOOKUP(B20,'App.2-B_Fixed Asset Cont - 2012'!$C$16:$G$47,3,$B$16:$B$47)</f>
        <v>25</v>
      </c>
      <c r="J20" s="157">
        <f t="shared" si="3"/>
        <v>0.04</v>
      </c>
      <c r="K20" s="145">
        <f t="shared" si="0"/>
        <v>61.97</v>
      </c>
      <c r="L20" s="517" t="s">
        <v>780</v>
      </c>
      <c r="M20" s="615">
        <f>VLOOKUP(B20,'App.2-B_Fixed Asset Cont - 2012'!$C$16:$L$45,10,$B$16:$B$47)</f>
        <v>61.97</v>
      </c>
    </row>
    <row r="21" spans="2:13" x14ac:dyDescent="0.2">
      <c r="B21" s="465">
        <v>1825</v>
      </c>
      <c r="C21" s="456" t="s">
        <v>539</v>
      </c>
      <c r="D21" s="580">
        <f>VLOOKUP(B21,'App.2-B_Fixed Asset Cont - 2012'!$C$16:$G$47,4,$B$16:$B$47)</f>
        <v>0</v>
      </c>
      <c r="E21" s="580"/>
      <c r="F21" s="27">
        <f t="shared" si="1"/>
        <v>0</v>
      </c>
      <c r="G21" s="580">
        <f>VLOOKUP(B21,'App.2-B_Fixed Asset Cont - 2012'!$C$16:$G$45,5,$B$16:$B$47)</f>
        <v>0</v>
      </c>
      <c r="H21" s="27">
        <f t="shared" si="2"/>
        <v>0</v>
      </c>
      <c r="I21" s="614"/>
      <c r="J21" s="157" t="str">
        <f t="shared" si="3"/>
        <v/>
      </c>
      <c r="K21" s="145" t="str">
        <f t="shared" si="0"/>
        <v/>
      </c>
      <c r="L21" s="517"/>
      <c r="M21" s="615">
        <f>VLOOKUP(B21,'App.2-B_Fixed Asset Cont - 2012'!$C$16:$L$45,10,$B$16:$B$47)</f>
        <v>0</v>
      </c>
    </row>
    <row r="22" spans="2:13" x14ac:dyDescent="0.2">
      <c r="B22" s="465">
        <v>1830</v>
      </c>
      <c r="C22" s="456" t="s">
        <v>540</v>
      </c>
      <c r="D22" s="580">
        <f>VLOOKUP(B22,'App.2-B_Fixed Asset Cont - 2012'!$C$16:$G$47,4,$B$16:$B$47)</f>
        <v>888855.67</v>
      </c>
      <c r="E22" s="580">
        <v>-249.57999999987805</v>
      </c>
      <c r="F22" s="27">
        <f t="shared" si="1"/>
        <v>889105.24999999988</v>
      </c>
      <c r="G22" s="580">
        <f>VLOOKUP(B22,'App.2-B_Fixed Asset Cont - 2012'!$C$16:$G$47,5,$B$16:$B$47)</f>
        <v>21000</v>
      </c>
      <c r="H22" s="27">
        <f t="shared" si="2"/>
        <v>899605.24999999988</v>
      </c>
      <c r="I22" s="614">
        <f>1/VLOOKUP(B22,'App.2-B_Fixed Asset Cont - 2012'!$C$16:$G$47,3,$B$16:$B$47)</f>
        <v>25</v>
      </c>
      <c r="J22" s="157">
        <f t="shared" si="3"/>
        <v>0.04</v>
      </c>
      <c r="K22" s="145">
        <f t="shared" si="0"/>
        <v>35984.209999999992</v>
      </c>
      <c r="L22" s="517" t="s">
        <v>780</v>
      </c>
      <c r="M22" s="615">
        <f>VLOOKUP(B22,'App.2-B_Fixed Asset Cont - 2012'!$C$16:$L$47,10,$B$16:$B$47)</f>
        <v>35984.21</v>
      </c>
    </row>
    <row r="23" spans="2:13" x14ac:dyDescent="0.2">
      <c r="B23" s="465">
        <v>1835</v>
      </c>
      <c r="C23" s="456" t="s">
        <v>463</v>
      </c>
      <c r="D23" s="580">
        <f>VLOOKUP(B23,'App.2-B_Fixed Asset Cont - 2012'!$C$16:$G$47,4,$B$16:$B$47)</f>
        <v>6275032.4000000004</v>
      </c>
      <c r="E23" s="580">
        <v>127906.90000000031</v>
      </c>
      <c r="F23" s="27">
        <f t="shared" si="1"/>
        <v>6147125.5</v>
      </c>
      <c r="G23" s="580">
        <f>VLOOKUP(B23,'App.2-B_Fixed Asset Cont - 2012'!$C$16:$G$47,5,$B$16:$B$47)</f>
        <v>47000</v>
      </c>
      <c r="H23" s="27">
        <f t="shared" si="2"/>
        <v>6170625.5</v>
      </c>
      <c r="I23" s="614">
        <f>1/VLOOKUP(B23,'App.2-B_Fixed Asset Cont - 2012'!$C$16:$G$47,3,$B$16:$B$47)</f>
        <v>25</v>
      </c>
      <c r="J23" s="157">
        <f t="shared" si="3"/>
        <v>0.04</v>
      </c>
      <c r="K23" s="145">
        <f t="shared" si="0"/>
        <v>246825.02</v>
      </c>
      <c r="L23" s="517" t="s">
        <v>780</v>
      </c>
      <c r="M23" s="615">
        <f>VLOOKUP(B23,'App.2-B_Fixed Asset Cont - 2012'!$C$16:$L$47,10,$B$16:$B$47)</f>
        <v>246825.02</v>
      </c>
    </row>
    <row r="24" spans="2:13" x14ac:dyDescent="0.2">
      <c r="B24" s="465">
        <v>1840</v>
      </c>
      <c r="C24" s="456" t="s">
        <v>464</v>
      </c>
      <c r="D24" s="580">
        <f>VLOOKUP(B24,'App.2-B_Fixed Asset Cont - 2012'!$C$16:$G$47,4,$B$16:$B$47)</f>
        <v>1251540.9599999997</v>
      </c>
      <c r="E24" s="580">
        <v>-129.54000000027008</v>
      </c>
      <c r="F24" s="27">
        <f t="shared" si="1"/>
        <v>1251670.5</v>
      </c>
      <c r="G24" s="580">
        <f>VLOOKUP(B24,'App.2-B_Fixed Asset Cont - 2012'!$C$16:$G$47,5,$B$16:$B$47)</f>
        <v>200100</v>
      </c>
      <c r="H24" s="27">
        <f t="shared" si="2"/>
        <v>1351720.5</v>
      </c>
      <c r="I24" s="614">
        <f>1/VLOOKUP(B24,'App.2-B_Fixed Asset Cont - 2012'!$C$16:$G$47,3,$B$16:$B$47)</f>
        <v>25</v>
      </c>
      <c r="J24" s="157">
        <f t="shared" si="3"/>
        <v>0.04</v>
      </c>
      <c r="K24" s="145">
        <f t="shared" si="0"/>
        <v>54068.82</v>
      </c>
      <c r="L24" s="517" t="s">
        <v>780</v>
      </c>
      <c r="M24" s="615">
        <f>VLOOKUP(B24,'App.2-B_Fixed Asset Cont - 2012'!$C$16:$L$47,10,$B$16:$B$47)</f>
        <v>54068.82</v>
      </c>
    </row>
    <row r="25" spans="2:13" x14ac:dyDescent="0.2">
      <c r="B25" s="465">
        <v>1845</v>
      </c>
      <c r="C25" s="456" t="s">
        <v>465</v>
      </c>
      <c r="D25" s="580">
        <f>VLOOKUP(B25,'App.2-B_Fixed Asset Cont - 2012'!$C$16:$G$47,4,$B$16:$B$47)</f>
        <v>7246992.580000001</v>
      </c>
      <c r="E25" s="580">
        <v>429697.08000000101</v>
      </c>
      <c r="F25" s="27">
        <f t="shared" si="1"/>
        <v>6817295.5</v>
      </c>
      <c r="G25" s="580">
        <f>VLOOKUP(B25,'App.2-B_Fixed Asset Cont - 2012'!$C$16:$G$47,5,$B$16:$B$47)</f>
        <v>517100</v>
      </c>
      <c r="H25" s="27">
        <f t="shared" si="2"/>
        <v>7075845.5</v>
      </c>
      <c r="I25" s="614">
        <f>1/VLOOKUP(B25,'App.2-B_Fixed Asset Cont - 2012'!$C$16:$G$47,3,$B$16:$B$47)</f>
        <v>25</v>
      </c>
      <c r="J25" s="157">
        <f t="shared" si="3"/>
        <v>0.04</v>
      </c>
      <c r="K25" s="145">
        <f t="shared" si="0"/>
        <v>283033.82</v>
      </c>
      <c r="L25" s="517" t="s">
        <v>780</v>
      </c>
      <c r="M25" s="615">
        <f>VLOOKUP(B25,'App.2-B_Fixed Asset Cont - 2012'!$C$16:$L$47,10,$B$16:$B$47)</f>
        <v>283033.82</v>
      </c>
    </row>
    <row r="26" spans="2:13" x14ac:dyDescent="0.2">
      <c r="B26" s="465">
        <v>1850</v>
      </c>
      <c r="C26" s="456" t="s">
        <v>541</v>
      </c>
      <c r="D26" s="580">
        <f>VLOOKUP(B26,'App.2-B_Fixed Asset Cont - 2012'!$C$16:$G$47,4,$B$16:$B$47)</f>
        <v>5511324.0499999998</v>
      </c>
      <c r="E26" s="580">
        <v>718485.29999999958</v>
      </c>
      <c r="F26" s="27">
        <f t="shared" si="1"/>
        <v>4792838.75</v>
      </c>
      <c r="G26" s="580">
        <f>VLOOKUP(B26,'App.2-B_Fixed Asset Cont - 2012'!$C$16:$G$47,5,$B$16:$B$47)</f>
        <v>399590</v>
      </c>
      <c r="H26" s="27">
        <f t="shared" si="2"/>
        <v>4992633.75</v>
      </c>
      <c r="I26" s="614">
        <f>1/VLOOKUP(B26,'App.2-B_Fixed Asset Cont - 2012'!$C$16:$G$47,3,$B$16:$B$47)</f>
        <v>25</v>
      </c>
      <c r="J26" s="157">
        <f t="shared" si="3"/>
        <v>0.04</v>
      </c>
      <c r="K26" s="145">
        <f t="shared" si="0"/>
        <v>199705.35</v>
      </c>
      <c r="L26" s="517" t="s">
        <v>780</v>
      </c>
      <c r="M26" s="615">
        <f>VLOOKUP(B26,'App.2-B_Fixed Asset Cont - 2012'!$C$16:$L$47,10,$B$16:$B$47)</f>
        <v>199705.35</v>
      </c>
    </row>
    <row r="27" spans="2:13" x14ac:dyDescent="0.2">
      <c r="B27" s="465">
        <v>1855</v>
      </c>
      <c r="C27" s="456" t="s">
        <v>481</v>
      </c>
      <c r="D27" s="580">
        <f>VLOOKUP(B27,'App.2-B_Fixed Asset Cont - 2012'!$C$16:$G$47,4,$B$16:$B$47)</f>
        <v>699827.55999999982</v>
      </c>
      <c r="E27" s="580">
        <v>-230.44000000018059</v>
      </c>
      <c r="F27" s="27">
        <f t="shared" si="1"/>
        <v>700058</v>
      </c>
      <c r="G27" s="580">
        <f>VLOOKUP(B27,'App.2-B_Fixed Asset Cont - 2012'!$C$16:$G$47,5,$B$16:$B$47)</f>
        <v>88200</v>
      </c>
      <c r="H27" s="27">
        <f t="shared" si="2"/>
        <v>744158</v>
      </c>
      <c r="I27" s="614">
        <f>1/VLOOKUP(B27,'App.2-B_Fixed Asset Cont - 2012'!$C$16:$G$47,3,$B$16:$B$47)</f>
        <v>25</v>
      </c>
      <c r="J27" s="157">
        <f t="shared" si="3"/>
        <v>0.04</v>
      </c>
      <c r="K27" s="145">
        <f t="shared" si="0"/>
        <v>29766.32</v>
      </c>
      <c r="L27" s="517" t="s">
        <v>780</v>
      </c>
      <c r="M27" s="615">
        <f>VLOOKUP(B27,'App.2-B_Fixed Asset Cont - 2012'!$C$16:$L$47,10,$B$16:$B$47)</f>
        <v>29766.32</v>
      </c>
    </row>
    <row r="28" spans="2:13" x14ac:dyDescent="0.2">
      <c r="B28" s="465">
        <v>1860</v>
      </c>
      <c r="C28" s="456" t="s">
        <v>542</v>
      </c>
      <c r="D28" s="580">
        <f>'App.2-B_Fixed Asset Cont - 2012'!F28</f>
        <v>514261.00000000029</v>
      </c>
      <c r="E28" s="580">
        <v>284022.50000000023</v>
      </c>
      <c r="F28" s="27">
        <f t="shared" si="1"/>
        <v>230238.50000000006</v>
      </c>
      <c r="G28" s="580">
        <f>'App.2-B_Fixed Asset Cont - 2012'!G28</f>
        <v>21260</v>
      </c>
      <c r="H28" s="27">
        <f t="shared" si="2"/>
        <v>240868.50000000006</v>
      </c>
      <c r="I28" s="614">
        <f>I27</f>
        <v>25</v>
      </c>
      <c r="J28" s="157">
        <f>IF(I28=0,"",1/I28)</f>
        <v>0.04</v>
      </c>
      <c r="K28" s="145">
        <f>IF(I28=0,"",H28/I28)</f>
        <v>9634.7400000000016</v>
      </c>
      <c r="L28" s="517" t="s">
        <v>780</v>
      </c>
      <c r="M28" s="615">
        <f>'App.2-B_Fixed Asset Cont - 2012'!L28</f>
        <v>9634.74</v>
      </c>
    </row>
    <row r="29" spans="2:13" x14ac:dyDescent="0.2">
      <c r="B29" s="465">
        <v>1860</v>
      </c>
      <c r="C29" s="2" t="s">
        <v>467</v>
      </c>
      <c r="D29" s="580">
        <f>VLOOKUP(B29,'App.2-B_Fixed Asset Cont - 2012'!$C$16:$G$47,4,$B$16:$B$47)</f>
        <v>1574203.7499999998</v>
      </c>
      <c r="E29" s="580">
        <v>-7970.8899999999994</v>
      </c>
      <c r="F29" s="27">
        <f>D29-E29</f>
        <v>1582174.6399999997</v>
      </c>
      <c r="G29" s="580">
        <f>VLOOKUP(B29,'App.2-B_Fixed Asset Cont - 2012'!$C$16:$G$47,5,$B$16:$B$47)</f>
        <v>0</v>
      </c>
      <c r="H29" s="27">
        <f t="shared" si="2"/>
        <v>1582174.6399999997</v>
      </c>
      <c r="I29" s="614">
        <f>1/VLOOKUP(B29,'App.2-B_Fixed Asset Cont - 2012'!$C$16:$G$47,3,$B$16:$B$47)</f>
        <v>15</v>
      </c>
      <c r="J29" s="157">
        <f>IF(I29=0,"",1/I29)</f>
        <v>6.6666666666666666E-2</v>
      </c>
      <c r="K29" s="145">
        <f>IF(I29=0,"",H29/I29)</f>
        <v>105478.30933333331</v>
      </c>
      <c r="L29" s="517" t="s">
        <v>780</v>
      </c>
      <c r="M29" s="615">
        <f>VLOOKUP(B29,'App.2-B_Fixed Asset Cont - 2012'!$C$16:$L$47,10,$B$16:$B$47)</f>
        <v>105478.30933333332</v>
      </c>
    </row>
    <row r="30" spans="2:13" x14ac:dyDescent="0.2">
      <c r="B30" s="465">
        <v>1905</v>
      </c>
      <c r="C30" s="456" t="s">
        <v>536</v>
      </c>
      <c r="D30" s="580">
        <f>VLOOKUP(B30,'App.2-B_Fixed Asset Cont - 2012'!$C$16:$G$47,4,$B$16:$B$47)</f>
        <v>171765.02</v>
      </c>
      <c r="E30" s="580"/>
      <c r="F30" s="27">
        <f t="shared" si="1"/>
        <v>171765.02</v>
      </c>
      <c r="G30" s="580">
        <f>VLOOKUP(B30,'App.2-B_Fixed Asset Cont - 2012'!$C$16:$G$47,5,$B$16:$B$47)</f>
        <v>0</v>
      </c>
      <c r="H30" s="27">
        <f t="shared" si="2"/>
        <v>171765.02</v>
      </c>
      <c r="I30" s="614"/>
      <c r="J30" s="157" t="str">
        <f t="shared" si="3"/>
        <v/>
      </c>
      <c r="K30" s="145" t="str">
        <f t="shared" si="0"/>
        <v/>
      </c>
      <c r="L30" s="517"/>
      <c r="M30" s="615">
        <f>VLOOKUP(B30,'App.2-B_Fixed Asset Cont - 2012'!$C$16:$L$47,10,$B$16:$B$47)</f>
        <v>0</v>
      </c>
    </row>
    <row r="31" spans="2:13" x14ac:dyDescent="0.2">
      <c r="B31" s="465">
        <v>1906</v>
      </c>
      <c r="C31" s="456" t="s">
        <v>545</v>
      </c>
      <c r="D31" s="580">
        <f>VLOOKUP(B31,'App.2-B_Fixed Asset Cont - 2012'!$C$16:$G$47,4,$B$16:$B$47)</f>
        <v>2944.73</v>
      </c>
      <c r="E31" s="580">
        <v>2944.7299999999996</v>
      </c>
      <c r="F31" s="27">
        <f t="shared" si="1"/>
        <v>0</v>
      </c>
      <c r="G31" s="580">
        <f>VLOOKUP(B31,'App.2-B_Fixed Asset Cont - 2012'!$C$16:$G$47,5,$B$16:$B$47)</f>
        <v>0</v>
      </c>
      <c r="H31" s="27">
        <f t="shared" si="2"/>
        <v>0</v>
      </c>
      <c r="I31" s="614">
        <f>1/VLOOKUP(B31,'App.2-B_Fixed Asset Cont - 2012'!$C$16:$G$47,3,$B$16:$B$47)</f>
        <v>50</v>
      </c>
      <c r="J31" s="157">
        <f t="shared" si="3"/>
        <v>0.02</v>
      </c>
      <c r="K31" s="145">
        <f t="shared" si="0"/>
        <v>0</v>
      </c>
      <c r="L31" s="517"/>
      <c r="M31" s="615">
        <f>VLOOKUP(B31,'App.2-B_Fixed Asset Cont - 2012'!$C$16:$L$47,10,$B$16:$B$47)</f>
        <v>0</v>
      </c>
    </row>
    <row r="32" spans="2:13" x14ac:dyDescent="0.2">
      <c r="B32" s="465">
        <v>1908</v>
      </c>
      <c r="C32" s="456" t="s">
        <v>546</v>
      </c>
      <c r="D32" s="580">
        <f>VLOOKUP(B32,'App.2-B_Fixed Asset Cont - 2012'!$C$16:$G$47,4,$B$16:$B$47)</f>
        <v>661839.77</v>
      </c>
      <c r="E32" s="580">
        <v>523350.66999999993</v>
      </c>
      <c r="F32" s="27">
        <f t="shared" si="1"/>
        <v>138489.10000000009</v>
      </c>
      <c r="G32" s="580">
        <f>VLOOKUP(B32,'App.2-B_Fixed Asset Cont - 2012'!$C$16:$G$47,5,$B$16:$B$47)</f>
        <v>14500</v>
      </c>
      <c r="H32" s="27">
        <f t="shared" si="2"/>
        <v>145739.10000000009</v>
      </c>
      <c r="I32" s="614">
        <f>1/VLOOKUP(B32,'App.2-B_Fixed Asset Cont - 2012'!$C$16:$G$47,3,$B$16:$B$47)</f>
        <v>10</v>
      </c>
      <c r="J32" s="157">
        <f t="shared" si="3"/>
        <v>0.1</v>
      </c>
      <c r="K32" s="145">
        <f t="shared" si="0"/>
        <v>14573.910000000009</v>
      </c>
      <c r="L32" s="517" t="s">
        <v>780</v>
      </c>
      <c r="M32" s="615">
        <f>VLOOKUP(B32,'App.2-B_Fixed Asset Cont - 2012'!$C$16:$L$47,10,$B$16:$B$47)</f>
        <v>14573.91</v>
      </c>
    </row>
    <row r="33" spans="2:13" x14ac:dyDescent="0.2">
      <c r="B33" s="465">
        <v>1910</v>
      </c>
      <c r="C33" s="456" t="s">
        <v>579</v>
      </c>
      <c r="D33" s="580">
        <f>VLOOKUP(B33,'App.2-B_Fixed Asset Cont - 2012'!$C$16:$G$47,4,$B$16:$B$47)</f>
        <v>0</v>
      </c>
      <c r="E33" s="580"/>
      <c r="F33" s="27">
        <f t="shared" si="1"/>
        <v>0</v>
      </c>
      <c r="G33" s="580">
        <f>VLOOKUP(B33,'App.2-B_Fixed Asset Cont - 2012'!$C$16:$G$47,5,$B$16:$B$47)</f>
        <v>0</v>
      </c>
      <c r="H33" s="27">
        <f t="shared" si="2"/>
        <v>0</v>
      </c>
      <c r="I33" s="614"/>
      <c r="J33" s="157" t="str">
        <f t="shared" si="3"/>
        <v/>
      </c>
      <c r="K33" s="145" t="str">
        <f t="shared" si="0"/>
        <v/>
      </c>
      <c r="L33" s="517"/>
      <c r="M33" s="615">
        <f>VLOOKUP(B33,'App.2-B_Fixed Asset Cont - 2012'!$C$16:$L$47,10,$B$16:$B$47)</f>
        <v>0</v>
      </c>
    </row>
    <row r="34" spans="2:13" x14ac:dyDescent="0.2">
      <c r="B34" s="465">
        <v>1915</v>
      </c>
      <c r="C34" s="608" t="s">
        <v>750</v>
      </c>
      <c r="D34" s="580">
        <f>VLOOKUP(B34,'App.2-B_Fixed Asset Cont - 2012'!$C$16:$G$47,4,$B$16:$B$47)</f>
        <v>242909.09</v>
      </c>
      <c r="E34" s="580">
        <v>173141.99</v>
      </c>
      <c r="F34" s="27">
        <f t="shared" si="1"/>
        <v>69767.100000000006</v>
      </c>
      <c r="G34" s="580">
        <f>VLOOKUP(B34,'App.2-B_Fixed Asset Cont - 2012'!$C$16:$G$47,5,$B$16:$B$47)</f>
        <v>2500</v>
      </c>
      <c r="H34" s="27">
        <f t="shared" si="2"/>
        <v>71017.100000000006</v>
      </c>
      <c r="I34" s="614">
        <f>1/VLOOKUP(B34,'App.2-B_Fixed Asset Cont - 2012'!$C$16:$G$47,3,$B$16:$B$47)</f>
        <v>10</v>
      </c>
      <c r="J34" s="157">
        <f t="shared" si="3"/>
        <v>0.1</v>
      </c>
      <c r="K34" s="145">
        <f t="shared" si="0"/>
        <v>7101.7100000000009</v>
      </c>
      <c r="L34" s="517" t="s">
        <v>780</v>
      </c>
      <c r="M34" s="615">
        <f>VLOOKUP(B34,'App.2-B_Fixed Asset Cont - 2012'!$C$16:$L$47,10,$B$16:$B$47)</f>
        <v>7101.71</v>
      </c>
    </row>
    <row r="35" spans="2:13" x14ac:dyDescent="0.2">
      <c r="B35" s="465">
        <v>1920</v>
      </c>
      <c r="C35" s="456" t="s">
        <v>470</v>
      </c>
      <c r="D35" s="580">
        <f>VLOOKUP(B35,'App.2-B_Fixed Asset Cont - 2012'!$C$16:$G$47,4,$B$16:$B$47)</f>
        <v>360968.31</v>
      </c>
      <c r="E35" s="580">
        <v>305027.61</v>
      </c>
      <c r="F35" s="27">
        <f t="shared" si="1"/>
        <v>55940.700000000012</v>
      </c>
      <c r="G35" s="580">
        <f>VLOOKUP(B35,'App.2-B_Fixed Asset Cont - 2012'!$C$16:$G$47,5,$B$16:$B$47)</f>
        <v>5000</v>
      </c>
      <c r="H35" s="27">
        <f t="shared" si="2"/>
        <v>58440.700000000012</v>
      </c>
      <c r="I35" s="614">
        <f>1/VLOOKUP(B35,'App.2-B_Fixed Asset Cont - 2012'!$C$16:$G$47,3,$B$16:$B$47)</f>
        <v>5</v>
      </c>
      <c r="J35" s="157">
        <f t="shared" si="3"/>
        <v>0.2</v>
      </c>
      <c r="K35" s="145">
        <f t="shared" si="0"/>
        <v>11688.140000000003</v>
      </c>
      <c r="L35" s="517" t="s">
        <v>780</v>
      </c>
      <c r="M35" s="615">
        <f>VLOOKUP(B35,'App.2-B_Fixed Asset Cont - 2012'!$C$16:$L$47,10,$B$16:$B$47)</f>
        <v>11688.14</v>
      </c>
    </row>
    <row r="36" spans="2:13" x14ac:dyDescent="0.2">
      <c r="B36" s="465">
        <v>1925</v>
      </c>
      <c r="C36" s="456" t="s">
        <v>563</v>
      </c>
      <c r="D36" s="580">
        <f>VLOOKUP(B36,'App.2-B_Fixed Asset Cont - 2012'!$C$16:$G$47,4,$B$16:$B$47)</f>
        <v>265645.87</v>
      </c>
      <c r="E36" s="580">
        <v>57699.519999999975</v>
      </c>
      <c r="F36" s="27">
        <f t="shared" si="1"/>
        <v>207946.35000000003</v>
      </c>
      <c r="G36" s="580">
        <f>VLOOKUP(B36,'App.2-B_Fixed Asset Cont - 2012'!$C$16:$G$47,5,$B$16:$B$47)</f>
        <v>19000</v>
      </c>
      <c r="H36" s="27">
        <f t="shared" si="2"/>
        <v>217446.35000000003</v>
      </c>
      <c r="I36" s="614">
        <f>1/VLOOKUP(B36,'App.2-B_Fixed Asset Cont - 2012'!$C$16:$G$47,3,$B$16:$B$47)</f>
        <v>5</v>
      </c>
      <c r="J36" s="157">
        <f t="shared" si="3"/>
        <v>0.2</v>
      </c>
      <c r="K36" s="145">
        <f t="shared" si="0"/>
        <v>43489.270000000004</v>
      </c>
      <c r="L36" s="517" t="s">
        <v>780</v>
      </c>
      <c r="M36" s="615">
        <f>VLOOKUP(B36,'App.2-B_Fixed Asset Cont - 2012'!$C$16:$L$47,10,$B$16:$B$47)</f>
        <v>43489.270000000004</v>
      </c>
    </row>
    <row r="37" spans="2:13" x14ac:dyDescent="0.2">
      <c r="B37" s="465">
        <v>1930</v>
      </c>
      <c r="C37" s="456" t="s">
        <v>564</v>
      </c>
      <c r="D37" s="580">
        <f>VLOOKUP(B37,'App.2-B_Fixed Asset Cont - 2012'!$C$16:$G$47,4,$B$16:$B$47)</f>
        <v>1886565.45</v>
      </c>
      <c r="E37" s="580">
        <v>1221467.73</v>
      </c>
      <c r="F37" s="27">
        <f t="shared" si="1"/>
        <v>665097.72</v>
      </c>
      <c r="G37" s="580">
        <f>VLOOKUP(B37,'App.2-B_Fixed Asset Cont - 2012'!$C$16:$G$47,5,$B$16:$B$47)</f>
        <v>89250</v>
      </c>
      <c r="H37" s="27">
        <f t="shared" si="2"/>
        <v>709722.72</v>
      </c>
      <c r="I37" s="614">
        <f>1/VLOOKUP(B37,'App.2-B_Fixed Asset Cont - 2012'!$C$16:$G$47,3,$B$16:$B$47)</f>
        <v>8</v>
      </c>
      <c r="J37" s="157">
        <f t="shared" si="3"/>
        <v>0.125</v>
      </c>
      <c r="K37" s="145">
        <f t="shared" si="0"/>
        <v>88715.34</v>
      </c>
      <c r="L37" s="517" t="s">
        <v>780</v>
      </c>
      <c r="M37" s="615">
        <f>VLOOKUP(B37,'App.2-B_Fixed Asset Cont - 2012'!$C$16:$L$47,10,$B$16:$B$47)</f>
        <v>88715.34</v>
      </c>
    </row>
    <row r="38" spans="2:13" x14ac:dyDescent="0.2">
      <c r="B38" s="465">
        <v>1935</v>
      </c>
      <c r="C38" s="456" t="s">
        <v>565</v>
      </c>
      <c r="D38" s="580">
        <f>VLOOKUP(B38,'App.2-B_Fixed Asset Cont - 2012'!$C$16:$G$47,4,$B$16:$B$47)</f>
        <v>0</v>
      </c>
      <c r="E38" s="580"/>
      <c r="F38" s="27">
        <f t="shared" si="1"/>
        <v>0</v>
      </c>
      <c r="G38" s="580">
        <f>VLOOKUP(B38,'App.2-B_Fixed Asset Cont - 2012'!$C$16:$G$47,5,$B$16:$B$47)</f>
        <v>0</v>
      </c>
      <c r="H38" s="27">
        <f t="shared" si="2"/>
        <v>0</v>
      </c>
      <c r="I38" s="614"/>
      <c r="J38" s="157" t="str">
        <f t="shared" si="3"/>
        <v/>
      </c>
      <c r="K38" s="145" t="str">
        <f t="shared" si="0"/>
        <v/>
      </c>
      <c r="L38" s="517"/>
      <c r="M38" s="615">
        <f>VLOOKUP(B38,'App.2-B_Fixed Asset Cont - 2012'!$C$16:$L$47,10,$B$16:$B$47)</f>
        <v>0</v>
      </c>
    </row>
    <row r="39" spans="2:13" x14ac:dyDescent="0.2">
      <c r="B39" s="465">
        <v>1940</v>
      </c>
      <c r="C39" s="456" t="s">
        <v>566</v>
      </c>
      <c r="D39" s="580">
        <f>VLOOKUP(B39,'App.2-B_Fixed Asset Cont - 2012'!$C$16:$G$47,4,$B$16:$B$47)</f>
        <v>365316.94000000006</v>
      </c>
      <c r="E39" s="580">
        <v>238725.24000000005</v>
      </c>
      <c r="F39" s="27">
        <f t="shared" si="1"/>
        <v>126591.70000000001</v>
      </c>
      <c r="G39" s="580">
        <f>VLOOKUP(B39,'App.2-B_Fixed Asset Cont - 2012'!$C$16:$G$47,5,$B$16:$B$47)</f>
        <v>25000</v>
      </c>
      <c r="H39" s="27">
        <f t="shared" si="2"/>
        <v>139091.70000000001</v>
      </c>
      <c r="I39" s="614">
        <f>1/VLOOKUP(B39,'App.2-B_Fixed Asset Cont - 2012'!$C$16:$G$47,3,$B$16:$B$47)</f>
        <v>10</v>
      </c>
      <c r="J39" s="157">
        <f t="shared" si="3"/>
        <v>0.1</v>
      </c>
      <c r="K39" s="145">
        <f t="shared" si="0"/>
        <v>13909.170000000002</v>
      </c>
      <c r="L39" s="517" t="s">
        <v>780</v>
      </c>
      <c r="M39" s="615">
        <f>VLOOKUP(B39,'App.2-B_Fixed Asset Cont - 2012'!$C$16:$L$47,10,$B$16:$B$47)</f>
        <v>13909.17</v>
      </c>
    </row>
    <row r="40" spans="2:13" x14ac:dyDescent="0.2">
      <c r="B40" s="465">
        <v>1945</v>
      </c>
      <c r="C40" s="456" t="s">
        <v>567</v>
      </c>
      <c r="D40" s="580">
        <f>VLOOKUP(B40,'App.2-B_Fixed Asset Cont - 2012'!$C$16:$G$47,4,$B$16:$B$47)</f>
        <v>0</v>
      </c>
      <c r="E40" s="580"/>
      <c r="F40" s="27">
        <f t="shared" si="1"/>
        <v>0</v>
      </c>
      <c r="G40" s="580">
        <f>VLOOKUP(B40,'App.2-B_Fixed Asset Cont - 2012'!$C$16:$G$47,5,$B$16:$B$47)</f>
        <v>0</v>
      </c>
      <c r="H40" s="27">
        <f t="shared" si="2"/>
        <v>0</v>
      </c>
      <c r="I40" s="614"/>
      <c r="J40" s="157" t="str">
        <f t="shared" si="3"/>
        <v/>
      </c>
      <c r="K40" s="145" t="str">
        <f t="shared" si="0"/>
        <v/>
      </c>
      <c r="L40" s="517"/>
      <c r="M40" s="615">
        <f>VLOOKUP(B40,'App.2-B_Fixed Asset Cont - 2012'!$C$16:$L$47,10,$B$16:$B$47)</f>
        <v>0</v>
      </c>
    </row>
    <row r="41" spans="2:13" x14ac:dyDescent="0.2">
      <c r="B41" s="465">
        <v>1950</v>
      </c>
      <c r="C41" s="456" t="s">
        <v>473</v>
      </c>
      <c r="D41" s="580">
        <f>VLOOKUP(B41,'App.2-B_Fixed Asset Cont - 2012'!$C$16:$G$47,4,$B$16:$B$47)</f>
        <v>0</v>
      </c>
      <c r="E41" s="580"/>
      <c r="F41" s="27">
        <f t="shared" si="1"/>
        <v>0</v>
      </c>
      <c r="G41" s="580">
        <f>VLOOKUP(B41,'App.2-B_Fixed Asset Cont - 2012'!$C$16:$G$47,5,$B$16:$B$47)</f>
        <v>0</v>
      </c>
      <c r="H41" s="27">
        <f t="shared" si="2"/>
        <v>0</v>
      </c>
      <c r="I41" s="614"/>
      <c r="J41" s="157" t="str">
        <f t="shared" si="3"/>
        <v/>
      </c>
      <c r="K41" s="145" t="str">
        <f t="shared" si="0"/>
        <v/>
      </c>
      <c r="L41" s="517"/>
      <c r="M41" s="615">
        <f>VLOOKUP(B41,'App.2-B_Fixed Asset Cont - 2012'!$C$16:$L$47,10,$B$16:$B$47)</f>
        <v>0</v>
      </c>
    </row>
    <row r="42" spans="2:13" x14ac:dyDescent="0.2">
      <c r="B42" s="465">
        <v>1955</v>
      </c>
      <c r="C42" s="456" t="s">
        <v>568</v>
      </c>
      <c r="D42" s="580">
        <f>VLOOKUP(B42,'App.2-B_Fixed Asset Cont - 2012'!$C$16:$G$47,4,$B$16:$B$47)</f>
        <v>35830.6</v>
      </c>
      <c r="E42" s="580">
        <v>20377.099999999999</v>
      </c>
      <c r="F42" s="27">
        <f>D42-E42</f>
        <v>15453.5</v>
      </c>
      <c r="G42" s="580">
        <f>VLOOKUP(B42,'App.2-B_Fixed Asset Cont - 2012'!$C$16:$G$47,5,$B$16:$B$47)</f>
        <v>0</v>
      </c>
      <c r="H42" s="27">
        <f t="shared" si="2"/>
        <v>15453.5</v>
      </c>
      <c r="I42" s="614">
        <f>1/VLOOKUP(B42,'App.2-B_Fixed Asset Cont - 2012'!$C$16:$G$47,3,$B$16:$B$47)</f>
        <v>10</v>
      </c>
      <c r="J42" s="157">
        <f t="shared" si="3"/>
        <v>0.1</v>
      </c>
      <c r="K42" s="145">
        <f t="shared" si="0"/>
        <v>1545.35</v>
      </c>
      <c r="L42" s="517" t="s">
        <v>780</v>
      </c>
      <c r="M42" s="615">
        <f>VLOOKUP(B42,'App.2-B_Fixed Asset Cont - 2012'!$C$16:$L$47,10,$B$16:$B$47)</f>
        <v>1545.35</v>
      </c>
    </row>
    <row r="43" spans="2:13" x14ac:dyDescent="0.2">
      <c r="B43" s="465">
        <v>1960</v>
      </c>
      <c r="C43" s="456" t="s">
        <v>475</v>
      </c>
      <c r="D43" s="580">
        <f>VLOOKUP(B43,'App.2-B_Fixed Asset Cont - 2012'!$C$16:$G$47,4,$B$16:$B$47)</f>
        <v>0</v>
      </c>
      <c r="E43" s="580"/>
      <c r="F43" s="27">
        <f t="shared" si="1"/>
        <v>0</v>
      </c>
      <c r="G43" s="580">
        <f>VLOOKUP(B43,'App.2-B_Fixed Asset Cont - 2012'!$C$16:$G$47,5,$B$16:$B$47)</f>
        <v>0</v>
      </c>
      <c r="H43" s="27">
        <f t="shared" si="2"/>
        <v>0</v>
      </c>
      <c r="I43" s="614"/>
      <c r="J43" s="157" t="str">
        <f t="shared" si="3"/>
        <v/>
      </c>
      <c r="K43" s="145" t="str">
        <f t="shared" si="0"/>
        <v/>
      </c>
      <c r="L43" s="517"/>
      <c r="M43" s="615">
        <f>VLOOKUP(B43,'App.2-B_Fixed Asset Cont - 2012'!$C$16:$L$47,10,$B$16:$B$47)</f>
        <v>0</v>
      </c>
    </row>
    <row r="44" spans="2:13" x14ac:dyDescent="0.2">
      <c r="B44" s="465">
        <v>1975</v>
      </c>
      <c r="C44" s="456" t="s">
        <v>569</v>
      </c>
      <c r="D44" s="580">
        <f>VLOOKUP(B44,'App.2-B_Fixed Asset Cont - 2012'!$C$16:$G$47,4,$B$16:$B$47)</f>
        <v>0</v>
      </c>
      <c r="E44" s="580"/>
      <c r="F44" s="27">
        <f t="shared" si="1"/>
        <v>0</v>
      </c>
      <c r="G44" s="580">
        <f>VLOOKUP(B44,'App.2-B_Fixed Asset Cont - 2012'!$C$16:$G$47,5,$B$16:$B$47)</f>
        <v>0</v>
      </c>
      <c r="H44" s="27">
        <f t="shared" si="2"/>
        <v>0</v>
      </c>
      <c r="I44" s="614"/>
      <c r="J44" s="157" t="str">
        <f t="shared" si="3"/>
        <v/>
      </c>
      <c r="K44" s="145" t="str">
        <f t="shared" si="0"/>
        <v/>
      </c>
      <c r="L44" s="517"/>
      <c r="M44" s="615">
        <f>VLOOKUP(B44,'App.2-B_Fixed Asset Cont - 2012'!$C$16:$L$47,10,$B$16:$B$47)</f>
        <v>0</v>
      </c>
    </row>
    <row r="45" spans="2:13" x14ac:dyDescent="0.2">
      <c r="B45" s="465">
        <v>1980</v>
      </c>
      <c r="C45" s="456" t="s">
        <v>570</v>
      </c>
      <c r="D45" s="580">
        <f>VLOOKUP(B45,'App.2-B_Fixed Asset Cont - 2012'!$C$16:$G$47,4,$B$16:$B$47)</f>
        <v>0</v>
      </c>
      <c r="E45" s="580"/>
      <c r="F45" s="27">
        <f t="shared" si="1"/>
        <v>0</v>
      </c>
      <c r="G45" s="580">
        <f>VLOOKUP(B45,'App.2-B_Fixed Asset Cont - 2012'!$C$16:$G$47,5,$B$16:$B$47)</f>
        <v>0</v>
      </c>
      <c r="H45" s="27">
        <f t="shared" si="2"/>
        <v>0</v>
      </c>
      <c r="I45" s="614"/>
      <c r="J45" s="157" t="str">
        <f t="shared" si="3"/>
        <v/>
      </c>
      <c r="K45" s="145" t="str">
        <f t="shared" si="0"/>
        <v/>
      </c>
      <c r="L45" s="517"/>
      <c r="M45" s="615">
        <f>VLOOKUP(B45,'App.2-B_Fixed Asset Cont - 2012'!$C$16:$L$47,10,$B$16:$B$47)</f>
        <v>0</v>
      </c>
    </row>
    <row r="46" spans="2:13" x14ac:dyDescent="0.2">
      <c r="B46" s="465">
        <v>1985</v>
      </c>
      <c r="C46" s="456" t="s">
        <v>571</v>
      </c>
      <c r="D46" s="580">
        <f>VLOOKUP(B46,'App.2-B_Fixed Asset Cont - 2012'!$C$16:$G$47,4,$B$16:$B$47)</f>
        <v>0</v>
      </c>
      <c r="E46" s="580">
        <v>0</v>
      </c>
      <c r="F46" s="27">
        <f t="shared" si="1"/>
        <v>0</v>
      </c>
      <c r="G46" s="580">
        <f>VLOOKUP(B46,'App.2-B_Fixed Asset Cont - 2012'!$C$16:$G$47,5,$B$16:$B$47)</f>
        <v>0</v>
      </c>
      <c r="H46" s="27">
        <f t="shared" si="2"/>
        <v>0</v>
      </c>
      <c r="I46" s="614">
        <f>1/VLOOKUP(B46,'App.2-B_Fixed Asset Cont - 2012'!$C$16:$G$47,3,$B$16:$B$47)</f>
        <v>10</v>
      </c>
      <c r="J46" s="157">
        <f t="shared" si="3"/>
        <v>0.1</v>
      </c>
      <c r="K46" s="145">
        <f t="shared" si="0"/>
        <v>0</v>
      </c>
      <c r="L46" s="517"/>
      <c r="M46" s="615">
        <f>VLOOKUP(B46,'App.2-B_Fixed Asset Cont - 2012'!$C$16:$L$47,10,$B$16:$B$47)</f>
        <v>0</v>
      </c>
    </row>
    <row r="47" spans="2:13" x14ac:dyDescent="0.2">
      <c r="B47" s="465">
        <v>1995</v>
      </c>
      <c r="C47" s="456" t="s">
        <v>572</v>
      </c>
      <c r="D47" s="580">
        <f>VLOOKUP(B47,'App.2-B_Fixed Asset Cont - 2012'!$C$16:$G$47,4,$B$16:$B$47)</f>
        <v>-3871421.12</v>
      </c>
      <c r="E47" s="580">
        <v>38803.880000000208</v>
      </c>
      <c r="F47" s="615">
        <f t="shared" si="1"/>
        <v>-3910225.0000000005</v>
      </c>
      <c r="G47" s="580">
        <f>VLOOKUP(B47,'App.2-B_Fixed Asset Cont - 2012'!$C$16:$G$47,5,$B$16:$B$47)</f>
        <v>-703250</v>
      </c>
      <c r="H47" s="615">
        <f t="shared" si="2"/>
        <v>-4261850</v>
      </c>
      <c r="I47" s="614">
        <f>1/VLOOKUP(B47,'App.2-B_Fixed Asset Cont - 2012'!$C$16:$G$47,3,$B$16:$B$47)</f>
        <v>25</v>
      </c>
      <c r="J47" s="157">
        <f t="shared" si="3"/>
        <v>0.04</v>
      </c>
      <c r="K47" s="615">
        <f t="shared" si="0"/>
        <v>-170474</v>
      </c>
      <c r="L47" s="517" t="s">
        <v>780</v>
      </c>
      <c r="M47" s="615">
        <f>VLOOKUP(B47,'App.2-B_Fixed Asset Cont - 2012'!$C$16:$L$47,10,$B$16:$B$47)</f>
        <v>-170474</v>
      </c>
    </row>
    <row r="48" spans="2:13" x14ac:dyDescent="0.2">
      <c r="B48" s="465" t="s">
        <v>636</v>
      </c>
      <c r="C48" s="456"/>
      <c r="D48" s="580"/>
      <c r="E48" s="175"/>
      <c r="F48" s="157">
        <f t="shared" si="1"/>
        <v>0</v>
      </c>
      <c r="G48" s="175"/>
      <c r="H48" s="27">
        <f t="shared" si="2"/>
        <v>0</v>
      </c>
      <c r="I48" s="176"/>
      <c r="J48" s="157" t="str">
        <f t="shared" si="3"/>
        <v/>
      </c>
      <c r="K48" s="616" t="str">
        <f t="shared" si="0"/>
        <v/>
      </c>
      <c r="L48" s="517"/>
    </row>
    <row r="49" spans="2:13" ht="13.5" thickBot="1" x14ac:dyDescent="0.25">
      <c r="B49" s="466"/>
      <c r="C49" s="467"/>
      <c r="D49" s="171"/>
      <c r="E49" s="171"/>
      <c r="F49" s="520">
        <f t="shared" si="1"/>
        <v>0</v>
      </c>
      <c r="G49" s="171"/>
      <c r="H49" s="611">
        <f t="shared" si="2"/>
        <v>0</v>
      </c>
      <c r="I49" s="519"/>
      <c r="J49" s="520" t="str">
        <f t="shared" si="3"/>
        <v/>
      </c>
      <c r="K49" s="521" t="str">
        <f t="shared" si="0"/>
        <v/>
      </c>
      <c r="L49" s="518"/>
    </row>
    <row r="50" spans="2:13" ht="14.25" thickTop="1" thickBot="1" x14ac:dyDescent="0.25">
      <c r="B50" s="468"/>
      <c r="C50" s="469" t="s">
        <v>573</v>
      </c>
      <c r="D50" s="167">
        <f>SUM(D16:D49)</f>
        <v>24228613.109999999</v>
      </c>
      <c r="E50" s="167">
        <f>SUM(E16:E49)</f>
        <v>4273619.03</v>
      </c>
      <c r="F50" s="303">
        <f>D50-E50</f>
        <v>19954994.079999998</v>
      </c>
      <c r="G50" s="27">
        <f>SUM(G16:G49)</f>
        <v>746250</v>
      </c>
      <c r="H50" s="303">
        <f>F50+0.5*G50</f>
        <v>20328119.079999998</v>
      </c>
      <c r="I50" s="617"/>
      <c r="J50" s="303"/>
      <c r="K50" s="308">
        <f>SUM(K16:K49)</f>
        <v>975107.44933333318</v>
      </c>
      <c r="L50" s="464"/>
      <c r="M50" s="308">
        <f>SUM(M16:M49)</f>
        <v>975107.44933333341</v>
      </c>
    </row>
    <row r="51" spans="2:13" ht="7.5" customHeight="1" x14ac:dyDescent="0.2"/>
    <row r="52" spans="2:13" x14ac:dyDescent="0.2">
      <c r="B52" s="52" t="s">
        <v>639</v>
      </c>
      <c r="C52" s="389"/>
      <c r="D52" s="389"/>
      <c r="E52" s="389"/>
      <c r="F52" s="389"/>
      <c r="G52" s="389"/>
      <c r="H52" s="612"/>
      <c r="I52" s="389"/>
      <c r="J52" s="389"/>
      <c r="K52" s="389"/>
    </row>
    <row r="53" spans="2:13" ht="7.5" customHeight="1" x14ac:dyDescent="0.2">
      <c r="B53" s="389"/>
      <c r="C53" s="389"/>
      <c r="D53" s="389"/>
      <c r="E53" s="389"/>
      <c r="F53" s="389"/>
      <c r="G53" s="389"/>
      <c r="H53" s="612"/>
      <c r="I53" s="389"/>
      <c r="J53" s="389"/>
      <c r="K53" s="389"/>
    </row>
    <row r="54" spans="2:13" x14ac:dyDescent="0.2">
      <c r="B54" s="760" t="s">
        <v>192</v>
      </c>
      <c r="C54" s="761"/>
      <c r="D54" s="761"/>
      <c r="E54" s="761"/>
      <c r="F54" s="761"/>
      <c r="G54" s="761"/>
      <c r="H54" s="761"/>
      <c r="I54" s="761"/>
      <c r="J54" s="761"/>
    </row>
    <row r="55" spans="2:13" ht="26.25" customHeight="1" x14ac:dyDescent="0.2">
      <c r="B55" s="760" t="s">
        <v>193</v>
      </c>
      <c r="C55" s="761"/>
      <c r="D55" s="761"/>
      <c r="E55" s="761"/>
      <c r="F55" s="761"/>
      <c r="G55" s="761"/>
      <c r="H55" s="761"/>
      <c r="I55" s="761"/>
      <c r="J55" s="761"/>
    </row>
    <row r="56" spans="2:13" x14ac:dyDescent="0.2">
      <c r="B56" s="762" t="s">
        <v>194</v>
      </c>
      <c r="C56" s="763"/>
      <c r="D56" s="763"/>
      <c r="E56" s="763"/>
      <c r="F56" s="763"/>
      <c r="G56" s="763"/>
      <c r="H56" s="763"/>
      <c r="I56" s="763"/>
      <c r="J56" s="763"/>
    </row>
    <row r="57" spans="2:13" ht="19.5" customHeight="1" x14ac:dyDescent="0.2">
      <c r="B57" s="763"/>
      <c r="C57" s="763"/>
      <c r="D57" s="763"/>
      <c r="E57" s="763"/>
      <c r="F57" s="763"/>
      <c r="G57" s="763"/>
      <c r="H57" s="763"/>
      <c r="I57" s="763"/>
      <c r="J57" s="763"/>
    </row>
    <row r="58" spans="2:13" ht="3" customHeight="1" x14ac:dyDescent="0.2">
      <c r="B58" s="389"/>
      <c r="C58" s="389"/>
      <c r="D58" s="389"/>
      <c r="E58" s="389"/>
      <c r="F58" s="389"/>
      <c r="G58" s="389"/>
      <c r="H58" s="612"/>
      <c r="I58" s="389"/>
      <c r="J58" s="389"/>
      <c r="K58" s="389"/>
    </row>
    <row r="59" spans="2:13" x14ac:dyDescent="0.2">
      <c r="B59" s="52" t="s">
        <v>482</v>
      </c>
      <c r="C59" s="764" t="s">
        <v>419</v>
      </c>
      <c r="D59" s="764"/>
      <c r="E59" s="764"/>
      <c r="F59" s="764"/>
      <c r="G59" s="764"/>
      <c r="H59" s="764"/>
      <c r="I59" s="764"/>
      <c r="J59" s="764"/>
      <c r="K59" s="764"/>
    </row>
    <row r="60" spans="2:13" x14ac:dyDescent="0.2">
      <c r="B60" s="389"/>
      <c r="C60" s="764"/>
      <c r="D60" s="764"/>
      <c r="E60" s="764"/>
      <c r="F60" s="764"/>
      <c r="G60" s="764"/>
      <c r="H60" s="764"/>
      <c r="I60" s="764"/>
      <c r="J60" s="764"/>
      <c r="K60" s="764"/>
    </row>
    <row r="61" spans="2:13" x14ac:dyDescent="0.2">
      <c r="B61" s="389"/>
      <c r="C61" s="764"/>
      <c r="D61" s="764"/>
      <c r="E61" s="764"/>
      <c r="F61" s="764"/>
      <c r="G61" s="764"/>
      <c r="H61" s="764"/>
      <c r="I61" s="764"/>
      <c r="J61" s="764"/>
      <c r="K61" s="764"/>
    </row>
  </sheetData>
  <mergeCells count="9">
    <mergeCell ref="B9:K9"/>
    <mergeCell ref="B10:K10"/>
    <mergeCell ref="B14:B15"/>
    <mergeCell ref="C14:C15"/>
    <mergeCell ref="L14:L15"/>
    <mergeCell ref="B54:J54"/>
    <mergeCell ref="B55:J55"/>
    <mergeCell ref="B56:J57"/>
    <mergeCell ref="C59:K61"/>
  </mergeCells>
  <dataValidations count="2">
    <dataValidation allowBlank="1" showInputMessage="1" showErrorMessage="1" promptTitle="Date Format" prompt="E.g:  &quot;August 1, 2011&quot;" sqref="K7"/>
    <dataValidation type="list" allowBlank="1" showInputMessage="1" showErrorMessage="1" sqref="L16:L49">
      <formula1>"Yes, No"</formula1>
    </dataValidation>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9"/>
  <sheetViews>
    <sheetView showGridLines="0" topLeftCell="A6" zoomScaleNormal="100" workbookViewId="0">
      <selection activeCell="H16" sqref="H16"/>
    </sheetView>
  </sheetViews>
  <sheetFormatPr defaultRowHeight="12.75" x14ac:dyDescent="0.2"/>
  <cols>
    <col min="1" max="1" width="2.42578125" customWidth="1"/>
    <col min="3" max="3" width="26.7109375" customWidth="1"/>
    <col min="4" max="6" width="10.5703125" customWidth="1"/>
    <col min="7" max="14" width="12.7109375" customWidth="1"/>
  </cols>
  <sheetData>
    <row r="1" spans="2:14" x14ac:dyDescent="0.2">
      <c r="N1" s="151" t="s">
        <v>170</v>
      </c>
    </row>
    <row r="2" spans="2:14" x14ac:dyDescent="0.2">
      <c r="N2" s="151" t="s">
        <v>587</v>
      </c>
    </row>
    <row r="3" spans="2:14" x14ac:dyDescent="0.2">
      <c r="N3" s="151" t="s">
        <v>588</v>
      </c>
    </row>
    <row r="4" spans="2:14" x14ac:dyDescent="0.2">
      <c r="N4" s="151" t="s">
        <v>589</v>
      </c>
    </row>
    <row r="5" spans="2:14" x14ac:dyDescent="0.2">
      <c r="N5" s="151" t="s">
        <v>590</v>
      </c>
    </row>
    <row r="7" spans="2:14" x14ac:dyDescent="0.2">
      <c r="N7" s="472"/>
    </row>
    <row r="9" spans="2:14" ht="18" x14ac:dyDescent="0.25">
      <c r="B9" s="659" t="s">
        <v>26</v>
      </c>
      <c r="C9" s="659"/>
      <c r="D9" s="659"/>
      <c r="E9" s="659"/>
      <c r="F9" s="659"/>
      <c r="G9" s="659"/>
      <c r="H9" s="659"/>
      <c r="I9" s="659"/>
      <c r="J9" s="659"/>
      <c r="K9" s="659"/>
      <c r="L9" s="659"/>
      <c r="M9" s="659"/>
      <c r="N9" s="659"/>
    </row>
    <row r="10" spans="2:14" ht="18" x14ac:dyDescent="0.25">
      <c r="B10" s="659" t="s">
        <v>25</v>
      </c>
      <c r="C10" s="659"/>
      <c r="D10" s="659"/>
      <c r="E10" s="659"/>
      <c r="F10" s="659"/>
      <c r="G10" s="659"/>
      <c r="H10" s="659"/>
      <c r="I10" s="659"/>
      <c r="J10" s="659"/>
      <c r="K10" s="659"/>
      <c r="L10" s="659"/>
      <c r="M10" s="659"/>
      <c r="N10" s="659"/>
    </row>
    <row r="12" spans="2:14" ht="24.75" customHeight="1" x14ac:dyDescent="0.2">
      <c r="B12" s="657" t="s">
        <v>429</v>
      </c>
      <c r="C12" s="657"/>
      <c r="D12" s="657"/>
      <c r="E12" s="657"/>
      <c r="F12" s="657"/>
      <c r="G12" s="657"/>
      <c r="H12" s="657"/>
      <c r="I12" s="657"/>
      <c r="J12" s="657"/>
      <c r="K12" s="657"/>
      <c r="L12" s="657"/>
      <c r="M12" s="657"/>
      <c r="N12" s="657"/>
    </row>
    <row r="14" spans="2:14" x14ac:dyDescent="0.2">
      <c r="G14" s="52" t="s">
        <v>27</v>
      </c>
      <c r="H14" s="151">
        <v>2008</v>
      </c>
      <c r="I14" s="623" t="s">
        <v>30</v>
      </c>
    </row>
    <row r="15" spans="2:14" ht="13.5" thickBot="1" x14ac:dyDescent="0.25"/>
    <row r="16" spans="2:14" ht="38.25" x14ac:dyDescent="0.2">
      <c r="B16" s="155" t="s">
        <v>28</v>
      </c>
      <c r="C16" s="156" t="s">
        <v>528</v>
      </c>
      <c r="D16" s="156" t="s">
        <v>526</v>
      </c>
      <c r="E16" s="625" t="s">
        <v>751</v>
      </c>
      <c r="F16" s="625" t="s">
        <v>752</v>
      </c>
      <c r="G16" s="625" t="s">
        <v>786</v>
      </c>
      <c r="H16" s="625" t="s">
        <v>787</v>
      </c>
      <c r="I16" s="160" t="s">
        <v>743</v>
      </c>
      <c r="J16" s="625" t="s">
        <v>723</v>
      </c>
      <c r="K16" s="625" t="s">
        <v>724</v>
      </c>
      <c r="L16" s="160" t="s">
        <v>737</v>
      </c>
      <c r="M16" s="160" t="s">
        <v>738</v>
      </c>
      <c r="N16" s="626" t="s">
        <v>573</v>
      </c>
    </row>
    <row r="17" spans="2:14" x14ac:dyDescent="0.2">
      <c r="B17" s="627">
        <v>1830</v>
      </c>
      <c r="C17" s="622" t="s">
        <v>719</v>
      </c>
      <c r="D17" s="159"/>
      <c r="E17" s="159"/>
      <c r="F17" s="159"/>
      <c r="G17" s="644">
        <f>2266.43+1177.77</f>
        <v>3444.2</v>
      </c>
      <c r="H17" s="644"/>
      <c r="I17" s="644"/>
      <c r="J17" s="644">
        <v>6262</v>
      </c>
      <c r="K17" s="644"/>
      <c r="L17" s="644"/>
      <c r="M17" s="644">
        <v>90728</v>
      </c>
      <c r="N17" s="645">
        <f>SUM(E17:M17)</f>
        <v>100434.2</v>
      </c>
    </row>
    <row r="18" spans="2:14" ht="25.5" x14ac:dyDescent="0.2">
      <c r="B18" s="627">
        <v>1835</v>
      </c>
      <c r="C18" s="622" t="s">
        <v>463</v>
      </c>
      <c r="D18" s="159"/>
      <c r="E18" s="159"/>
      <c r="F18" s="159"/>
      <c r="G18" s="644">
        <f>2819.92+1465.4</f>
        <v>4285.32</v>
      </c>
      <c r="H18" s="644">
        <f>289.87+139.47</f>
        <v>429.34000000000003</v>
      </c>
      <c r="I18" s="644"/>
      <c r="J18" s="644">
        <v>5537</v>
      </c>
      <c r="K18" s="644">
        <v>3162</v>
      </c>
      <c r="L18" s="644"/>
      <c r="M18" s="644">
        <v>189160</v>
      </c>
      <c r="N18" s="645">
        <f t="shared" ref="N18:N33" si="0">SUM(E18:M18)</f>
        <v>202573.66</v>
      </c>
    </row>
    <row r="19" spans="2:14" x14ac:dyDescent="0.2">
      <c r="B19" s="627">
        <v>1840</v>
      </c>
      <c r="C19" s="622" t="s">
        <v>464</v>
      </c>
      <c r="D19" s="159"/>
      <c r="E19" s="159"/>
      <c r="F19" s="159"/>
      <c r="G19" s="644">
        <f>85581.85+44473.43</f>
        <v>130055.28</v>
      </c>
      <c r="H19" s="644">
        <f>2409.33+1159.24</f>
        <v>3568.5699999999997</v>
      </c>
      <c r="I19" s="644">
        <f>664.28+495.59</f>
        <v>1159.8699999999999</v>
      </c>
      <c r="J19" s="644">
        <v>6221</v>
      </c>
      <c r="K19" s="644">
        <v>27745</v>
      </c>
      <c r="L19" s="644"/>
      <c r="M19" s="644">
        <v>48281</v>
      </c>
      <c r="N19" s="645">
        <f t="shared" si="0"/>
        <v>217030.72</v>
      </c>
    </row>
    <row r="20" spans="2:14" ht="25.5" x14ac:dyDescent="0.2">
      <c r="B20" s="627">
        <v>1845</v>
      </c>
      <c r="C20" s="622" t="s">
        <v>465</v>
      </c>
      <c r="D20" s="159"/>
      <c r="E20" s="159"/>
      <c r="F20" s="159"/>
      <c r="G20" s="644">
        <f>19936.54+10360.21</f>
        <v>30296.75</v>
      </c>
      <c r="H20" s="644">
        <f>9010.3+4335.27</f>
        <v>13345.57</v>
      </c>
      <c r="I20" s="644">
        <f>5841.19+4357.89</f>
        <v>10199.08</v>
      </c>
      <c r="J20" s="644">
        <v>12265</v>
      </c>
      <c r="K20" s="644">
        <v>26345</v>
      </c>
      <c r="L20" s="644"/>
      <c r="M20" s="644">
        <v>34092</v>
      </c>
      <c r="N20" s="645">
        <f t="shared" si="0"/>
        <v>126543.4</v>
      </c>
    </row>
    <row r="21" spans="2:14" x14ac:dyDescent="0.2">
      <c r="B21" s="627">
        <v>1850</v>
      </c>
      <c r="C21" s="622" t="s">
        <v>541</v>
      </c>
      <c r="D21" s="159"/>
      <c r="E21" s="159"/>
      <c r="F21" s="159"/>
      <c r="G21" s="644"/>
      <c r="H21" s="644">
        <f>24318.02+11700.51</f>
        <v>36018.53</v>
      </c>
      <c r="I21" s="644">
        <f>5961.8+4447.87</f>
        <v>10409.67</v>
      </c>
      <c r="J21" s="644">
        <v>7534</v>
      </c>
      <c r="K21" s="644">
        <v>18968</v>
      </c>
      <c r="L21" s="644">
        <v>158598</v>
      </c>
      <c r="M21" s="644"/>
      <c r="N21" s="645">
        <f t="shared" si="0"/>
        <v>231528.2</v>
      </c>
    </row>
    <row r="22" spans="2:14" x14ac:dyDescent="0.2">
      <c r="B22" s="627">
        <v>1855</v>
      </c>
      <c r="C22" s="622" t="s">
        <v>720</v>
      </c>
      <c r="D22" s="159"/>
      <c r="E22" s="159"/>
      <c r="F22" s="159"/>
      <c r="G22" s="644">
        <f>1938.28+1007.25</f>
        <v>2945.5299999999997</v>
      </c>
      <c r="H22" s="644">
        <f>3050.68+1467.82</f>
        <v>4518.5</v>
      </c>
      <c r="I22" s="644">
        <f>7069.06+5273.95</f>
        <v>12343.01</v>
      </c>
      <c r="J22" s="644"/>
      <c r="K22" s="644"/>
      <c r="L22" s="644"/>
      <c r="M22" s="644">
        <v>79946</v>
      </c>
      <c r="N22" s="645">
        <f t="shared" si="0"/>
        <v>99753.040000000008</v>
      </c>
    </row>
    <row r="23" spans="2:14" x14ac:dyDescent="0.2">
      <c r="B23" s="627">
        <v>1860</v>
      </c>
      <c r="C23" s="573" t="s">
        <v>542</v>
      </c>
      <c r="D23" s="159"/>
      <c r="E23" s="159"/>
      <c r="F23" s="159"/>
      <c r="G23" s="644">
        <f>2531.7+1315.62</f>
        <v>3847.3199999999997</v>
      </c>
      <c r="H23" s="644"/>
      <c r="I23" s="644">
        <f>780.45+582.27</f>
        <v>1362.72</v>
      </c>
      <c r="J23" s="644"/>
      <c r="K23" s="644"/>
      <c r="L23" s="644">
        <v>125941</v>
      </c>
      <c r="M23" s="644"/>
      <c r="N23" s="645">
        <f t="shared" si="0"/>
        <v>131151.04000000001</v>
      </c>
    </row>
    <row r="24" spans="2:14" x14ac:dyDescent="0.2">
      <c r="B24" s="627">
        <v>1906</v>
      </c>
      <c r="C24" s="650" t="s">
        <v>545</v>
      </c>
      <c r="D24" s="159"/>
      <c r="E24" s="159"/>
      <c r="F24" s="159"/>
      <c r="G24" s="644"/>
      <c r="H24" s="644"/>
      <c r="I24" s="644"/>
      <c r="J24" s="644"/>
      <c r="K24" s="644"/>
      <c r="L24" s="644">
        <v>400</v>
      </c>
      <c r="M24" s="644"/>
      <c r="N24" s="645">
        <f t="shared" si="0"/>
        <v>400</v>
      </c>
    </row>
    <row r="25" spans="2:14" x14ac:dyDescent="0.2">
      <c r="B25" s="627">
        <v>1908</v>
      </c>
      <c r="C25" s="573" t="s">
        <v>546</v>
      </c>
      <c r="D25" s="159"/>
      <c r="E25" s="159"/>
      <c r="F25" s="159"/>
      <c r="G25" s="644"/>
      <c r="H25" s="644"/>
      <c r="I25" s="644"/>
      <c r="J25" s="644"/>
      <c r="K25" s="644"/>
      <c r="L25" s="644">
        <v>11500</v>
      </c>
      <c r="M25" s="644"/>
      <c r="N25" s="645">
        <f t="shared" si="0"/>
        <v>11500</v>
      </c>
    </row>
    <row r="26" spans="2:14" x14ac:dyDescent="0.2">
      <c r="B26" s="627">
        <v>1915</v>
      </c>
      <c r="C26" s="573" t="s">
        <v>750</v>
      </c>
      <c r="D26" s="159"/>
      <c r="E26" s="159"/>
      <c r="F26" s="159"/>
      <c r="G26" s="644"/>
      <c r="H26" s="644"/>
      <c r="I26" s="644"/>
      <c r="J26" s="644"/>
      <c r="K26" s="644"/>
      <c r="L26" s="644">
        <v>2025</v>
      </c>
      <c r="M26" s="644"/>
      <c r="N26" s="645">
        <f t="shared" si="0"/>
        <v>2025</v>
      </c>
    </row>
    <row r="27" spans="2:14" x14ac:dyDescent="0.2">
      <c r="B27" s="627">
        <v>1920</v>
      </c>
      <c r="C27" s="573" t="s">
        <v>730</v>
      </c>
      <c r="D27" s="159"/>
      <c r="E27" s="159"/>
      <c r="F27" s="159"/>
      <c r="G27" s="644"/>
      <c r="H27" s="644"/>
      <c r="I27" s="644"/>
      <c r="J27" s="644"/>
      <c r="K27" s="644"/>
      <c r="L27" s="644">
        <v>17819</v>
      </c>
      <c r="M27" s="644"/>
      <c r="N27" s="645">
        <f t="shared" si="0"/>
        <v>17819</v>
      </c>
    </row>
    <row r="28" spans="2:14" x14ac:dyDescent="0.2">
      <c r="B28" s="627">
        <v>1925</v>
      </c>
      <c r="C28" s="573" t="s">
        <v>563</v>
      </c>
      <c r="D28" s="159"/>
      <c r="E28" s="628">
        <v>90054</v>
      </c>
      <c r="F28" s="628"/>
      <c r="G28" s="644"/>
      <c r="H28" s="644"/>
      <c r="I28" s="644"/>
      <c r="J28" s="644"/>
      <c r="K28" s="644"/>
      <c r="L28" s="644"/>
      <c r="M28" s="644"/>
      <c r="N28" s="645">
        <f t="shared" si="0"/>
        <v>90054</v>
      </c>
    </row>
    <row r="29" spans="2:14" x14ac:dyDescent="0.2">
      <c r="B29" s="627">
        <v>1930</v>
      </c>
      <c r="C29" s="573" t="s">
        <v>721</v>
      </c>
      <c r="D29" s="159"/>
      <c r="E29" s="628"/>
      <c r="F29" s="628">
        <v>63307</v>
      </c>
      <c r="G29" s="644"/>
      <c r="H29" s="644"/>
      <c r="I29" s="644"/>
      <c r="J29" s="644"/>
      <c r="K29" s="644"/>
      <c r="L29" s="644"/>
      <c r="M29" s="644"/>
      <c r="N29" s="645">
        <f t="shared" si="0"/>
        <v>63307</v>
      </c>
    </row>
    <row r="30" spans="2:14" x14ac:dyDescent="0.2">
      <c r="B30" s="627">
        <v>1940</v>
      </c>
      <c r="C30" s="573" t="s">
        <v>722</v>
      </c>
      <c r="D30" s="159"/>
      <c r="E30" s="159"/>
      <c r="F30" s="159"/>
      <c r="G30" s="644"/>
      <c r="H30" s="644"/>
      <c r="I30" s="644"/>
      <c r="J30" s="644"/>
      <c r="K30" s="644"/>
      <c r="L30" s="644">
        <v>39335</v>
      </c>
      <c r="M30" s="644"/>
      <c r="N30" s="645">
        <f t="shared" si="0"/>
        <v>39335</v>
      </c>
    </row>
    <row r="31" spans="2:14" x14ac:dyDescent="0.2">
      <c r="B31" s="631">
        <v>1985</v>
      </c>
      <c r="C31" s="651" t="s">
        <v>754</v>
      </c>
      <c r="D31" s="159"/>
      <c r="E31" s="159"/>
      <c r="F31" s="159"/>
      <c r="G31" s="644"/>
      <c r="H31" s="644"/>
      <c r="I31" s="644"/>
      <c r="J31" s="644"/>
      <c r="K31" s="644"/>
      <c r="L31" s="644"/>
      <c r="M31" s="644"/>
      <c r="N31" s="645">
        <f t="shared" si="0"/>
        <v>0</v>
      </c>
    </row>
    <row r="32" spans="2:14" ht="26.25" thickBot="1" x14ac:dyDescent="0.25">
      <c r="B32" s="631">
        <v>1995</v>
      </c>
      <c r="C32" s="633" t="s">
        <v>29</v>
      </c>
      <c r="D32" s="159"/>
      <c r="E32" s="159"/>
      <c r="F32" s="159"/>
      <c r="G32" s="644">
        <v>-156392</v>
      </c>
      <c r="H32" s="644"/>
      <c r="I32" s="644"/>
      <c r="J32" s="644"/>
      <c r="K32" s="644"/>
      <c r="L32" s="644">
        <v>20705</v>
      </c>
      <c r="M32" s="644"/>
      <c r="N32" s="645">
        <f t="shared" si="0"/>
        <v>-135687</v>
      </c>
    </row>
    <row r="33" spans="2:14" ht="14.25" thickTop="1" thickBot="1" x14ac:dyDescent="0.25">
      <c r="B33" s="631"/>
      <c r="C33" s="634"/>
      <c r="D33" s="171"/>
      <c r="E33" s="647"/>
      <c r="F33" s="647"/>
      <c r="G33" s="648"/>
      <c r="H33" s="649"/>
      <c r="I33" s="648"/>
      <c r="J33" s="648"/>
      <c r="K33" s="648"/>
      <c r="L33" s="648"/>
      <c r="M33" s="648"/>
      <c r="N33" s="645">
        <f t="shared" si="0"/>
        <v>0</v>
      </c>
    </row>
    <row r="34" spans="2:14" ht="14.25" thickTop="1" thickBot="1" x14ac:dyDescent="0.25">
      <c r="B34" s="638" t="s">
        <v>573</v>
      </c>
      <c r="C34" s="639"/>
      <c r="D34" s="639"/>
      <c r="E34" s="640">
        <f t="shared" ref="E34:M34" si="1">SUM(E17:E33)</f>
        <v>90054</v>
      </c>
      <c r="F34" s="640">
        <f t="shared" si="1"/>
        <v>63307</v>
      </c>
      <c r="G34" s="640">
        <f t="shared" si="1"/>
        <v>18482.399999999994</v>
      </c>
      <c r="H34" s="641">
        <f t="shared" si="1"/>
        <v>57880.509999999995</v>
      </c>
      <c r="I34" s="640">
        <f t="shared" si="1"/>
        <v>35474.350000000006</v>
      </c>
      <c r="J34" s="640">
        <f t="shared" si="1"/>
        <v>37819</v>
      </c>
      <c r="K34" s="640">
        <f t="shared" si="1"/>
        <v>76220</v>
      </c>
      <c r="L34" s="640">
        <f t="shared" si="1"/>
        <v>376323</v>
      </c>
      <c r="M34" s="640">
        <f t="shared" si="1"/>
        <v>442207</v>
      </c>
      <c r="N34" s="642">
        <f>SUM(E34:M34)</f>
        <v>1197767.26</v>
      </c>
    </row>
    <row r="39" spans="2:14" x14ac:dyDescent="0.2">
      <c r="B39" s="52" t="s">
        <v>562</v>
      </c>
    </row>
  </sheetData>
  <mergeCells count="3">
    <mergeCell ref="B9:N9"/>
    <mergeCell ref="B10:N10"/>
    <mergeCell ref="B12:N12"/>
  </mergeCells>
  <dataValidations count="1">
    <dataValidation allowBlank="1" showInputMessage="1" showErrorMessage="1" promptTitle="Date Format" prompt="E.g:  &quot;August 1, 2011&quot;" sqref="N7"/>
  </dataValidations>
  <pageMargins left="0.75" right="0.75" top="1" bottom="1" header="0.5" footer="0.5"/>
  <pageSetup scale="72"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fitToPage="1"/>
  </sheetPr>
  <dimension ref="B1:Q39"/>
  <sheetViews>
    <sheetView showGridLines="0" topLeftCell="A11" zoomScaleNormal="100" workbookViewId="0">
      <selection activeCell="AA18" sqref="AA18:AD22"/>
    </sheetView>
  </sheetViews>
  <sheetFormatPr defaultRowHeight="12.75" x14ac:dyDescent="0.2"/>
  <cols>
    <col min="1" max="1" width="2.85546875" customWidth="1"/>
    <col min="2" max="2" width="6.42578125" customWidth="1"/>
    <col min="3" max="3" width="3.85546875" customWidth="1"/>
    <col min="4" max="4" width="16.5703125" customWidth="1"/>
    <col min="5" max="5" width="3" customWidth="1"/>
    <col min="6" max="6" width="11.140625" customWidth="1"/>
    <col min="7" max="7" width="1.42578125" customWidth="1"/>
    <col min="8" max="8" width="3.42578125" customWidth="1"/>
    <col min="9" max="9" width="1.42578125" customWidth="1"/>
    <col min="10" max="10" width="12.5703125" customWidth="1"/>
    <col min="11" max="11" width="3.28515625" customWidth="1"/>
    <col min="12" max="12" width="12.85546875" customWidth="1"/>
    <col min="13" max="13" width="1.42578125" customWidth="1"/>
    <col min="14" max="14" width="3.5703125" customWidth="1"/>
    <col min="15" max="15" width="1.7109375" customWidth="1"/>
    <col min="16" max="16" width="14" customWidth="1"/>
    <col min="17" max="17" width="2.140625" customWidth="1"/>
  </cols>
  <sheetData>
    <row r="1" spans="2:17" x14ac:dyDescent="0.2">
      <c r="L1" s="52" t="s">
        <v>581</v>
      </c>
      <c r="P1" s="151" t="s">
        <v>170</v>
      </c>
    </row>
    <row r="2" spans="2:17" x14ac:dyDescent="0.2">
      <c r="L2" s="52" t="s">
        <v>582</v>
      </c>
      <c r="P2" s="151" t="s">
        <v>587</v>
      </c>
    </row>
    <row r="3" spans="2:17" x14ac:dyDescent="0.2">
      <c r="L3" s="52" t="s">
        <v>583</v>
      </c>
      <c r="P3" s="151" t="s">
        <v>588</v>
      </c>
    </row>
    <row r="4" spans="2:17" x14ac:dyDescent="0.2">
      <c r="L4" s="52" t="s">
        <v>584</v>
      </c>
      <c r="P4" s="151" t="s">
        <v>589</v>
      </c>
    </row>
    <row r="5" spans="2:17" x14ac:dyDescent="0.2">
      <c r="L5" s="52" t="s">
        <v>585</v>
      </c>
      <c r="P5" s="151" t="s">
        <v>590</v>
      </c>
    </row>
    <row r="6" spans="2:17" x14ac:dyDescent="0.2">
      <c r="L6" s="52"/>
    </row>
    <row r="7" spans="2:17" x14ac:dyDescent="0.2">
      <c r="L7" s="52" t="s">
        <v>586</v>
      </c>
      <c r="P7" s="472"/>
    </row>
    <row r="10" spans="2:17" ht="18" x14ac:dyDescent="0.25">
      <c r="D10" s="659" t="s">
        <v>42</v>
      </c>
      <c r="E10" s="659"/>
      <c r="F10" s="659"/>
      <c r="G10" s="659"/>
      <c r="H10" s="659"/>
      <c r="I10" s="659"/>
      <c r="J10" s="659"/>
      <c r="K10" s="659"/>
      <c r="L10" s="659"/>
      <c r="M10" s="659"/>
      <c r="N10" s="659"/>
      <c r="O10" s="659"/>
      <c r="P10" s="659"/>
    </row>
    <row r="11" spans="2:17" ht="18" x14ac:dyDescent="0.2">
      <c r="B11" s="9"/>
      <c r="C11" s="9"/>
      <c r="D11" s="769" t="s">
        <v>591</v>
      </c>
      <c r="E11" s="769"/>
      <c r="F11" s="769"/>
      <c r="G11" s="769"/>
      <c r="H11" s="769"/>
      <c r="I11" s="769"/>
      <c r="J11" s="769"/>
      <c r="K11" s="769"/>
      <c r="L11" s="769"/>
      <c r="M11" s="769"/>
      <c r="N11" s="769"/>
      <c r="O11" s="769"/>
      <c r="P11" s="769"/>
    </row>
    <row r="12" spans="2:17" x14ac:dyDescent="0.2">
      <c r="B12" s="9"/>
      <c r="C12" s="9"/>
      <c r="D12" s="9"/>
      <c r="E12" s="9"/>
      <c r="F12" s="9"/>
      <c r="G12" s="9"/>
      <c r="H12" s="9"/>
      <c r="I12" s="9"/>
      <c r="J12" s="9"/>
      <c r="K12" s="9"/>
      <c r="L12" s="9"/>
      <c r="M12" s="9"/>
      <c r="N12" s="9"/>
      <c r="O12" s="9"/>
      <c r="P12" s="9"/>
    </row>
    <row r="13" spans="2:17" x14ac:dyDescent="0.2">
      <c r="B13" s="770" t="s">
        <v>592</v>
      </c>
      <c r="C13" s="10"/>
      <c r="D13" s="10"/>
      <c r="E13" s="10"/>
      <c r="F13" s="10"/>
      <c r="G13" s="10"/>
      <c r="H13" s="10"/>
      <c r="I13" s="10"/>
      <c r="J13" s="10"/>
      <c r="K13" s="10"/>
      <c r="L13" s="10"/>
      <c r="M13" s="10"/>
      <c r="N13" s="10"/>
      <c r="O13" s="10"/>
      <c r="P13" s="10"/>
    </row>
    <row r="14" spans="2:17" x14ac:dyDescent="0.2">
      <c r="B14" s="771"/>
      <c r="C14" s="10"/>
      <c r="D14" s="11" t="s">
        <v>593</v>
      </c>
      <c r="E14" s="10"/>
      <c r="F14" s="772" t="s">
        <v>594</v>
      </c>
      <c r="G14" s="772"/>
      <c r="H14" s="772"/>
      <c r="I14" s="772"/>
      <c r="J14" s="772"/>
      <c r="K14" s="12"/>
      <c r="L14" s="11" t="s">
        <v>595</v>
      </c>
      <c r="M14" s="57"/>
      <c r="N14" s="10"/>
      <c r="O14" s="10"/>
      <c r="P14" s="11" t="s">
        <v>596</v>
      </c>
    </row>
    <row r="15" spans="2:17" x14ac:dyDescent="0.2">
      <c r="B15" s="13"/>
      <c r="C15" s="10"/>
      <c r="D15" s="10"/>
      <c r="E15" s="10"/>
      <c r="F15" s="10"/>
      <c r="G15" s="10"/>
      <c r="H15" s="10"/>
      <c r="I15" s="10"/>
      <c r="J15" s="14"/>
      <c r="K15" s="14"/>
      <c r="L15" s="10"/>
      <c r="M15" s="10"/>
      <c r="N15" s="10"/>
      <c r="O15" s="10"/>
      <c r="P15" s="10"/>
    </row>
    <row r="16" spans="2:17" x14ac:dyDescent="0.2">
      <c r="B16" s="59"/>
      <c r="C16" s="60"/>
      <c r="D16" s="60"/>
      <c r="E16" s="60"/>
      <c r="F16" s="60"/>
      <c r="G16" s="60"/>
      <c r="H16" s="60"/>
      <c r="I16" s="60"/>
      <c r="J16" s="61"/>
      <c r="K16" s="61"/>
      <c r="L16" s="60"/>
      <c r="M16" s="60"/>
      <c r="N16" s="60"/>
      <c r="O16" s="60"/>
      <c r="P16" s="60"/>
      <c r="Q16" s="62"/>
    </row>
    <row r="17" spans="2:17" x14ac:dyDescent="0.2">
      <c r="B17" s="63"/>
      <c r="C17" s="15"/>
      <c r="D17" s="774" t="s">
        <v>597</v>
      </c>
      <c r="E17" s="775"/>
      <c r="F17" s="775"/>
      <c r="G17" s="775"/>
      <c r="H17" s="775"/>
      <c r="I17" s="775"/>
      <c r="J17" s="775"/>
      <c r="K17" s="775"/>
      <c r="L17" s="775"/>
      <c r="M17" s="775"/>
      <c r="N17" s="775"/>
      <c r="O17" s="775"/>
      <c r="P17" s="776"/>
      <c r="Q17" s="64"/>
    </row>
    <row r="18" spans="2:17" x14ac:dyDescent="0.2">
      <c r="B18" s="63"/>
      <c r="C18" s="10"/>
      <c r="D18" s="10"/>
      <c r="E18" s="10"/>
      <c r="F18" s="75" t="s">
        <v>598</v>
      </c>
      <c r="G18" s="16"/>
      <c r="H18" s="16"/>
      <c r="I18" s="16"/>
      <c r="J18" s="75" t="s">
        <v>599</v>
      </c>
      <c r="K18" s="10"/>
      <c r="L18" s="75" t="s">
        <v>598</v>
      </c>
      <c r="M18" s="16"/>
      <c r="N18" s="10"/>
      <c r="O18" s="10"/>
      <c r="P18" s="14" t="s">
        <v>599</v>
      </c>
      <c r="Q18" s="64"/>
    </row>
    <row r="19" spans="2:17" x14ac:dyDescent="0.2">
      <c r="B19" s="63"/>
      <c r="C19" s="10"/>
      <c r="D19" s="522" t="s">
        <v>600</v>
      </c>
      <c r="E19" s="10"/>
      <c r="F19" s="10"/>
      <c r="G19" s="10"/>
      <c r="H19" s="10"/>
      <c r="I19" s="10"/>
      <c r="J19" s="10"/>
      <c r="K19" s="10"/>
      <c r="L19" s="10"/>
      <c r="M19" s="10"/>
      <c r="N19" s="10"/>
      <c r="O19" s="10"/>
      <c r="P19" s="10"/>
      <c r="Q19" s="64"/>
    </row>
    <row r="20" spans="2:17" x14ac:dyDescent="0.2">
      <c r="B20" s="63">
        <v>1</v>
      </c>
      <c r="C20" s="10"/>
      <c r="D20" s="17" t="s">
        <v>601</v>
      </c>
      <c r="E20" s="10"/>
      <c r="F20" s="35">
        <f>'[1]Debt &amp; Capital Structure'!$E$135</f>
        <v>0.56000000000000005</v>
      </c>
      <c r="G20" s="55"/>
      <c r="H20" s="67"/>
      <c r="I20" s="68"/>
      <c r="J20" s="36">
        <f>$J$29*F20</f>
        <v>7429012.4758575009</v>
      </c>
      <c r="K20" s="10"/>
      <c r="L20" s="35">
        <f>'[1]Debt &amp; Capital Structure'!$F$135</f>
        <v>2.71208E-2</v>
      </c>
      <c r="M20" s="55"/>
      <c r="N20" s="67"/>
      <c r="O20" s="68"/>
      <c r="P20" s="36">
        <f>L20*J20</f>
        <v>201480.76155523612</v>
      </c>
      <c r="Q20" s="64"/>
    </row>
    <row r="21" spans="2:17" x14ac:dyDescent="0.2">
      <c r="B21" s="63">
        <v>2</v>
      </c>
      <c r="C21" s="10"/>
      <c r="D21" s="17" t="s">
        <v>602</v>
      </c>
      <c r="E21" s="10"/>
      <c r="F21" s="37">
        <f>'[1]Debt &amp; Capital Structure'!$E$136</f>
        <v>0.04</v>
      </c>
      <c r="G21" s="55"/>
      <c r="H21" s="69" t="s">
        <v>603</v>
      </c>
      <c r="I21" s="69"/>
      <c r="J21" s="38">
        <f>$J$29*F21</f>
        <v>530643.74827553576</v>
      </c>
      <c r="K21" s="10"/>
      <c r="L21" s="35">
        <f>'[1]Debt &amp; Capital Structure'!$F$136</f>
        <v>2.0799999999999999E-2</v>
      </c>
      <c r="M21" s="55"/>
      <c r="N21" s="67"/>
      <c r="O21" s="68"/>
      <c r="P21" s="38">
        <f>L21*J21</f>
        <v>11037.389964131144</v>
      </c>
      <c r="Q21" s="64"/>
    </row>
    <row r="22" spans="2:17" ht="13.5" thickBot="1" x14ac:dyDescent="0.25">
      <c r="B22" s="63">
        <v>3</v>
      </c>
      <c r="C22" s="10"/>
      <c r="D22" s="74" t="s">
        <v>604</v>
      </c>
      <c r="E22" s="10"/>
      <c r="F22" s="39">
        <f>SUM(F20:F21)</f>
        <v>0.60000000000000009</v>
      </c>
      <c r="G22" s="53"/>
      <c r="H22" s="39"/>
      <c r="I22" s="53"/>
      <c r="J22" s="40">
        <f>SUM(J20:J21)</f>
        <v>7959656.224133037</v>
      </c>
      <c r="K22" s="10"/>
      <c r="L22" s="41">
        <f>IF(F22=0,0,SUMPRODUCT(F20:F21,L20:L21)/F22)</f>
        <v>2.6699413333333331E-2</v>
      </c>
      <c r="M22" s="55"/>
      <c r="N22" s="58"/>
      <c r="O22" s="58"/>
      <c r="P22" s="40">
        <f>SUM(P20:P21)</f>
        <v>212518.15151936727</v>
      </c>
      <c r="Q22" s="64"/>
    </row>
    <row r="23" spans="2:17" ht="13.5" thickTop="1" x14ac:dyDescent="0.2">
      <c r="B23" s="63"/>
      <c r="C23" s="10"/>
      <c r="D23" s="10"/>
      <c r="E23" s="10"/>
      <c r="F23" s="42"/>
      <c r="G23" s="54"/>
      <c r="H23" s="42"/>
      <c r="I23" s="54"/>
      <c r="J23" s="19"/>
      <c r="K23" s="10"/>
      <c r="L23" s="43"/>
      <c r="M23" s="55"/>
      <c r="N23" s="58"/>
      <c r="O23" s="58"/>
      <c r="P23" s="19"/>
      <c r="Q23" s="64"/>
    </row>
    <row r="24" spans="2:17" x14ac:dyDescent="0.2">
      <c r="B24" s="63"/>
      <c r="C24" s="10"/>
      <c r="D24" s="522" t="s">
        <v>605</v>
      </c>
      <c r="E24" s="10"/>
      <c r="F24" s="42"/>
      <c r="G24" s="54"/>
      <c r="H24" s="42"/>
      <c r="I24" s="54"/>
      <c r="J24" s="19"/>
      <c r="K24" s="10"/>
      <c r="L24" s="43"/>
      <c r="M24" s="55"/>
      <c r="N24" s="58"/>
      <c r="O24" s="58"/>
      <c r="P24" s="19"/>
      <c r="Q24" s="64"/>
    </row>
    <row r="25" spans="2:17" x14ac:dyDescent="0.2">
      <c r="B25" s="70">
        <v>4</v>
      </c>
      <c r="C25" s="20"/>
      <c r="D25" s="21" t="s">
        <v>606</v>
      </c>
      <c r="E25" s="20"/>
      <c r="F25" s="44">
        <f>'[1]Debt &amp; Capital Structure'!$E$139</f>
        <v>0.4</v>
      </c>
      <c r="G25" s="56"/>
      <c r="H25" s="67"/>
      <c r="I25" s="68"/>
      <c r="J25" s="45">
        <f>$J$29*F25</f>
        <v>5306437.4827553574</v>
      </c>
      <c r="K25" s="20"/>
      <c r="L25" s="44">
        <f>'[1]Debt &amp; Capital Structure'!$F$139</f>
        <v>9.1200000000000003E-2</v>
      </c>
      <c r="M25" s="56"/>
      <c r="N25" s="67"/>
      <c r="O25" s="68"/>
      <c r="P25" s="45">
        <f>L25*J25</f>
        <v>483947.09842728858</v>
      </c>
      <c r="Q25" s="64"/>
    </row>
    <row r="26" spans="2:17" x14ac:dyDescent="0.2">
      <c r="B26" s="70">
        <v>5</v>
      </c>
      <c r="C26" s="20"/>
      <c r="D26" s="21" t="s">
        <v>607</v>
      </c>
      <c r="E26" s="20"/>
      <c r="F26" s="46"/>
      <c r="G26" s="56"/>
      <c r="H26" s="67"/>
      <c r="I26" s="68"/>
      <c r="J26" s="47">
        <f>$J$29*F26</f>
        <v>0</v>
      </c>
      <c r="K26" s="20"/>
      <c r="L26" s="46"/>
      <c r="M26" s="56"/>
      <c r="N26" s="67"/>
      <c r="O26" s="68"/>
      <c r="P26" s="47">
        <f>L26*J26</f>
        <v>0</v>
      </c>
      <c r="Q26" s="64"/>
    </row>
    <row r="27" spans="2:17" ht="13.5" thickBot="1" x14ac:dyDescent="0.25">
      <c r="B27" s="63">
        <v>6</v>
      </c>
      <c r="C27" s="10"/>
      <c r="D27" s="74" t="s">
        <v>608</v>
      </c>
      <c r="E27" s="10"/>
      <c r="F27" s="39">
        <f>SUM(F25:F26)</f>
        <v>0.4</v>
      </c>
      <c r="G27" s="39"/>
      <c r="H27" s="39"/>
      <c r="I27" s="53"/>
      <c r="J27" s="40">
        <f>SUM(J25:J26)</f>
        <v>5306437.4827553574</v>
      </c>
      <c r="K27" s="10"/>
      <c r="L27" s="41">
        <f>IF(F27=0,0,SUMPRODUCT(F25:F26,L25:L26)/F27)</f>
        <v>9.1200000000000003E-2</v>
      </c>
      <c r="M27" s="55"/>
      <c r="N27" s="58"/>
      <c r="O27" s="58"/>
      <c r="P27" s="40">
        <f>SUM(P25:P26)</f>
        <v>483947.09842728858</v>
      </c>
      <c r="Q27" s="64"/>
    </row>
    <row r="28" spans="2:17" ht="13.5" thickTop="1" x14ac:dyDescent="0.2">
      <c r="B28" s="63"/>
      <c r="C28" s="10"/>
      <c r="D28" s="10"/>
      <c r="E28" s="10"/>
      <c r="F28" s="10"/>
      <c r="G28" s="10"/>
      <c r="H28" s="10"/>
      <c r="I28" s="10"/>
      <c r="J28" s="19"/>
      <c r="K28" s="10"/>
      <c r="L28" s="43"/>
      <c r="M28" s="43"/>
      <c r="N28" s="58"/>
      <c r="O28" s="58"/>
      <c r="P28" s="19"/>
      <c r="Q28" s="64"/>
    </row>
    <row r="29" spans="2:17" ht="13.5" thickBot="1" x14ac:dyDescent="0.25">
      <c r="B29" s="63">
        <v>7</v>
      </c>
      <c r="C29" s="10"/>
      <c r="D29" s="522" t="s">
        <v>573</v>
      </c>
      <c r="E29" s="10"/>
      <c r="F29" s="22">
        <v>1</v>
      </c>
      <c r="G29" s="22"/>
      <c r="H29" s="23"/>
      <c r="I29" s="23"/>
      <c r="J29" s="48">
        <f>'[1]Debt &amp; Capital Structure'!$D$142</f>
        <v>13266093.706888393</v>
      </c>
      <c r="K29" s="10"/>
      <c r="L29" s="49">
        <f>(L22*F22)+(L27*F27)</f>
        <v>5.249964800000001E-2</v>
      </c>
      <c r="M29" s="43"/>
      <c r="N29" s="10"/>
      <c r="O29" s="10"/>
      <c r="P29" s="50">
        <f>P22+P27</f>
        <v>696465.24994665582</v>
      </c>
      <c r="Q29" s="64"/>
    </row>
    <row r="30" spans="2:17" ht="13.5" thickTop="1" x14ac:dyDescent="0.2">
      <c r="B30" s="71"/>
      <c r="C30" s="72"/>
      <c r="D30" s="72"/>
      <c r="E30" s="72"/>
      <c r="F30" s="72"/>
      <c r="G30" s="72"/>
      <c r="H30" s="72"/>
      <c r="I30" s="72"/>
      <c r="J30" s="72"/>
      <c r="K30" s="72"/>
      <c r="L30" s="72"/>
      <c r="M30" s="72"/>
      <c r="N30" s="72"/>
      <c r="O30" s="72"/>
      <c r="P30" s="72"/>
      <c r="Q30" s="73"/>
    </row>
    <row r="31" spans="2:17" x14ac:dyDescent="0.2">
      <c r="B31" s="74"/>
      <c r="C31" s="10"/>
      <c r="D31" s="10"/>
      <c r="E31" s="10"/>
      <c r="F31" s="10"/>
      <c r="G31" s="10"/>
      <c r="H31" s="10"/>
      <c r="I31" s="10"/>
      <c r="J31" s="10"/>
      <c r="K31" s="10"/>
      <c r="L31" s="10"/>
      <c r="M31" s="10"/>
      <c r="N31" s="10"/>
      <c r="O31" s="10"/>
      <c r="P31" s="10"/>
      <c r="Q31" s="3"/>
    </row>
    <row r="32" spans="2:17" x14ac:dyDescent="0.2">
      <c r="B32" s="777" t="s">
        <v>609</v>
      </c>
      <c r="C32" s="777"/>
      <c r="D32" s="777"/>
      <c r="E32" s="777"/>
      <c r="F32" s="777"/>
      <c r="G32" s="777"/>
      <c r="H32" s="777"/>
      <c r="I32" s="777"/>
      <c r="J32" s="777"/>
      <c r="K32" s="777"/>
      <c r="L32" s="777"/>
      <c r="M32" s="777"/>
      <c r="N32" s="777"/>
      <c r="O32" s="777"/>
      <c r="P32" s="777"/>
    </row>
    <row r="33" spans="2:16" x14ac:dyDescent="0.2">
      <c r="B33" s="24" t="s">
        <v>603</v>
      </c>
      <c r="C33" s="9"/>
      <c r="D33" s="778" t="s">
        <v>548</v>
      </c>
      <c r="E33" s="778"/>
      <c r="F33" s="778"/>
      <c r="G33" s="778"/>
      <c r="H33" s="778"/>
      <c r="I33" s="778"/>
      <c r="J33" s="778"/>
      <c r="K33" s="778"/>
      <c r="L33" s="778"/>
      <c r="M33" s="778"/>
      <c r="N33" s="778"/>
      <c r="O33" s="778"/>
      <c r="P33" s="778"/>
    </row>
    <row r="34" spans="2:16" x14ac:dyDescent="0.2">
      <c r="B34" s="18"/>
      <c r="C34" s="9"/>
      <c r="D34" s="773"/>
      <c r="E34" s="773"/>
      <c r="F34" s="773"/>
      <c r="G34" s="773"/>
      <c r="H34" s="773"/>
      <c r="I34" s="773"/>
      <c r="J34" s="773"/>
      <c r="K34" s="773"/>
      <c r="L34" s="773"/>
      <c r="M34" s="773"/>
      <c r="N34" s="773"/>
      <c r="O34" s="773"/>
      <c r="P34" s="773"/>
    </row>
    <row r="35" spans="2:16" x14ac:dyDescent="0.2">
      <c r="B35" s="18"/>
      <c r="C35" s="9"/>
      <c r="D35" s="773"/>
      <c r="E35" s="773"/>
      <c r="F35" s="773"/>
      <c r="G35" s="773"/>
      <c r="H35" s="773"/>
      <c r="I35" s="773"/>
      <c r="J35" s="773"/>
      <c r="K35" s="773"/>
      <c r="L35" s="773"/>
      <c r="M35" s="773"/>
      <c r="N35" s="773"/>
      <c r="O35" s="773"/>
      <c r="P35" s="773"/>
    </row>
    <row r="36" spans="2:16" x14ac:dyDescent="0.2">
      <c r="B36" s="18"/>
      <c r="C36" s="9"/>
      <c r="D36" s="773"/>
      <c r="E36" s="773"/>
      <c r="F36" s="773"/>
      <c r="G36" s="773"/>
      <c r="H36" s="773"/>
      <c r="I36" s="773"/>
      <c r="J36" s="773"/>
      <c r="K36" s="773"/>
      <c r="L36" s="773"/>
      <c r="M36" s="773"/>
      <c r="N36" s="773"/>
      <c r="O36" s="773"/>
      <c r="P36" s="773"/>
    </row>
    <row r="37" spans="2:16" x14ac:dyDescent="0.2">
      <c r="B37" s="18"/>
      <c r="C37" s="9"/>
      <c r="D37" s="773"/>
      <c r="E37" s="773"/>
      <c r="F37" s="773"/>
      <c r="G37" s="773"/>
      <c r="H37" s="773"/>
      <c r="I37" s="773"/>
      <c r="J37" s="773"/>
      <c r="K37" s="773"/>
      <c r="L37" s="773"/>
      <c r="M37" s="773"/>
      <c r="N37" s="773"/>
      <c r="O37" s="773"/>
      <c r="P37" s="773"/>
    </row>
    <row r="38" spans="2:16" x14ac:dyDescent="0.2">
      <c r="B38" s="18"/>
      <c r="C38" s="9"/>
      <c r="D38" s="773"/>
      <c r="E38" s="773"/>
      <c r="F38" s="773"/>
      <c r="G38" s="773"/>
      <c r="H38" s="773"/>
      <c r="I38" s="773"/>
      <c r="J38" s="773"/>
      <c r="K38" s="773"/>
      <c r="L38" s="773"/>
      <c r="M38" s="773"/>
      <c r="N38" s="773"/>
      <c r="O38" s="773"/>
      <c r="P38" s="773"/>
    </row>
    <row r="39" spans="2:16" x14ac:dyDescent="0.2">
      <c r="B39" s="18"/>
      <c r="C39" s="9"/>
      <c r="D39" s="773"/>
      <c r="E39" s="773"/>
      <c r="F39" s="773"/>
      <c r="G39" s="773"/>
      <c r="H39" s="773"/>
      <c r="I39" s="773"/>
      <c r="J39" s="773"/>
      <c r="K39" s="773"/>
      <c r="L39" s="773"/>
      <c r="M39" s="773"/>
      <c r="N39" s="773"/>
      <c r="O39" s="773"/>
      <c r="P39" s="773"/>
    </row>
  </sheetData>
  <mergeCells count="13">
    <mergeCell ref="D10:P10"/>
    <mergeCell ref="D11:P11"/>
    <mergeCell ref="B13:B14"/>
    <mergeCell ref="F14:J14"/>
    <mergeCell ref="D39:P39"/>
    <mergeCell ref="D35:P35"/>
    <mergeCell ref="D36:P36"/>
    <mergeCell ref="D37:P37"/>
    <mergeCell ref="D38:P38"/>
    <mergeCell ref="D17:P17"/>
    <mergeCell ref="B32:P32"/>
    <mergeCell ref="D33:P33"/>
    <mergeCell ref="D34:P34"/>
  </mergeCells>
  <phoneticPr fontId="3" type="noConversion"/>
  <dataValidations count="1">
    <dataValidation allowBlank="1" showInputMessage="1" showErrorMessage="1" promptTitle="Date Format" prompt="E.g:  &quot;August 1, 2011&quot;" sqref="P7"/>
  </dataValidations>
  <pageMargins left="0.75" right="0.75" top="1" bottom="1" header="0.5" footer="0.5"/>
  <pageSetup scale="8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133"/>
  <sheetViews>
    <sheetView showGridLines="0" topLeftCell="A42" zoomScaleNormal="100" workbookViewId="0">
      <selection activeCell="J128" sqref="J128"/>
    </sheetView>
  </sheetViews>
  <sheetFormatPr defaultRowHeight="12.75" x14ac:dyDescent="0.2"/>
  <cols>
    <col min="1" max="1" width="2.7109375" customWidth="1"/>
    <col min="2" max="2" width="4" customWidth="1"/>
    <col min="3" max="3" width="21.85546875" customWidth="1"/>
    <col min="4" max="7" width="15.7109375" customWidth="1"/>
  </cols>
  <sheetData>
    <row r="1" spans="2:7" x14ac:dyDescent="0.2">
      <c r="F1" s="52" t="s">
        <v>581</v>
      </c>
      <c r="G1" s="151" t="s">
        <v>170</v>
      </c>
    </row>
    <row r="2" spans="2:7" x14ac:dyDescent="0.2">
      <c r="F2" s="52" t="s">
        <v>582</v>
      </c>
      <c r="G2" s="151" t="s">
        <v>587</v>
      </c>
    </row>
    <row r="3" spans="2:7" x14ac:dyDescent="0.2">
      <c r="F3" s="52" t="s">
        <v>583</v>
      </c>
      <c r="G3" s="151" t="s">
        <v>588</v>
      </c>
    </row>
    <row r="4" spans="2:7" x14ac:dyDescent="0.2">
      <c r="F4" s="52" t="s">
        <v>584</v>
      </c>
      <c r="G4" s="151" t="s">
        <v>589</v>
      </c>
    </row>
    <row r="5" spans="2:7" x14ac:dyDescent="0.2">
      <c r="F5" s="52" t="s">
        <v>585</v>
      </c>
      <c r="G5" s="151" t="s">
        <v>590</v>
      </c>
    </row>
    <row r="6" spans="2:7" x14ac:dyDescent="0.2">
      <c r="F6" s="52"/>
    </row>
    <row r="7" spans="2:7" x14ac:dyDescent="0.2">
      <c r="F7" s="52" t="s">
        <v>586</v>
      </c>
      <c r="G7" s="472"/>
    </row>
    <row r="9" spans="2:7" ht="18" x14ac:dyDescent="0.25">
      <c r="B9" s="659" t="s">
        <v>385</v>
      </c>
      <c r="C9" s="659"/>
      <c r="D9" s="659"/>
      <c r="E9" s="659"/>
      <c r="F9" s="659"/>
      <c r="G9" s="659"/>
    </row>
    <row r="10" spans="2:7" ht="18" x14ac:dyDescent="0.25">
      <c r="B10" s="659" t="s">
        <v>226</v>
      </c>
      <c r="C10" s="659"/>
      <c r="D10" s="659"/>
      <c r="E10" s="659"/>
      <c r="F10" s="659"/>
      <c r="G10" s="659"/>
    </row>
    <row r="12" spans="2:7" x14ac:dyDescent="0.2">
      <c r="B12" t="s">
        <v>438</v>
      </c>
    </row>
    <row r="14" spans="2:7" x14ac:dyDescent="0.2">
      <c r="B14" s="52" t="s">
        <v>411</v>
      </c>
      <c r="C14" s="52" t="s">
        <v>439</v>
      </c>
    </row>
    <row r="15" spans="2:7" ht="13.5" thickBot="1" x14ac:dyDescent="0.25"/>
    <row r="16" spans="2:7" ht="51" x14ac:dyDescent="0.2">
      <c r="B16" s="796" t="s">
        <v>440</v>
      </c>
      <c r="C16" s="797"/>
      <c r="D16" s="523" t="s">
        <v>443</v>
      </c>
      <c r="E16" s="523" t="s">
        <v>366</v>
      </c>
      <c r="F16" s="523" t="s">
        <v>195</v>
      </c>
      <c r="G16" s="524" t="s">
        <v>366</v>
      </c>
    </row>
    <row r="17" spans="2:7" x14ac:dyDescent="0.2">
      <c r="B17" s="779" t="s">
        <v>118</v>
      </c>
      <c r="C17" s="780"/>
      <c r="D17" s="161">
        <f>'[4]O1 Revenue to cost|RR'!$D$35</f>
        <v>1974478.7192079918</v>
      </c>
      <c r="E17" s="413">
        <f t="shared" ref="E17:E23" si="0">IF(D$24=0,"",D17/D$24)</f>
        <v>0.56105437623379084</v>
      </c>
      <c r="F17" s="161">
        <f>'[5]O1 Revenue to cost|RR'!$D$40</f>
        <v>2934673.1742745675</v>
      </c>
      <c r="G17" s="379">
        <f t="shared" ref="G17:G23" si="1">IF(F$24=0,"",F17/F$24)</f>
        <v>0.64644935443545348</v>
      </c>
    </row>
    <row r="18" spans="2:7" x14ac:dyDescent="0.2">
      <c r="B18" s="779" t="s">
        <v>119</v>
      </c>
      <c r="C18" s="780"/>
      <c r="D18" s="161">
        <f>'[4]O1 Revenue to cost|RR'!$E$35</f>
        <v>893141.63273164176</v>
      </c>
      <c r="E18" s="413">
        <f t="shared" si="0"/>
        <v>0.25378902125705549</v>
      </c>
      <c r="F18" s="161">
        <f>'[5]O1 Revenue to cost|RR'!$E$40</f>
        <v>670596.35710466257</v>
      </c>
      <c r="G18" s="379">
        <f t="shared" si="1"/>
        <v>0.14771886216741528</v>
      </c>
    </row>
    <row r="19" spans="2:7" ht="27" customHeight="1" x14ac:dyDescent="0.2">
      <c r="B19" s="783" t="str">
        <f>'[5]O1 Revenue to cost|RR'!$F$17</f>
        <v>GS&gt;50-Regular</v>
      </c>
      <c r="C19" s="784"/>
      <c r="D19" s="161">
        <f>'[4]O1 Revenue to cost|RR'!$F$35</f>
        <v>625968.24286343751</v>
      </c>
      <c r="E19" s="413">
        <f t="shared" si="0"/>
        <v>0.17787085706488809</v>
      </c>
      <c r="F19" s="161">
        <f>'[5]O1 Revenue to cost|RR'!$F$40</f>
        <v>552897.22612747946</v>
      </c>
      <c r="G19" s="379">
        <f t="shared" si="1"/>
        <v>0.12179211573963904</v>
      </c>
    </row>
    <row r="20" spans="2:7" x14ac:dyDescent="0.2">
      <c r="B20" s="779" t="s">
        <v>441</v>
      </c>
      <c r="C20" s="780"/>
      <c r="D20" s="161">
        <f>'[4]O1 Revenue to cost|RR'!$J$35</f>
        <v>21752.431976870743</v>
      </c>
      <c r="E20" s="413">
        <f t="shared" si="0"/>
        <v>6.1810223810599488E-3</v>
      </c>
      <c r="F20" s="161">
        <f>'[5]O1 Revenue to cost|RR'!$J$40</f>
        <v>195060.76639048499</v>
      </c>
      <c r="G20" s="379">
        <f t="shared" si="1"/>
        <v>4.2967955550956428E-2</v>
      </c>
    </row>
    <row r="21" spans="2:7" x14ac:dyDescent="0.2">
      <c r="B21" s="779" t="s">
        <v>121</v>
      </c>
      <c r="C21" s="780"/>
      <c r="D21" s="161">
        <f>'[4]O1 Revenue to cost|RR'!$K$35</f>
        <v>1936.5646882813753</v>
      </c>
      <c r="E21" s="413">
        <f t="shared" si="0"/>
        <v>5.5028098436832968E-4</v>
      </c>
      <c r="F21" s="161">
        <f>'[5]O1 Revenue to cost|RR'!$K$40</f>
        <v>607.10100289783259</v>
      </c>
      <c r="G21" s="379">
        <f t="shared" si="1"/>
        <v>1.337321153308439E-4</v>
      </c>
    </row>
    <row r="22" spans="2:7" ht="27" customHeight="1" x14ac:dyDescent="0.2">
      <c r="B22" s="781" t="s">
        <v>442</v>
      </c>
      <c r="C22" s="782"/>
      <c r="D22" s="161">
        <f>'[4]O1 Revenue to cost|RR'!$L$35</f>
        <v>1951.2085317762399</v>
      </c>
      <c r="E22" s="413">
        <f t="shared" si="0"/>
        <v>5.5444207883734078E-4</v>
      </c>
      <c r="F22" s="161">
        <f>'[5]O1 Revenue to cost|RR'!$L$40</f>
        <v>4807.3412548129327</v>
      </c>
      <c r="G22" s="379">
        <f t="shared" si="1"/>
        <v>1.0589603905358038E-3</v>
      </c>
    </row>
    <row r="23" spans="2:7" ht="27" customHeight="1" x14ac:dyDescent="0.2">
      <c r="B23" s="791" t="s">
        <v>776</v>
      </c>
      <c r="C23" s="792"/>
      <c r="D23" s="161"/>
      <c r="E23" s="413">
        <f t="shared" si="0"/>
        <v>0</v>
      </c>
      <c r="F23" s="161">
        <f>'[5]O1 Revenue to cost|RR'!$M$40</f>
        <v>181037.98578414222</v>
      </c>
      <c r="G23" s="379">
        <f t="shared" si="1"/>
        <v>3.987901960066919E-2</v>
      </c>
    </row>
    <row r="24" spans="2:7" ht="13.5" thickBot="1" x14ac:dyDescent="0.25">
      <c r="B24" s="807" t="s">
        <v>573</v>
      </c>
      <c r="C24" s="808"/>
      <c r="D24" s="146">
        <f>SUM(D17:D23)</f>
        <v>3519228.7999999993</v>
      </c>
      <c r="E24" s="414">
        <f>SUM(E17:E23)</f>
        <v>1</v>
      </c>
      <c r="F24" s="146">
        <f>SUM(F17:F23)</f>
        <v>4539679.9519390473</v>
      </c>
      <c r="G24" s="415">
        <f>SUM(G17:G23)</f>
        <v>1</v>
      </c>
    </row>
    <row r="26" spans="2:7" x14ac:dyDescent="0.2">
      <c r="B26" s="52" t="s">
        <v>609</v>
      </c>
    </row>
    <row r="28" spans="2:7" x14ac:dyDescent="0.2">
      <c r="B28" s="453" t="s">
        <v>509</v>
      </c>
    </row>
    <row r="30" spans="2:7" x14ac:dyDescent="0.2">
      <c r="B30" s="761" t="s">
        <v>444</v>
      </c>
      <c r="C30" s="761"/>
      <c r="D30" s="761"/>
      <c r="E30" s="761"/>
      <c r="F30" s="761"/>
      <c r="G30" s="761"/>
    </row>
    <row r="31" spans="2:7" x14ac:dyDescent="0.2">
      <c r="B31" s="761"/>
      <c r="C31" s="761"/>
      <c r="D31" s="761"/>
      <c r="E31" s="761"/>
      <c r="F31" s="761"/>
      <c r="G31" s="761"/>
    </row>
    <row r="32" spans="2:7" x14ac:dyDescent="0.2">
      <c r="B32" s="389"/>
      <c r="C32" s="389"/>
      <c r="D32" s="389"/>
      <c r="E32" s="389"/>
      <c r="F32" s="389"/>
      <c r="G32" s="389"/>
    </row>
    <row r="33" spans="1:7" x14ac:dyDescent="0.2">
      <c r="B33" s="809" t="s">
        <v>508</v>
      </c>
      <c r="C33" s="809"/>
      <c r="D33" s="809"/>
      <c r="E33" s="809"/>
      <c r="F33" s="809"/>
      <c r="G33" s="809"/>
    </row>
    <row r="34" spans="1:7" x14ac:dyDescent="0.2">
      <c r="B34" s="809"/>
      <c r="C34" s="809"/>
      <c r="D34" s="809"/>
      <c r="E34" s="809"/>
      <c r="F34" s="809"/>
      <c r="G34" s="809"/>
    </row>
    <row r="36" spans="1:7" x14ac:dyDescent="0.2">
      <c r="B36" s="453" t="s">
        <v>510</v>
      </c>
    </row>
    <row r="37" spans="1:7" x14ac:dyDescent="0.2">
      <c r="B37" s="793" t="s">
        <v>248</v>
      </c>
      <c r="C37" s="793"/>
      <c r="D37" s="793"/>
      <c r="E37" s="793"/>
      <c r="F37" s="793"/>
      <c r="G37" s="793"/>
    </row>
    <row r="38" spans="1:7" x14ac:dyDescent="0.2">
      <c r="B38" s="389"/>
      <c r="C38" s="389"/>
      <c r="D38" s="389"/>
      <c r="E38" s="389"/>
      <c r="F38" s="389"/>
      <c r="G38" s="389"/>
    </row>
    <row r="39" spans="1:7" x14ac:dyDescent="0.2">
      <c r="B39" s="763" t="s">
        <v>445</v>
      </c>
      <c r="C39" s="763"/>
      <c r="D39" s="763"/>
      <c r="E39" s="763"/>
      <c r="F39" s="763"/>
      <c r="G39" s="763"/>
    </row>
    <row r="40" spans="1:7" x14ac:dyDescent="0.2">
      <c r="B40" s="763"/>
      <c r="C40" s="763"/>
      <c r="D40" s="763"/>
      <c r="E40" s="763"/>
      <c r="F40" s="763"/>
      <c r="G40" s="763"/>
    </row>
    <row r="42" spans="1:7" x14ac:dyDescent="0.2">
      <c r="A42" s="389"/>
      <c r="B42" s="794" t="s">
        <v>446</v>
      </c>
      <c r="C42" s="794"/>
      <c r="D42" s="794"/>
      <c r="E42" s="794"/>
      <c r="F42" s="794"/>
      <c r="G42" s="794"/>
    </row>
    <row r="43" spans="1:7" x14ac:dyDescent="0.2">
      <c r="A43" s="389"/>
      <c r="B43" s="389"/>
      <c r="C43" s="389"/>
      <c r="D43" s="389"/>
      <c r="E43" s="389"/>
      <c r="F43" s="389"/>
      <c r="G43" s="389"/>
    </row>
    <row r="44" spans="1:7" x14ac:dyDescent="0.2">
      <c r="A44" s="389"/>
      <c r="B44" s="763" t="s">
        <v>447</v>
      </c>
      <c r="C44" s="763"/>
      <c r="D44" s="763"/>
      <c r="E44" s="763"/>
      <c r="F44" s="763"/>
      <c r="G44" s="763"/>
    </row>
    <row r="45" spans="1:7" x14ac:dyDescent="0.2">
      <c r="A45" s="389"/>
      <c r="B45" s="763"/>
      <c r="C45" s="763"/>
      <c r="D45" s="763"/>
      <c r="E45" s="763"/>
      <c r="F45" s="763"/>
      <c r="G45" s="763"/>
    </row>
    <row r="47" spans="1:7" ht="13.5" customHeight="1" x14ac:dyDescent="0.2">
      <c r="B47" s="313" t="s">
        <v>412</v>
      </c>
      <c r="C47" s="802" t="s">
        <v>448</v>
      </c>
      <c r="D47" s="802"/>
      <c r="E47" s="802"/>
      <c r="F47" s="802"/>
      <c r="G47" s="802"/>
    </row>
    <row r="48" spans="1:7" ht="13.5" thickBot="1" x14ac:dyDescent="0.25">
      <c r="B48" s="313"/>
      <c r="C48" s="408"/>
    </row>
    <row r="49" spans="2:11" x14ac:dyDescent="0.2">
      <c r="B49" s="805"/>
      <c r="C49" s="806"/>
      <c r="D49" s="388" t="s">
        <v>450</v>
      </c>
      <c r="E49" s="388" t="s">
        <v>451</v>
      </c>
      <c r="F49" s="388" t="s">
        <v>452</v>
      </c>
      <c r="G49" s="527" t="s">
        <v>453</v>
      </c>
    </row>
    <row r="50" spans="2:11" x14ac:dyDescent="0.2">
      <c r="B50" s="803" t="s">
        <v>449</v>
      </c>
      <c r="C50" s="804"/>
      <c r="D50" s="800" t="s">
        <v>454</v>
      </c>
      <c r="E50" s="800" t="s">
        <v>455</v>
      </c>
      <c r="F50" s="800" t="s">
        <v>456</v>
      </c>
      <c r="G50" s="810" t="s">
        <v>457</v>
      </c>
    </row>
    <row r="51" spans="2:11" ht="24.75" customHeight="1" x14ac:dyDescent="0.2">
      <c r="B51" s="789"/>
      <c r="C51" s="790"/>
      <c r="D51" s="801"/>
      <c r="E51" s="801"/>
      <c r="F51" s="801"/>
      <c r="G51" s="811"/>
    </row>
    <row r="52" spans="2:11" x14ac:dyDescent="0.2">
      <c r="B52" s="781" t="str">
        <f t="shared" ref="B52:B59" si="2">B17</f>
        <v>Residential</v>
      </c>
      <c r="C52" s="782"/>
      <c r="D52" s="161">
        <f>'[6]2012 Test Yr On Existing Rates'!$J$9</f>
        <v>2074165.4475892691</v>
      </c>
      <c r="E52" s="161">
        <f>'[6]Cost Allocation Study'!$C$7</f>
        <v>2536483.0394021915</v>
      </c>
      <c r="F52" s="161">
        <f>'[6]Cost Allocation Study'!$K$7</f>
        <v>2536483.0394021915</v>
      </c>
      <c r="G52" s="169">
        <f>'[6]Cost Allocation Study'!$J$7</f>
        <v>468427.89666643948</v>
      </c>
      <c r="J52" s="315"/>
      <c r="K52" s="589"/>
    </row>
    <row r="53" spans="2:11" x14ac:dyDescent="0.2">
      <c r="B53" s="781" t="str">
        <f t="shared" si="2"/>
        <v>GS &lt; 50 kW</v>
      </c>
      <c r="C53" s="782"/>
      <c r="D53" s="161">
        <f>'[6]2012 Test Yr On Existing Rates'!$J$10</f>
        <v>215075.50260043395</v>
      </c>
      <c r="E53" s="161">
        <f>'[6]Cost Allocation Study'!$C$8</f>
        <v>263014.39220818167</v>
      </c>
      <c r="F53" s="161">
        <f>'[6]Cost Allocation Study'!$K$8</f>
        <v>448761.13590030058</v>
      </c>
      <c r="G53" s="169">
        <f>'[6]Cost Allocation Study'!$J$8</f>
        <v>87715.949783429533</v>
      </c>
      <c r="K53" s="589"/>
    </row>
    <row r="54" spans="2:11" ht="27" customHeight="1" x14ac:dyDescent="0.2">
      <c r="B54" s="781" t="str">
        <f t="shared" si="2"/>
        <v>GS&gt;50-Regular</v>
      </c>
      <c r="C54" s="782"/>
      <c r="D54" s="161">
        <f>'[6]2012 Test Yr On Existing Rates'!$J$11+'[6]2012 Test Yr On Existing Rates'!$J$12</f>
        <v>811081.55431927892</v>
      </c>
      <c r="E54" s="161">
        <f>'[6]Cost Allocation Study'!$C$9</f>
        <v>991866.20261847507</v>
      </c>
      <c r="F54" s="161">
        <f>'[6]Cost Allocation Study'!$K$9</f>
        <v>580639.60998068424</v>
      </c>
      <c r="G54" s="169">
        <f>'[6]Cost Allocation Study'!$J$9</f>
        <v>82837.061372291122</v>
      </c>
      <c r="K54" s="589"/>
    </row>
    <row r="55" spans="2:11" x14ac:dyDescent="0.2">
      <c r="B55" s="781" t="str">
        <f t="shared" si="2"/>
        <v>Street Lighting</v>
      </c>
      <c r="C55" s="782"/>
      <c r="D55" s="161">
        <f>'[6]2012 Test Yr On Existing Rates'!$J$14</f>
        <v>856.29140734040266</v>
      </c>
      <c r="E55" s="161">
        <f>'[6]Cost Allocation Study'!$C$12</f>
        <v>1047.1530291998492</v>
      </c>
      <c r="F55" s="161">
        <f>'[6]Cost Allocation Study'!$K$12</f>
        <v>129220.94587064488</v>
      </c>
      <c r="G55" s="169">
        <f>'[6]Cost Allocation Study'!$J$12</f>
        <v>20224.773372755852</v>
      </c>
      <c r="K55" s="589"/>
    </row>
    <row r="56" spans="2:11" x14ac:dyDescent="0.2">
      <c r="B56" s="781" t="str">
        <f t="shared" si="2"/>
        <v>Sentinel Lighting</v>
      </c>
      <c r="C56" s="782"/>
      <c r="D56" s="161">
        <f>'[6]2012 Test Yr On Existing Rates'!$J$13</f>
        <v>42.018924040743073</v>
      </c>
      <c r="E56" s="161">
        <f>'[6]Cost Allocation Study'!$C$11</f>
        <v>51.38466089440859</v>
      </c>
      <c r="F56" s="161">
        <f>'[6]Cost Allocation Study'!$K$11</f>
        <v>413.49874437517565</v>
      </c>
      <c r="G56" s="169">
        <f>'[6]Cost Allocation Study'!$J$11</f>
        <v>72.182057943090484</v>
      </c>
      <c r="K56" s="589"/>
    </row>
    <row r="57" spans="2:11" ht="27" customHeight="1" x14ac:dyDescent="0.2">
      <c r="B57" s="781" t="str">
        <f t="shared" si="2"/>
        <v>Unmetered Scattered Load (USL)</v>
      </c>
      <c r="C57" s="782"/>
      <c r="D57" s="161">
        <f>'[6]2012 Test Yr On Existing Rates'!$J$15</f>
        <v>2448.6277084179105</v>
      </c>
      <c r="E57" s="161">
        <f>'[6]Cost Allocation Study'!$C$13</f>
        <v>2994.4104311596757</v>
      </c>
      <c r="F57" s="161">
        <f>'[6]Cost Allocation Study'!$K$13</f>
        <v>3209.5666488157212</v>
      </c>
      <c r="G57" s="169">
        <f>'[6]Cost Allocation Study'!$J$13</f>
        <v>636.30635503462486</v>
      </c>
      <c r="K57" s="589"/>
    </row>
    <row r="58" spans="2:11" ht="27" customHeight="1" thickBot="1" x14ac:dyDescent="0.25">
      <c r="B58" s="798" t="str">
        <f t="shared" si="2"/>
        <v>Embedded distributor</v>
      </c>
      <c r="C58" s="799"/>
      <c r="D58" s="307">
        <f>'[6]2012 Test Yr On Existing Rates'!$J$17</f>
        <v>52472.480080220615</v>
      </c>
      <c r="E58" s="307">
        <f>'[6]Cost Allocation Study'!$C$15</f>
        <v>64168.244588946036</v>
      </c>
      <c r="F58" s="307">
        <f>'[6]Cost Allocation Study'!$K$15</f>
        <v>160897.03039203602</v>
      </c>
      <c r="G58" s="411">
        <f>'[6]Cost Allocation Study'!$J$15</f>
        <v>20140.955392106218</v>
      </c>
      <c r="K58" s="589"/>
    </row>
    <row r="59" spans="2:11" ht="13.5" thickTop="1" x14ac:dyDescent="0.2">
      <c r="B59" s="825" t="str">
        <f t="shared" si="2"/>
        <v>Total</v>
      </c>
      <c r="C59" s="826"/>
      <c r="D59" s="416">
        <f>SUM(D52:D58)</f>
        <v>3156141.9226290016</v>
      </c>
      <c r="E59" s="416">
        <f>SUM(E52:E58)</f>
        <v>3859624.8269390482</v>
      </c>
      <c r="F59" s="416">
        <f>SUM(F52:F58)</f>
        <v>3859624.8269390478</v>
      </c>
      <c r="G59" s="417">
        <f>SUM(G52:G58)</f>
        <v>680055.12499999977</v>
      </c>
    </row>
    <row r="61" spans="2:11" x14ac:dyDescent="0.2">
      <c r="B61" s="52" t="s">
        <v>639</v>
      </c>
      <c r="C61" s="389"/>
      <c r="D61" s="389"/>
      <c r="E61" s="389"/>
      <c r="F61" s="389"/>
      <c r="G61" s="389"/>
    </row>
    <row r="62" spans="2:11" x14ac:dyDescent="0.2">
      <c r="B62" s="389"/>
      <c r="C62" s="389"/>
      <c r="D62" s="389"/>
      <c r="E62" s="389"/>
      <c r="F62" s="389"/>
      <c r="G62" s="389"/>
    </row>
    <row r="63" spans="2:11" x14ac:dyDescent="0.2">
      <c r="B63" s="471" t="s">
        <v>458</v>
      </c>
      <c r="C63" s="389"/>
      <c r="D63" s="389"/>
      <c r="E63" s="389"/>
      <c r="F63" s="389"/>
      <c r="G63" s="389"/>
    </row>
    <row r="64" spans="2:11" x14ac:dyDescent="0.2">
      <c r="B64" s="389"/>
      <c r="C64" s="389"/>
      <c r="D64" s="389"/>
      <c r="E64" s="389"/>
      <c r="F64" s="389"/>
      <c r="G64" s="389"/>
    </row>
    <row r="65" spans="2:7" x14ac:dyDescent="0.2">
      <c r="B65" s="795" t="s">
        <v>420</v>
      </c>
      <c r="C65" s="795"/>
      <c r="D65" s="795"/>
      <c r="E65" s="795"/>
      <c r="F65" s="795"/>
      <c r="G65" s="795"/>
    </row>
    <row r="66" spans="2:7" x14ac:dyDescent="0.2">
      <c r="B66" s="763"/>
      <c r="C66" s="763"/>
      <c r="D66" s="763"/>
      <c r="E66" s="763"/>
      <c r="F66" s="763"/>
      <c r="G66" s="763"/>
    </row>
    <row r="67" spans="2:7" x14ac:dyDescent="0.2">
      <c r="B67" s="389"/>
      <c r="C67" s="389"/>
      <c r="D67" s="389"/>
      <c r="E67" s="389"/>
      <c r="F67" s="389"/>
      <c r="G67" s="389"/>
    </row>
    <row r="68" spans="2:7" x14ac:dyDescent="0.2">
      <c r="B68" s="763" t="s">
        <v>491</v>
      </c>
      <c r="C68" s="763"/>
      <c r="D68" s="763"/>
      <c r="E68" s="763"/>
      <c r="F68" s="763"/>
      <c r="G68" s="763"/>
    </row>
    <row r="69" spans="2:7" x14ac:dyDescent="0.2">
      <c r="B69" s="763"/>
      <c r="C69" s="763"/>
      <c r="D69" s="763"/>
      <c r="E69" s="763"/>
      <c r="F69" s="763"/>
      <c r="G69" s="763"/>
    </row>
    <row r="70" spans="2:7" x14ac:dyDescent="0.2">
      <c r="B70" s="389"/>
      <c r="C70" s="389"/>
      <c r="D70" s="389"/>
      <c r="E70" s="389"/>
      <c r="F70" s="389"/>
      <c r="G70" s="389"/>
    </row>
    <row r="71" spans="2:7" x14ac:dyDescent="0.2">
      <c r="B71" s="830" t="s">
        <v>492</v>
      </c>
      <c r="C71" s="830"/>
      <c r="D71" s="389"/>
      <c r="E71" s="389"/>
      <c r="F71" s="389"/>
      <c r="G71" s="389"/>
    </row>
    <row r="72" spans="2:7" x14ac:dyDescent="0.2">
      <c r="B72" s="389"/>
      <c r="C72" s="389"/>
      <c r="D72" s="389"/>
      <c r="E72" s="389"/>
      <c r="F72" s="389"/>
      <c r="G72" s="389"/>
    </row>
    <row r="73" spans="2:7" x14ac:dyDescent="0.2">
      <c r="B73" s="794" t="s">
        <v>494</v>
      </c>
      <c r="C73" s="794"/>
      <c r="D73" s="794"/>
      <c r="E73" s="794"/>
      <c r="F73" s="794"/>
      <c r="G73" s="794"/>
    </row>
    <row r="74" spans="2:7" x14ac:dyDescent="0.2">
      <c r="B74" s="389"/>
      <c r="C74" s="389"/>
      <c r="D74" s="389"/>
      <c r="E74" s="389"/>
      <c r="F74" s="389"/>
      <c r="G74" s="389"/>
    </row>
    <row r="75" spans="2:7" x14ac:dyDescent="0.2">
      <c r="B75" s="763" t="s">
        <v>493</v>
      </c>
      <c r="C75" s="763"/>
      <c r="D75" s="763"/>
      <c r="E75" s="763"/>
      <c r="F75" s="763"/>
      <c r="G75" s="763"/>
    </row>
    <row r="76" spans="2:7" x14ac:dyDescent="0.2">
      <c r="B76" s="763"/>
      <c r="C76" s="763"/>
      <c r="D76" s="763"/>
      <c r="E76" s="763"/>
      <c r="F76" s="763"/>
      <c r="G76" s="763"/>
    </row>
    <row r="77" spans="2:7" x14ac:dyDescent="0.2">
      <c r="B77" s="389"/>
      <c r="C77" s="389"/>
      <c r="D77" s="389"/>
      <c r="E77" s="389"/>
      <c r="F77" s="389"/>
      <c r="G77" s="389"/>
    </row>
    <row r="78" spans="2:7" x14ac:dyDescent="0.2">
      <c r="B78" s="471" t="s">
        <v>495</v>
      </c>
      <c r="C78" s="389"/>
      <c r="D78" s="389"/>
      <c r="E78" s="389"/>
      <c r="F78" s="389"/>
      <c r="G78" s="389"/>
    </row>
    <row r="79" spans="2:7" x14ac:dyDescent="0.2">
      <c r="B79" s="389"/>
      <c r="C79" s="389"/>
      <c r="D79" s="389"/>
      <c r="E79" s="389"/>
      <c r="F79" s="389"/>
      <c r="G79" s="389"/>
    </row>
    <row r="80" spans="2:7" x14ac:dyDescent="0.2">
      <c r="B80" s="809" t="s">
        <v>339</v>
      </c>
      <c r="C80" s="809"/>
      <c r="D80" s="809"/>
      <c r="E80" s="809"/>
      <c r="F80" s="809"/>
      <c r="G80" s="809"/>
    </row>
    <row r="81" spans="2:7" x14ac:dyDescent="0.2">
      <c r="B81" s="809"/>
      <c r="C81" s="809"/>
      <c r="D81" s="809"/>
      <c r="E81" s="809"/>
      <c r="F81" s="809"/>
      <c r="G81" s="809"/>
    </row>
    <row r="82" spans="2:7" x14ac:dyDescent="0.2">
      <c r="B82" s="809"/>
      <c r="C82" s="809"/>
      <c r="D82" s="809"/>
      <c r="E82" s="809"/>
      <c r="F82" s="809"/>
      <c r="G82" s="809"/>
    </row>
    <row r="83" spans="2:7" x14ac:dyDescent="0.2">
      <c r="B83" s="830" t="s">
        <v>496</v>
      </c>
      <c r="C83" s="830"/>
      <c r="D83" s="389"/>
      <c r="E83" s="389"/>
      <c r="F83" s="389"/>
      <c r="G83" s="389"/>
    </row>
    <row r="84" spans="2:7" x14ac:dyDescent="0.2">
      <c r="B84" s="389"/>
      <c r="C84" s="389"/>
      <c r="D84" s="389"/>
      <c r="E84" s="389"/>
      <c r="F84" s="389"/>
      <c r="G84" s="389"/>
    </row>
    <row r="85" spans="2:7" x14ac:dyDescent="0.2">
      <c r="B85" s="763" t="s">
        <v>497</v>
      </c>
      <c r="C85" s="763"/>
      <c r="D85" s="763"/>
      <c r="E85" s="763"/>
      <c r="F85" s="763"/>
      <c r="G85" s="763"/>
    </row>
    <row r="86" spans="2:7" x14ac:dyDescent="0.2">
      <c r="B86" s="763"/>
      <c r="C86" s="763"/>
      <c r="D86" s="763"/>
      <c r="E86" s="763"/>
      <c r="F86" s="763"/>
      <c r="G86" s="763"/>
    </row>
    <row r="88" spans="2:7" x14ac:dyDescent="0.2">
      <c r="B88" s="52" t="s">
        <v>413</v>
      </c>
      <c r="C88" s="819" t="s">
        <v>498</v>
      </c>
      <c r="D88" s="819"/>
      <c r="E88" s="819"/>
      <c r="F88" s="819"/>
      <c r="G88" s="819"/>
    </row>
    <row r="89" spans="2:7" ht="13.5" thickBot="1" x14ac:dyDescent="0.25"/>
    <row r="90" spans="2:7" ht="27" customHeight="1" x14ac:dyDescent="0.2">
      <c r="B90" s="812" t="s">
        <v>499</v>
      </c>
      <c r="C90" s="813"/>
      <c r="D90" s="304" t="s">
        <v>777</v>
      </c>
      <c r="E90" s="304" t="s">
        <v>501</v>
      </c>
      <c r="F90" s="304" t="s">
        <v>502</v>
      </c>
      <c r="G90" s="817" t="s">
        <v>503</v>
      </c>
    </row>
    <row r="91" spans="2:7" ht="25.5" x14ac:dyDescent="0.2">
      <c r="B91" s="814"/>
      <c r="C91" s="815"/>
      <c r="D91" s="530" t="s">
        <v>500</v>
      </c>
      <c r="E91" s="801" t="s">
        <v>196</v>
      </c>
      <c r="F91" s="801" t="s">
        <v>197</v>
      </c>
      <c r="G91" s="818"/>
    </row>
    <row r="92" spans="2:7" x14ac:dyDescent="0.2">
      <c r="B92" s="814"/>
      <c r="C92" s="815"/>
      <c r="D92" s="531">
        <v>2006</v>
      </c>
      <c r="E92" s="816"/>
      <c r="F92" s="816"/>
      <c r="G92" s="818"/>
    </row>
    <row r="93" spans="2:7" x14ac:dyDescent="0.2">
      <c r="B93" s="785"/>
      <c r="C93" s="786"/>
      <c r="D93" s="528" t="s">
        <v>366</v>
      </c>
      <c r="E93" s="526" t="s">
        <v>366</v>
      </c>
      <c r="F93" s="526" t="s">
        <v>366</v>
      </c>
      <c r="G93" s="529" t="s">
        <v>366</v>
      </c>
    </row>
    <row r="94" spans="2:7" x14ac:dyDescent="0.2">
      <c r="B94" s="779" t="str">
        <f t="shared" ref="B94:B100" si="3">B52</f>
        <v>Residential</v>
      </c>
      <c r="C94" s="780"/>
      <c r="D94" s="592">
        <f>'[4]O1 Revenue to cost|RR'!$D$70</f>
        <v>1.1137849514787272</v>
      </c>
      <c r="E94" s="590">
        <f>IF(F17=0,"",(E52+G52)/F17*100)</f>
        <v>102.3933759442029</v>
      </c>
      <c r="F94" s="590">
        <f t="shared" ref="F94:F100" si="4">IF(F17=0,"",(F52+G52)/F17*100)</f>
        <v>102.3933759442029</v>
      </c>
      <c r="G94" s="316" t="s">
        <v>504</v>
      </c>
    </row>
    <row r="95" spans="2:7" x14ac:dyDescent="0.2">
      <c r="B95" s="779" t="str">
        <f t="shared" si="3"/>
        <v>GS &lt; 50 kW</v>
      </c>
      <c r="C95" s="780"/>
      <c r="D95" s="592">
        <f>'[4]O1 Revenue to cost|RR'!$E$70</f>
        <v>0.28718819048110189</v>
      </c>
      <c r="E95" s="590">
        <f t="shared" ref="E95:E100" si="5">IF(F18=0,"",(E53+G53)/F18*100)</f>
        <v>52.301259658777319</v>
      </c>
      <c r="F95" s="590">
        <f t="shared" si="4"/>
        <v>80</v>
      </c>
      <c r="G95" s="316" t="s">
        <v>505</v>
      </c>
    </row>
    <row r="96" spans="2:7" ht="27" customHeight="1" x14ac:dyDescent="0.2">
      <c r="B96" s="791" t="str">
        <f t="shared" si="3"/>
        <v>GS&gt;50-Regular</v>
      </c>
      <c r="C96" s="792"/>
      <c r="D96" s="592">
        <f>'[4]O1 Revenue to cost|RR'!$F$70</f>
        <v>1.6959846358365742</v>
      </c>
      <c r="E96" s="590">
        <f t="shared" si="5"/>
        <v>194.37667855887847</v>
      </c>
      <c r="F96" s="590">
        <f t="shared" si="4"/>
        <v>120</v>
      </c>
      <c r="G96" s="316" t="s">
        <v>505</v>
      </c>
    </row>
    <row r="97" spans="2:7" x14ac:dyDescent="0.2">
      <c r="B97" s="779" t="str">
        <f t="shared" si="3"/>
        <v>Street Lighting</v>
      </c>
      <c r="C97" s="780"/>
      <c r="D97" s="592">
        <f>'[4]O1 Revenue to cost|RR'!$J$70</f>
        <v>0.12767700991033748</v>
      </c>
      <c r="E97" s="590">
        <f t="shared" si="5"/>
        <v>10.905281874763176</v>
      </c>
      <c r="F97" s="590">
        <f t="shared" si="4"/>
        <v>76.614955436107962</v>
      </c>
      <c r="G97" s="316" t="s">
        <v>506</v>
      </c>
    </row>
    <row r="98" spans="2:7" x14ac:dyDescent="0.2">
      <c r="B98" s="779" t="str">
        <f t="shared" si="3"/>
        <v>Sentinel Lighting</v>
      </c>
      <c r="C98" s="780"/>
      <c r="D98" s="592">
        <f>'[4]O1 Revenue to cost|RR'!$K$70</f>
        <v>0.43085479114859837</v>
      </c>
      <c r="E98" s="590">
        <f t="shared" si="5"/>
        <v>20.353568557404245</v>
      </c>
      <c r="F98" s="590">
        <f t="shared" si="4"/>
        <v>80.000000000000014</v>
      </c>
      <c r="G98" s="316" t="s">
        <v>505</v>
      </c>
    </row>
    <row r="99" spans="2:7" ht="27" customHeight="1" x14ac:dyDescent="0.2">
      <c r="B99" s="791" t="str">
        <f t="shared" si="3"/>
        <v>Unmetered Scattered Load (USL)</v>
      </c>
      <c r="C99" s="792"/>
      <c r="D99" s="592">
        <f>'[4]O1 Revenue to cost|RR'!$L$70</f>
        <v>8.9649055102681565</v>
      </c>
      <c r="E99" s="590">
        <f t="shared" si="5"/>
        <v>75.524423870665743</v>
      </c>
      <c r="F99" s="590">
        <f t="shared" si="4"/>
        <v>80</v>
      </c>
      <c r="G99" s="316" t="s">
        <v>505</v>
      </c>
    </row>
    <row r="100" spans="2:7" ht="26.25" customHeight="1" thickBot="1" x14ac:dyDescent="0.25">
      <c r="B100" s="828" t="str">
        <f t="shared" si="3"/>
        <v>Embedded distributor</v>
      </c>
      <c r="C100" s="829"/>
      <c r="D100" s="418"/>
      <c r="E100" s="590">
        <f t="shared" si="5"/>
        <v>46.569895050410572</v>
      </c>
      <c r="F100" s="591">
        <f t="shared" si="4"/>
        <v>100</v>
      </c>
      <c r="G100" s="406"/>
    </row>
    <row r="102" spans="2:7" x14ac:dyDescent="0.2">
      <c r="B102" s="52" t="s">
        <v>639</v>
      </c>
      <c r="C102" s="389"/>
      <c r="D102" s="389"/>
      <c r="E102" s="389"/>
      <c r="F102" s="389"/>
      <c r="G102" s="389"/>
    </row>
    <row r="103" spans="2:7" x14ac:dyDescent="0.2">
      <c r="B103" s="389"/>
      <c r="C103" s="389"/>
      <c r="D103" s="389"/>
      <c r="E103" s="389"/>
      <c r="F103" s="389"/>
      <c r="G103" s="389"/>
    </row>
    <row r="104" spans="2:7" x14ac:dyDescent="0.2">
      <c r="B104" s="471" t="s">
        <v>507</v>
      </c>
      <c r="C104" s="389"/>
      <c r="D104" s="389"/>
      <c r="E104" s="389"/>
      <c r="F104" s="389"/>
      <c r="G104" s="389"/>
    </row>
    <row r="105" spans="2:7" x14ac:dyDescent="0.2">
      <c r="B105" s="389"/>
      <c r="C105" s="389"/>
      <c r="D105" s="389"/>
      <c r="E105" s="389"/>
      <c r="F105" s="389"/>
      <c r="G105" s="389"/>
    </row>
    <row r="106" spans="2:7" x14ac:dyDescent="0.2">
      <c r="B106" s="763" t="s">
        <v>461</v>
      </c>
      <c r="C106" s="763"/>
      <c r="D106" s="763"/>
      <c r="E106" s="763"/>
      <c r="F106" s="763"/>
      <c r="G106" s="763"/>
    </row>
    <row r="107" spans="2:7" x14ac:dyDescent="0.2">
      <c r="B107" s="763"/>
      <c r="C107" s="763"/>
      <c r="D107" s="763"/>
      <c r="E107" s="763"/>
      <c r="F107" s="763"/>
      <c r="G107" s="763"/>
    </row>
    <row r="108" spans="2:7" x14ac:dyDescent="0.2">
      <c r="B108" s="389"/>
      <c r="C108" s="389"/>
      <c r="D108" s="389"/>
      <c r="E108" s="389"/>
      <c r="F108" s="389"/>
      <c r="G108" s="389"/>
    </row>
    <row r="109" spans="2:7" x14ac:dyDescent="0.2">
      <c r="B109" s="763" t="s">
        <v>521</v>
      </c>
      <c r="C109" s="763"/>
      <c r="D109" s="763"/>
      <c r="E109" s="763"/>
      <c r="F109" s="763"/>
      <c r="G109" s="763"/>
    </row>
    <row r="110" spans="2:7" x14ac:dyDescent="0.2">
      <c r="B110" s="763"/>
      <c r="C110" s="763"/>
      <c r="D110" s="763"/>
      <c r="E110" s="763"/>
      <c r="F110" s="763"/>
      <c r="G110" s="763"/>
    </row>
    <row r="111" spans="2:7" x14ac:dyDescent="0.2">
      <c r="B111" s="455"/>
      <c r="C111" s="455"/>
      <c r="D111" s="455"/>
      <c r="E111" s="455"/>
      <c r="F111" s="455"/>
      <c r="G111" s="455"/>
    </row>
    <row r="112" spans="2:7" ht="13.5" customHeight="1" x14ac:dyDescent="0.2">
      <c r="B112" s="820" t="s">
        <v>501</v>
      </c>
      <c r="C112" s="820"/>
      <c r="D112" s="820"/>
      <c r="E112" s="820"/>
      <c r="F112" s="820"/>
      <c r="G112" s="820"/>
    </row>
    <row r="113" spans="2:7" x14ac:dyDescent="0.2">
      <c r="B113" s="389"/>
      <c r="C113" s="389"/>
      <c r="D113" s="389"/>
      <c r="E113" s="389"/>
      <c r="F113" s="389"/>
      <c r="G113" s="389"/>
    </row>
    <row r="114" spans="2:7" x14ac:dyDescent="0.2">
      <c r="B114" s="794" t="s">
        <v>522</v>
      </c>
      <c r="C114" s="794"/>
      <c r="D114" s="794"/>
      <c r="E114" s="794"/>
      <c r="F114" s="794"/>
      <c r="G114" s="794"/>
    </row>
    <row r="115" spans="2:7" x14ac:dyDescent="0.2">
      <c r="B115" s="389"/>
      <c r="C115" s="389"/>
      <c r="D115" s="389"/>
      <c r="E115" s="389"/>
      <c r="F115" s="389"/>
      <c r="G115" s="389"/>
    </row>
    <row r="116" spans="2:7" x14ac:dyDescent="0.2">
      <c r="B116" s="794" t="s">
        <v>523</v>
      </c>
      <c r="C116" s="794"/>
      <c r="D116" s="794"/>
      <c r="E116" s="794"/>
      <c r="F116" s="794"/>
      <c r="G116" s="794"/>
    </row>
    <row r="118" spans="2:7" x14ac:dyDescent="0.2">
      <c r="B118" s="52" t="s">
        <v>414</v>
      </c>
      <c r="C118" s="819" t="s">
        <v>524</v>
      </c>
      <c r="D118" s="819"/>
      <c r="E118" s="819"/>
      <c r="F118" s="819"/>
      <c r="G118" s="819"/>
    </row>
    <row r="119" spans="2:7" ht="13.5" thickBot="1" x14ac:dyDescent="0.25"/>
    <row r="120" spans="2:7" x14ac:dyDescent="0.2">
      <c r="B120" s="787" t="s">
        <v>499</v>
      </c>
      <c r="C120" s="788"/>
      <c r="D120" s="827" t="s">
        <v>524</v>
      </c>
      <c r="E120" s="827"/>
      <c r="F120" s="827"/>
      <c r="G120" s="821" t="s">
        <v>503</v>
      </c>
    </row>
    <row r="121" spans="2:7" x14ac:dyDescent="0.2">
      <c r="B121" s="789"/>
      <c r="C121" s="790"/>
      <c r="D121" s="532">
        <v>2012</v>
      </c>
      <c r="E121" s="532">
        <v>2013</v>
      </c>
      <c r="F121" s="532">
        <v>2014</v>
      </c>
      <c r="G121" s="822"/>
    </row>
    <row r="122" spans="2:7" x14ac:dyDescent="0.2">
      <c r="B122" s="789"/>
      <c r="C122" s="790"/>
      <c r="D122" s="532" t="s">
        <v>366</v>
      </c>
      <c r="E122" s="532" t="s">
        <v>366</v>
      </c>
      <c r="F122" s="532" t="s">
        <v>366</v>
      </c>
      <c r="G122" s="533" t="s">
        <v>366</v>
      </c>
    </row>
    <row r="123" spans="2:7" x14ac:dyDescent="0.2">
      <c r="B123" s="779" t="str">
        <f t="shared" ref="B123:B129" si="6">B94</f>
        <v>Residential</v>
      </c>
      <c r="C123" s="780"/>
      <c r="D123" s="420">
        <f t="shared" ref="D123:D129" si="7">F94</f>
        <v>102.3933759442029</v>
      </c>
      <c r="E123" s="620">
        <f>D123</f>
        <v>102.3933759442029</v>
      </c>
      <c r="F123" s="620">
        <f>E123</f>
        <v>102.3933759442029</v>
      </c>
      <c r="G123" s="422" t="str">
        <f t="shared" ref="G123:G128" si="8">G94</f>
        <v>85 - 115</v>
      </c>
    </row>
    <row r="124" spans="2:7" x14ac:dyDescent="0.2">
      <c r="B124" s="779" t="str">
        <f t="shared" si="6"/>
        <v>GS &lt; 50 kW</v>
      </c>
      <c r="C124" s="780"/>
      <c r="D124" s="420">
        <f t="shared" si="7"/>
        <v>80</v>
      </c>
      <c r="E124" s="620">
        <f t="shared" ref="E124:F129" si="9">D124</f>
        <v>80</v>
      </c>
      <c r="F124" s="620">
        <f t="shared" si="9"/>
        <v>80</v>
      </c>
      <c r="G124" s="422" t="str">
        <f t="shared" si="8"/>
        <v>80 - 120</v>
      </c>
    </row>
    <row r="125" spans="2:7" ht="27" customHeight="1" x14ac:dyDescent="0.2">
      <c r="B125" s="781" t="str">
        <f t="shared" si="6"/>
        <v>GS&gt;50-Regular</v>
      </c>
      <c r="C125" s="782"/>
      <c r="D125" s="420">
        <f t="shared" si="7"/>
        <v>120</v>
      </c>
      <c r="E125" s="620">
        <f t="shared" si="9"/>
        <v>120</v>
      </c>
      <c r="F125" s="620">
        <f t="shared" si="9"/>
        <v>120</v>
      </c>
      <c r="G125" s="422" t="str">
        <f t="shared" si="8"/>
        <v>80 - 120</v>
      </c>
    </row>
    <row r="126" spans="2:7" x14ac:dyDescent="0.2">
      <c r="B126" s="779" t="str">
        <f t="shared" si="6"/>
        <v>Street Lighting</v>
      </c>
      <c r="C126" s="780"/>
      <c r="D126" s="420">
        <f t="shared" si="7"/>
        <v>76.614955436107962</v>
      </c>
      <c r="E126" s="620">
        <f t="shared" si="9"/>
        <v>76.614955436107962</v>
      </c>
      <c r="F126" s="620">
        <f t="shared" si="9"/>
        <v>76.614955436107962</v>
      </c>
      <c r="G126" s="422" t="str">
        <f t="shared" si="8"/>
        <v>70 - 120</v>
      </c>
    </row>
    <row r="127" spans="2:7" x14ac:dyDescent="0.2">
      <c r="B127" s="779" t="str">
        <f t="shared" si="6"/>
        <v>Sentinel Lighting</v>
      </c>
      <c r="C127" s="780"/>
      <c r="D127" s="420">
        <f t="shared" si="7"/>
        <v>80.000000000000014</v>
      </c>
      <c r="E127" s="620">
        <f t="shared" si="9"/>
        <v>80.000000000000014</v>
      </c>
      <c r="F127" s="620">
        <f t="shared" si="9"/>
        <v>80.000000000000014</v>
      </c>
      <c r="G127" s="422" t="str">
        <f t="shared" si="8"/>
        <v>80 - 120</v>
      </c>
    </row>
    <row r="128" spans="2:7" ht="26.25" customHeight="1" x14ac:dyDescent="0.2">
      <c r="B128" s="781" t="str">
        <f t="shared" si="6"/>
        <v>Unmetered Scattered Load (USL)</v>
      </c>
      <c r="C128" s="782"/>
      <c r="D128" s="420">
        <f t="shared" si="7"/>
        <v>80</v>
      </c>
      <c r="E128" s="620">
        <f t="shared" si="9"/>
        <v>80</v>
      </c>
      <c r="F128" s="620">
        <f t="shared" si="9"/>
        <v>80</v>
      </c>
      <c r="G128" s="422" t="str">
        <f t="shared" si="8"/>
        <v>80 - 120</v>
      </c>
    </row>
    <row r="129" spans="2:7" ht="27" customHeight="1" thickBot="1" x14ac:dyDescent="0.25">
      <c r="B129" s="823" t="str">
        <f t="shared" si="6"/>
        <v>Embedded distributor</v>
      </c>
      <c r="C129" s="824"/>
      <c r="D129" s="421">
        <f t="shared" si="7"/>
        <v>100</v>
      </c>
      <c r="E129" s="620">
        <f t="shared" si="9"/>
        <v>100</v>
      </c>
      <c r="F129" s="620">
        <f t="shared" si="9"/>
        <v>100</v>
      </c>
      <c r="G129" s="423"/>
    </row>
    <row r="131" spans="2:7" x14ac:dyDescent="0.2">
      <c r="B131" s="660" t="s">
        <v>100</v>
      </c>
      <c r="C131" s="660"/>
      <c r="D131" s="660"/>
      <c r="E131" s="660"/>
      <c r="F131" s="660"/>
      <c r="G131" s="660"/>
    </row>
    <row r="132" spans="2:7" ht="24.75" customHeight="1" x14ac:dyDescent="0.2">
      <c r="B132" s="660"/>
      <c r="C132" s="660"/>
      <c r="D132" s="660"/>
      <c r="E132" s="660"/>
      <c r="F132" s="660"/>
      <c r="G132" s="660"/>
    </row>
    <row r="133" spans="2:7" ht="39" customHeight="1" x14ac:dyDescent="0.2">
      <c r="B133" s="660"/>
      <c r="C133" s="660"/>
      <c r="D133" s="660"/>
      <c r="E133" s="660"/>
      <c r="F133" s="660"/>
      <c r="G133" s="660"/>
    </row>
  </sheetData>
  <mergeCells count="70">
    <mergeCell ref="B59:C59"/>
    <mergeCell ref="B75:G76"/>
    <mergeCell ref="B80:G82"/>
    <mergeCell ref="D120:F120"/>
    <mergeCell ref="B116:G116"/>
    <mergeCell ref="B100:C100"/>
    <mergeCell ref="B83:C83"/>
    <mergeCell ref="B71:C71"/>
    <mergeCell ref="B73:G73"/>
    <mergeCell ref="B97:C97"/>
    <mergeCell ref="B98:C98"/>
    <mergeCell ref="B99:C99"/>
    <mergeCell ref="G120:G121"/>
    <mergeCell ref="B126:C126"/>
    <mergeCell ref="B131:G133"/>
    <mergeCell ref="C118:G118"/>
    <mergeCell ref="B109:G110"/>
    <mergeCell ref="B114:G114"/>
    <mergeCell ref="B112:G112"/>
    <mergeCell ref="B129:C129"/>
    <mergeCell ref="B90:C92"/>
    <mergeCell ref="E91:E92"/>
    <mergeCell ref="F91:F92"/>
    <mergeCell ref="G90:G92"/>
    <mergeCell ref="C88:G88"/>
    <mergeCell ref="B9:G9"/>
    <mergeCell ref="B10:G10"/>
    <mergeCell ref="C47:G47"/>
    <mergeCell ref="B44:G45"/>
    <mergeCell ref="B50:C51"/>
    <mergeCell ref="B49:C49"/>
    <mergeCell ref="B39:G40"/>
    <mergeCell ref="B24:C24"/>
    <mergeCell ref="B30:G31"/>
    <mergeCell ref="B33:G34"/>
    <mergeCell ref="B20:C20"/>
    <mergeCell ref="F50:F51"/>
    <mergeCell ref="G50:G51"/>
    <mergeCell ref="B54:C54"/>
    <mergeCell ref="B68:G69"/>
    <mergeCell ref="B65:G66"/>
    <mergeCell ref="B85:G86"/>
    <mergeCell ref="B16:C16"/>
    <mergeCell ref="B58:C58"/>
    <mergeCell ref="D50:D51"/>
    <mergeCell ref="E50:E51"/>
    <mergeCell ref="B55:C55"/>
    <mergeCell ref="B21:C21"/>
    <mergeCell ref="B22:C22"/>
    <mergeCell ref="B23:C23"/>
    <mergeCell ref="B53:C53"/>
    <mergeCell ref="B52:C52"/>
    <mergeCell ref="B56:C56"/>
    <mergeCell ref="B57:C57"/>
    <mergeCell ref="B127:C127"/>
    <mergeCell ref="B128:C128"/>
    <mergeCell ref="B124:C124"/>
    <mergeCell ref="B125:C125"/>
    <mergeCell ref="B17:C17"/>
    <mergeCell ref="B18:C18"/>
    <mergeCell ref="B19:C19"/>
    <mergeCell ref="B93:C93"/>
    <mergeCell ref="B120:C122"/>
    <mergeCell ref="B123:C123"/>
    <mergeCell ref="B94:C94"/>
    <mergeCell ref="B95:C95"/>
    <mergeCell ref="B96:C96"/>
    <mergeCell ref="B106:G107"/>
    <mergeCell ref="B37:G37"/>
    <mergeCell ref="B42:G42"/>
  </mergeCells>
  <phoneticPr fontId="3" type="noConversion"/>
  <dataValidations count="1">
    <dataValidation allowBlank="1" showInputMessage="1" showErrorMessage="1" promptTitle="Date Format" prompt="E.g:  &quot;August 1, 2011&quot;" sqref="G7"/>
  </dataValidations>
  <pageMargins left="0.75" right="0.75" top="1" bottom="1" header="0.5" footer="0.5"/>
  <pageSetup scale="78" fitToHeight="0" orientation="portrait" r:id="rId1"/>
  <headerFooter alignWithMargins="0"/>
  <rowBreaks count="2" manualBreakCount="2">
    <brk id="45" max="6" man="1"/>
    <brk id="8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dimension ref="B1:I73"/>
  <sheetViews>
    <sheetView showGridLines="0" topLeftCell="C13" zoomScaleNormal="100" workbookViewId="0">
      <selection activeCell="K21" sqref="K21"/>
    </sheetView>
  </sheetViews>
  <sheetFormatPr defaultRowHeight="12.75" x14ac:dyDescent="0.2"/>
  <cols>
    <col min="1" max="1" width="2.7109375" customWidth="1"/>
    <col min="2" max="2" width="8.7109375" customWidth="1"/>
    <col min="3" max="3" width="30.7109375" customWidth="1"/>
    <col min="4" max="8" width="12.7109375" customWidth="1"/>
    <col min="9" max="9" width="14.7109375" customWidth="1"/>
  </cols>
  <sheetData>
    <row r="1" spans="2:9" x14ac:dyDescent="0.2">
      <c r="H1" s="52" t="s">
        <v>581</v>
      </c>
      <c r="I1" s="151" t="s">
        <v>170</v>
      </c>
    </row>
    <row r="2" spans="2:9" x14ac:dyDescent="0.2">
      <c r="H2" s="52" t="s">
        <v>582</v>
      </c>
      <c r="I2" s="151" t="s">
        <v>587</v>
      </c>
    </row>
    <row r="3" spans="2:9" x14ac:dyDescent="0.2">
      <c r="H3" s="52" t="s">
        <v>583</v>
      </c>
      <c r="I3" s="151" t="s">
        <v>588</v>
      </c>
    </row>
    <row r="4" spans="2:9" x14ac:dyDescent="0.2">
      <c r="H4" s="52" t="s">
        <v>584</v>
      </c>
      <c r="I4" s="151" t="s">
        <v>589</v>
      </c>
    </row>
    <row r="5" spans="2:9" x14ac:dyDescent="0.2">
      <c r="H5" s="52" t="s">
        <v>585</v>
      </c>
      <c r="I5" s="151" t="s">
        <v>590</v>
      </c>
    </row>
    <row r="6" spans="2:9" x14ac:dyDescent="0.2">
      <c r="H6" s="52"/>
    </row>
    <row r="7" spans="2:9" x14ac:dyDescent="0.2">
      <c r="H7" s="52" t="s">
        <v>586</v>
      </c>
      <c r="I7" s="472"/>
    </row>
    <row r="9" spans="2:9" ht="18" x14ac:dyDescent="0.25">
      <c r="B9" s="659" t="s">
        <v>316</v>
      </c>
      <c r="C9" s="659"/>
      <c r="D9" s="659"/>
      <c r="E9" s="659"/>
      <c r="F9" s="659"/>
      <c r="G9" s="659"/>
      <c r="H9" s="659"/>
      <c r="I9" s="659"/>
    </row>
    <row r="10" spans="2:9" ht="18" x14ac:dyDescent="0.25">
      <c r="B10" s="659" t="s">
        <v>227</v>
      </c>
      <c r="C10" s="659"/>
      <c r="D10" s="659"/>
      <c r="E10" s="659"/>
      <c r="F10" s="659"/>
      <c r="G10" s="659"/>
      <c r="H10" s="659"/>
      <c r="I10" s="659"/>
    </row>
    <row r="12" spans="2:9" x14ac:dyDescent="0.2">
      <c r="B12" s="838"/>
      <c r="C12" s="838"/>
      <c r="D12" s="838"/>
      <c r="E12" s="838"/>
      <c r="F12" s="838"/>
      <c r="G12" s="838"/>
      <c r="H12" s="838"/>
      <c r="I12" s="838"/>
    </row>
    <row r="13" spans="2:9" ht="13.5" thickBot="1" x14ac:dyDescent="0.25"/>
    <row r="14" spans="2:9" x14ac:dyDescent="0.2">
      <c r="B14" s="839"/>
      <c r="C14" s="840"/>
      <c r="D14" s="843" t="s">
        <v>317</v>
      </c>
      <c r="E14" s="844"/>
      <c r="F14" s="844"/>
      <c r="G14" s="844"/>
      <c r="H14" s="845"/>
      <c r="I14" s="846" t="s">
        <v>318</v>
      </c>
    </row>
    <row r="15" spans="2:9" x14ac:dyDescent="0.2">
      <c r="B15" s="841"/>
      <c r="C15" s="842"/>
      <c r="D15" s="399">
        <v>2007</v>
      </c>
      <c r="E15" s="399">
        <v>2008</v>
      </c>
      <c r="F15" s="399">
        <v>2009</v>
      </c>
      <c r="G15" s="399">
        <v>2010</v>
      </c>
      <c r="H15" s="399">
        <v>2011</v>
      </c>
      <c r="I15" s="847"/>
    </row>
    <row r="16" spans="2:9" x14ac:dyDescent="0.2">
      <c r="B16" s="534"/>
      <c r="C16" s="832" t="s">
        <v>319</v>
      </c>
      <c r="D16" s="833"/>
      <c r="E16" s="833"/>
      <c r="F16" s="833"/>
      <c r="G16" s="833"/>
      <c r="H16" s="833"/>
      <c r="I16" s="834"/>
    </row>
    <row r="17" spans="2:9" ht="25.5" x14ac:dyDescent="0.2">
      <c r="B17" s="373" t="s">
        <v>320</v>
      </c>
      <c r="C17" s="322" t="s">
        <v>321</v>
      </c>
      <c r="D17" s="593">
        <f>[3]Summary!D4</f>
        <v>271076220</v>
      </c>
      <c r="E17" s="593">
        <f>[3]Summary!E4</f>
        <v>262640600</v>
      </c>
      <c r="F17" s="593">
        <f>[3]Summary!F4</f>
        <v>248858578.46153846</v>
      </c>
      <c r="G17" s="593">
        <f>[3]Summary!G4</f>
        <v>261284907.69230774</v>
      </c>
      <c r="H17" s="593">
        <f>[3]Summary!H4</f>
        <v>255035715.38461539</v>
      </c>
      <c r="I17" s="594">
        <f>IF(SUM(D17:H17)=0,0,AVERAGE(D17:H17))</f>
        <v>259779204.30769229</v>
      </c>
    </row>
    <row r="18" spans="2:9" ht="25.5" x14ac:dyDescent="0.2">
      <c r="B18" s="373" t="s">
        <v>322</v>
      </c>
      <c r="C18" s="322" t="s">
        <v>323</v>
      </c>
      <c r="D18" s="593">
        <f>D17/D26</f>
        <v>262162688.58800772</v>
      </c>
      <c r="E18" s="593">
        <f>E17/E26</f>
        <v>254004448.74274662</v>
      </c>
      <c r="F18" s="593">
        <f>F17/F26</f>
        <v>240675607.79645887</v>
      </c>
      <c r="G18" s="593">
        <f>G17/G26</f>
        <v>252693334.32524925</v>
      </c>
      <c r="H18" s="593">
        <f>H17/H26</f>
        <v>246649628.03154293</v>
      </c>
      <c r="I18" s="594">
        <f>IF(SUM(D18:H18)=0,0,AVERAGE(D18:H18))</f>
        <v>251237141.49680108</v>
      </c>
    </row>
    <row r="19" spans="2:9" ht="38.25" x14ac:dyDescent="0.2">
      <c r="B19" s="373" t="s">
        <v>324</v>
      </c>
      <c r="C19" s="322" t="s">
        <v>325</v>
      </c>
      <c r="D19" s="323"/>
      <c r="E19" s="323"/>
      <c r="F19" s="323"/>
      <c r="G19" s="323"/>
      <c r="H19" s="323"/>
      <c r="I19" s="327">
        <f>IF(SUM(D19:H19)=0,0,AVERAGE(D19:H19))</f>
        <v>0</v>
      </c>
    </row>
    <row r="20" spans="2:9" ht="25.5" x14ac:dyDescent="0.2">
      <c r="B20" s="373" t="s">
        <v>326</v>
      </c>
      <c r="C20" s="322" t="s">
        <v>338</v>
      </c>
      <c r="D20" s="594">
        <f t="shared" ref="D20:I20" si="0">D18-D19</f>
        <v>262162688.58800772</v>
      </c>
      <c r="E20" s="594">
        <f t="shared" si="0"/>
        <v>254004448.74274662</v>
      </c>
      <c r="F20" s="594">
        <f t="shared" si="0"/>
        <v>240675607.79645887</v>
      </c>
      <c r="G20" s="594">
        <f t="shared" si="0"/>
        <v>252693334.32524925</v>
      </c>
      <c r="H20" s="594">
        <f t="shared" si="0"/>
        <v>246649628.03154293</v>
      </c>
      <c r="I20" s="594">
        <f t="shared" si="0"/>
        <v>251237141.49680108</v>
      </c>
    </row>
    <row r="21" spans="2:9" ht="14.25" customHeight="1" x14ac:dyDescent="0.2">
      <c r="B21" s="373" t="s">
        <v>327</v>
      </c>
      <c r="C21" s="322" t="s">
        <v>328</v>
      </c>
      <c r="D21" s="593">
        <f>[3]Summary!D8</f>
        <v>257725196.85335857</v>
      </c>
      <c r="E21" s="593">
        <f>[3]Summary!E8</f>
        <v>247717037.41603673</v>
      </c>
      <c r="F21" s="593">
        <f>[3]Summary!F8</f>
        <v>237106249.39841127</v>
      </c>
      <c r="G21" s="593">
        <f>[3]Summary!G8</f>
        <v>228261453.35758415</v>
      </c>
      <c r="H21" s="593">
        <f>[3]Summary!H8</f>
        <v>231894181.01485741</v>
      </c>
      <c r="I21" s="594">
        <f>IF(SUM(D21:H21)=0,0,AVERAGE(D21:H21))</f>
        <v>240540823.60804963</v>
      </c>
    </row>
    <row r="22" spans="2:9" ht="38.25" x14ac:dyDescent="0.2">
      <c r="B22" s="373" t="s">
        <v>329</v>
      </c>
      <c r="C22" s="322" t="s">
        <v>330</v>
      </c>
      <c r="D22" s="323"/>
      <c r="E22" s="323"/>
      <c r="F22" s="323"/>
      <c r="G22" s="323"/>
      <c r="H22" s="323"/>
      <c r="I22" s="327">
        <f>IF(SUM(D22:H22)=0,0,AVERAGE(D22:H22))</f>
        <v>0</v>
      </c>
    </row>
    <row r="23" spans="2:9" ht="25.5" x14ac:dyDescent="0.2">
      <c r="B23" s="373" t="s">
        <v>331</v>
      </c>
      <c r="C23" s="322" t="s">
        <v>340</v>
      </c>
      <c r="D23" s="374">
        <f t="shared" ref="D23:I23" si="1">D21-D22</f>
        <v>257725196.85335857</v>
      </c>
      <c r="E23" s="374">
        <f t="shared" si="1"/>
        <v>247717037.41603673</v>
      </c>
      <c r="F23" s="374">
        <f t="shared" si="1"/>
        <v>237106249.39841127</v>
      </c>
      <c r="G23" s="374">
        <f t="shared" si="1"/>
        <v>228261453.35758415</v>
      </c>
      <c r="H23" s="374">
        <f t="shared" si="1"/>
        <v>231894181.01485741</v>
      </c>
      <c r="I23" s="375">
        <f t="shared" si="1"/>
        <v>240540823.60804963</v>
      </c>
    </row>
    <row r="24" spans="2:9" ht="25.5" x14ac:dyDescent="0.2">
      <c r="B24" s="373" t="s">
        <v>332</v>
      </c>
      <c r="C24" s="322" t="s">
        <v>341</v>
      </c>
      <c r="D24" s="595">
        <f t="shared" ref="D24:I24" si="2">IF(D23=0,"",D20/D23)</f>
        <v>1.017217919663377</v>
      </c>
      <c r="E24" s="595">
        <f t="shared" si="2"/>
        <v>1.0253814246783126</v>
      </c>
      <c r="F24" s="595">
        <f t="shared" si="2"/>
        <v>1.0150538351777054</v>
      </c>
      <c r="G24" s="595">
        <f t="shared" si="2"/>
        <v>1.1070346333482386</v>
      </c>
      <c r="H24" s="595">
        <f t="shared" si="2"/>
        <v>1.0636300874481199</v>
      </c>
      <c r="I24" s="596">
        <f t="shared" si="2"/>
        <v>1.0444677860843306</v>
      </c>
    </row>
    <row r="25" spans="2:9" ht="13.5" customHeight="1" x14ac:dyDescent="0.2">
      <c r="B25" s="535"/>
      <c r="C25" s="835" t="s">
        <v>334</v>
      </c>
      <c r="D25" s="836"/>
      <c r="E25" s="836"/>
      <c r="F25" s="836"/>
      <c r="G25" s="836"/>
      <c r="H25" s="836"/>
      <c r="I25" s="837"/>
    </row>
    <row r="26" spans="2:9" x14ac:dyDescent="0.2">
      <c r="B26" s="373" t="s">
        <v>333</v>
      </c>
      <c r="C26" s="322" t="s">
        <v>335</v>
      </c>
      <c r="D26" s="323">
        <v>1.034</v>
      </c>
      <c r="E26" s="323">
        <v>1.034</v>
      </c>
      <c r="F26" s="323">
        <v>1.034</v>
      </c>
      <c r="G26" s="323">
        <v>1.034</v>
      </c>
      <c r="H26" s="323">
        <v>1.034</v>
      </c>
      <c r="I26" s="327">
        <f>IF(SUM(D26:H26)=0,0,AVERAGE(D26:H26))</f>
        <v>1.034</v>
      </c>
    </row>
    <row r="27" spans="2:9" x14ac:dyDescent="0.2">
      <c r="B27" s="535"/>
      <c r="C27" s="835" t="s">
        <v>336</v>
      </c>
      <c r="D27" s="836"/>
      <c r="E27" s="836"/>
      <c r="F27" s="836"/>
      <c r="G27" s="836"/>
      <c r="H27" s="836"/>
      <c r="I27" s="837"/>
    </row>
    <row r="28" spans="2:9" ht="13.5" thickBot="1" x14ac:dyDescent="0.25">
      <c r="B28" s="372" t="s">
        <v>337</v>
      </c>
      <c r="C28" s="328" t="s">
        <v>342</v>
      </c>
      <c r="D28" s="597">
        <f t="shared" ref="D28:I28" si="3">IF(D24="","",D24*D26)</f>
        <v>1.051803328931932</v>
      </c>
      <c r="E28" s="597">
        <f t="shared" si="3"/>
        <v>1.0602443931173753</v>
      </c>
      <c r="F28" s="597">
        <f t="shared" si="3"/>
        <v>1.0495656655737475</v>
      </c>
      <c r="G28" s="597">
        <f t="shared" si="3"/>
        <v>1.1446738108820786</v>
      </c>
      <c r="H28" s="597">
        <f t="shared" si="3"/>
        <v>1.0997935104213561</v>
      </c>
      <c r="I28" s="598">
        <f t="shared" si="3"/>
        <v>1.0799796908111978</v>
      </c>
    </row>
    <row r="30" spans="2:9" x14ac:dyDescent="0.2">
      <c r="B30" s="283" t="s">
        <v>609</v>
      </c>
    </row>
    <row r="31" spans="2:9" ht="7.5" customHeight="1" x14ac:dyDescent="0.2"/>
    <row r="33" spans="2:9" x14ac:dyDescent="0.2">
      <c r="B33" s="419" t="s">
        <v>320</v>
      </c>
      <c r="C33" s="763" t="s">
        <v>551</v>
      </c>
      <c r="D33" s="763"/>
      <c r="E33" s="763"/>
      <c r="F33" s="763"/>
      <c r="G33" s="763"/>
      <c r="H33" s="763"/>
      <c r="I33" s="763"/>
    </row>
    <row r="34" spans="2:9" x14ac:dyDescent="0.2">
      <c r="B34" s="454"/>
      <c r="C34" s="763"/>
      <c r="D34" s="763"/>
      <c r="E34" s="763"/>
      <c r="F34" s="763"/>
      <c r="G34" s="763"/>
      <c r="H34" s="763"/>
      <c r="I34" s="763"/>
    </row>
    <row r="35" spans="2:9" x14ac:dyDescent="0.2">
      <c r="B35" s="454"/>
      <c r="C35" s="763"/>
      <c r="D35" s="763"/>
      <c r="E35" s="763"/>
      <c r="F35" s="763"/>
      <c r="G35" s="763"/>
      <c r="H35" s="763"/>
      <c r="I35" s="763"/>
    </row>
    <row r="36" spans="2:9" ht="7.5" customHeight="1" x14ac:dyDescent="0.2">
      <c r="B36" s="454"/>
      <c r="C36" s="389"/>
      <c r="D36" s="389"/>
      <c r="E36" s="389"/>
      <c r="F36" s="389"/>
      <c r="G36" s="389"/>
      <c r="H36" s="389"/>
      <c r="I36" s="389"/>
    </row>
    <row r="37" spans="2:9" x14ac:dyDescent="0.2">
      <c r="B37" s="454"/>
      <c r="C37" s="763" t="s">
        <v>552</v>
      </c>
      <c r="D37" s="763"/>
      <c r="E37" s="763"/>
      <c r="F37" s="763"/>
      <c r="G37" s="763"/>
      <c r="H37" s="763"/>
      <c r="I37" s="763"/>
    </row>
    <row r="38" spans="2:9" x14ac:dyDescent="0.2">
      <c r="B38" s="454"/>
      <c r="C38" s="763"/>
      <c r="D38" s="763"/>
      <c r="E38" s="763"/>
      <c r="F38" s="763"/>
      <c r="G38" s="763"/>
      <c r="H38" s="763"/>
      <c r="I38" s="763"/>
    </row>
    <row r="39" spans="2:9" x14ac:dyDescent="0.2">
      <c r="B39" s="454"/>
      <c r="C39" s="763"/>
      <c r="D39" s="763"/>
      <c r="E39" s="763"/>
      <c r="F39" s="763"/>
      <c r="G39" s="763"/>
      <c r="H39" s="763"/>
      <c r="I39" s="763"/>
    </row>
    <row r="40" spans="2:9" x14ac:dyDescent="0.2">
      <c r="B40" s="454"/>
      <c r="C40" s="763"/>
      <c r="D40" s="763"/>
      <c r="E40" s="763"/>
      <c r="F40" s="763"/>
      <c r="G40" s="763"/>
      <c r="H40" s="763"/>
      <c r="I40" s="763"/>
    </row>
    <row r="41" spans="2:9" ht="7.5" customHeight="1" x14ac:dyDescent="0.2">
      <c r="B41" s="454"/>
      <c r="C41" s="389"/>
      <c r="D41" s="389"/>
      <c r="E41" s="389"/>
      <c r="F41" s="389"/>
      <c r="G41" s="389"/>
      <c r="H41" s="389"/>
      <c r="I41" s="389"/>
    </row>
    <row r="42" spans="2:9" x14ac:dyDescent="0.2">
      <c r="B42" s="454"/>
      <c r="C42" s="389" t="s">
        <v>511</v>
      </c>
      <c r="D42" s="389"/>
      <c r="E42" s="389"/>
      <c r="F42" s="389"/>
      <c r="G42" s="389"/>
      <c r="H42" s="389"/>
      <c r="I42" s="389"/>
    </row>
    <row r="43" spans="2:9" ht="7.5" customHeight="1" x14ac:dyDescent="0.2">
      <c r="B43" s="454"/>
      <c r="C43" s="389"/>
      <c r="D43" s="389"/>
      <c r="E43" s="389"/>
      <c r="F43" s="389"/>
      <c r="G43" s="389"/>
      <c r="H43" s="389"/>
      <c r="I43" s="389"/>
    </row>
    <row r="44" spans="2:9" x14ac:dyDescent="0.2">
      <c r="B44" s="419" t="s">
        <v>322</v>
      </c>
      <c r="C44" s="763" t="s">
        <v>553</v>
      </c>
      <c r="D44" s="763"/>
      <c r="E44" s="763"/>
      <c r="F44" s="763"/>
      <c r="G44" s="763"/>
      <c r="H44" s="763"/>
      <c r="I44" s="763"/>
    </row>
    <row r="45" spans="2:9" x14ac:dyDescent="0.2">
      <c r="B45" s="454"/>
      <c r="C45" s="763"/>
      <c r="D45" s="763"/>
      <c r="E45" s="763"/>
      <c r="F45" s="763"/>
      <c r="G45" s="763"/>
      <c r="H45" s="763"/>
      <c r="I45" s="763"/>
    </row>
    <row r="46" spans="2:9" x14ac:dyDescent="0.2">
      <c r="B46" s="454"/>
      <c r="C46" s="763"/>
      <c r="D46" s="763"/>
      <c r="E46" s="763"/>
      <c r="F46" s="763"/>
      <c r="G46" s="763"/>
      <c r="H46" s="763"/>
      <c r="I46" s="763"/>
    </row>
    <row r="47" spans="2:9" ht="7.5" customHeight="1" x14ac:dyDescent="0.2">
      <c r="B47" s="454"/>
      <c r="C47" s="389"/>
      <c r="D47" s="389"/>
      <c r="E47" s="389"/>
      <c r="F47" s="389"/>
      <c r="G47" s="389"/>
      <c r="H47" s="389"/>
      <c r="I47" s="389"/>
    </row>
    <row r="48" spans="2:9" x14ac:dyDescent="0.2">
      <c r="B48" s="454"/>
      <c r="C48" s="763" t="s">
        <v>554</v>
      </c>
      <c r="D48" s="763"/>
      <c r="E48" s="763"/>
      <c r="F48" s="763"/>
      <c r="G48" s="763"/>
      <c r="H48" s="763"/>
      <c r="I48" s="763"/>
    </row>
    <row r="49" spans="2:9" x14ac:dyDescent="0.2">
      <c r="B49" s="454"/>
      <c r="C49" s="763"/>
      <c r="D49" s="763"/>
      <c r="E49" s="763"/>
      <c r="F49" s="763"/>
      <c r="G49" s="763"/>
      <c r="H49" s="763"/>
      <c r="I49" s="763"/>
    </row>
    <row r="50" spans="2:9" x14ac:dyDescent="0.2">
      <c r="B50" s="454"/>
      <c r="C50" s="763"/>
      <c r="D50" s="763"/>
      <c r="E50" s="763"/>
      <c r="F50" s="763"/>
      <c r="G50" s="763"/>
      <c r="H50" s="763"/>
      <c r="I50" s="763"/>
    </row>
    <row r="51" spans="2:9" x14ac:dyDescent="0.2">
      <c r="B51" s="454"/>
      <c r="C51" s="763"/>
      <c r="D51" s="763"/>
      <c r="E51" s="763"/>
      <c r="F51" s="763"/>
      <c r="G51" s="763"/>
      <c r="H51" s="763"/>
      <c r="I51" s="763"/>
    </row>
    <row r="52" spans="2:9" ht="7.5" customHeight="1" x14ac:dyDescent="0.2">
      <c r="B52" s="454"/>
      <c r="C52" s="389"/>
      <c r="D52" s="389"/>
      <c r="E52" s="389"/>
      <c r="F52" s="389"/>
      <c r="G52" s="389"/>
      <c r="H52" s="389"/>
      <c r="I52" s="389"/>
    </row>
    <row r="53" spans="2:9" x14ac:dyDescent="0.2">
      <c r="B53" s="454"/>
      <c r="C53" s="794" t="s">
        <v>511</v>
      </c>
      <c r="D53" s="794"/>
      <c r="E53" s="794"/>
      <c r="F53" s="794"/>
      <c r="G53" s="794"/>
      <c r="H53" s="794"/>
      <c r="I53" s="794"/>
    </row>
    <row r="54" spans="2:9" ht="7.5" customHeight="1" x14ac:dyDescent="0.2">
      <c r="B54" s="454"/>
      <c r="C54" s="389"/>
      <c r="D54" s="389"/>
      <c r="E54" s="389"/>
      <c r="F54" s="389"/>
      <c r="G54" s="389"/>
      <c r="H54" s="389"/>
      <c r="I54" s="389"/>
    </row>
    <row r="55" spans="2:9" x14ac:dyDescent="0.2">
      <c r="B55" s="454"/>
      <c r="C55" s="763" t="s">
        <v>555</v>
      </c>
      <c r="D55" s="763"/>
      <c r="E55" s="763"/>
      <c r="F55" s="763"/>
      <c r="G55" s="763"/>
      <c r="H55" s="763"/>
      <c r="I55" s="763"/>
    </row>
    <row r="56" spans="2:9" x14ac:dyDescent="0.2">
      <c r="B56" s="454"/>
      <c r="C56" s="763"/>
      <c r="D56" s="763"/>
      <c r="E56" s="763"/>
      <c r="F56" s="763"/>
      <c r="G56" s="763"/>
      <c r="H56" s="763"/>
      <c r="I56" s="763"/>
    </row>
    <row r="57" spans="2:9" ht="7.5" customHeight="1" x14ac:dyDescent="0.2">
      <c r="B57" s="454"/>
      <c r="C57" s="389"/>
      <c r="D57" s="389"/>
      <c r="E57" s="389"/>
      <c r="F57" s="389"/>
      <c r="G57" s="389"/>
      <c r="H57" s="389"/>
      <c r="I57" s="389"/>
    </row>
    <row r="58" spans="2:9" x14ac:dyDescent="0.2">
      <c r="B58" s="419" t="s">
        <v>324</v>
      </c>
      <c r="C58" s="763" t="s">
        <v>556</v>
      </c>
      <c r="D58" s="763"/>
      <c r="E58" s="763"/>
      <c r="F58" s="763"/>
      <c r="G58" s="763"/>
      <c r="H58" s="763"/>
      <c r="I58" s="763"/>
    </row>
    <row r="59" spans="2:9" x14ac:dyDescent="0.2">
      <c r="B59" s="454"/>
      <c r="C59" s="763"/>
      <c r="D59" s="763"/>
      <c r="E59" s="763"/>
      <c r="F59" s="763"/>
      <c r="G59" s="763"/>
      <c r="H59" s="763"/>
      <c r="I59" s="763"/>
    </row>
    <row r="60" spans="2:9" ht="7.5" customHeight="1" x14ac:dyDescent="0.2">
      <c r="B60" s="454"/>
      <c r="C60" s="389"/>
      <c r="D60" s="389"/>
      <c r="E60" s="389"/>
      <c r="F60" s="389"/>
      <c r="G60" s="389"/>
      <c r="H60" s="389"/>
      <c r="I60" s="389"/>
    </row>
    <row r="61" spans="2:9" x14ac:dyDescent="0.2">
      <c r="B61" s="419" t="s">
        <v>327</v>
      </c>
      <c r="C61" s="763" t="s">
        <v>558</v>
      </c>
      <c r="D61" s="763"/>
      <c r="E61" s="763"/>
      <c r="F61" s="763"/>
      <c r="G61" s="763"/>
      <c r="H61" s="763"/>
      <c r="I61" s="763"/>
    </row>
    <row r="62" spans="2:9" x14ac:dyDescent="0.2">
      <c r="B62" s="454"/>
      <c r="C62" s="763"/>
      <c r="D62" s="763"/>
      <c r="E62" s="763"/>
      <c r="F62" s="763"/>
      <c r="G62" s="763"/>
      <c r="H62" s="763"/>
      <c r="I62" s="763"/>
    </row>
    <row r="63" spans="2:9" x14ac:dyDescent="0.2">
      <c r="B63" s="454"/>
      <c r="C63" s="389"/>
      <c r="D63" s="389"/>
      <c r="E63" s="389"/>
      <c r="F63" s="389"/>
      <c r="G63" s="389"/>
      <c r="H63" s="389"/>
      <c r="I63" s="389"/>
    </row>
    <row r="64" spans="2:9" x14ac:dyDescent="0.2">
      <c r="B64" s="419" t="s">
        <v>557</v>
      </c>
      <c r="C64" s="794" t="s">
        <v>512</v>
      </c>
      <c r="D64" s="794"/>
      <c r="E64" s="794"/>
      <c r="F64" s="794"/>
      <c r="G64" s="794"/>
      <c r="H64" s="794"/>
      <c r="I64" s="794"/>
    </row>
    <row r="65" spans="2:9" x14ac:dyDescent="0.2">
      <c r="B65" s="454"/>
      <c r="C65" s="389"/>
      <c r="D65" s="389"/>
      <c r="E65" s="389"/>
      <c r="F65" s="389"/>
      <c r="G65" s="389"/>
      <c r="H65" s="389"/>
      <c r="I65" s="389"/>
    </row>
    <row r="66" spans="2:9" x14ac:dyDescent="0.2">
      <c r="B66" s="419" t="s">
        <v>333</v>
      </c>
      <c r="C66" s="794" t="s">
        <v>549</v>
      </c>
      <c r="D66" s="794"/>
      <c r="E66" s="794"/>
      <c r="F66" s="794"/>
      <c r="G66" s="794"/>
      <c r="H66" s="794"/>
      <c r="I66" s="794"/>
    </row>
    <row r="67" spans="2:9" x14ac:dyDescent="0.2">
      <c r="B67" s="389"/>
      <c r="C67" s="389"/>
      <c r="D67" s="389"/>
      <c r="E67" s="389"/>
      <c r="F67" s="389"/>
      <c r="G67" s="389"/>
      <c r="H67" s="389"/>
      <c r="I67" s="389"/>
    </row>
    <row r="68" spans="2:9" x14ac:dyDescent="0.2">
      <c r="B68" s="389"/>
      <c r="C68" s="763" t="s">
        <v>550</v>
      </c>
      <c r="D68" s="763"/>
      <c r="E68" s="763"/>
      <c r="F68" s="763"/>
      <c r="G68" s="763"/>
      <c r="H68" s="763"/>
      <c r="I68" s="389"/>
    </row>
    <row r="69" spans="2:9" x14ac:dyDescent="0.2">
      <c r="B69" s="389"/>
      <c r="C69" s="763"/>
      <c r="D69" s="763"/>
      <c r="E69" s="763"/>
      <c r="F69" s="763"/>
      <c r="G69" s="763"/>
      <c r="H69" s="763"/>
      <c r="I69" s="389"/>
    </row>
    <row r="70" spans="2:9" x14ac:dyDescent="0.2">
      <c r="B70" s="389"/>
      <c r="C70" s="763"/>
      <c r="D70" s="763"/>
      <c r="E70" s="763"/>
      <c r="F70" s="763"/>
      <c r="G70" s="763"/>
      <c r="H70" s="763"/>
      <c r="I70" s="389"/>
    </row>
    <row r="71" spans="2:9" x14ac:dyDescent="0.2">
      <c r="B71" s="389"/>
      <c r="C71" s="389"/>
      <c r="D71" s="389"/>
      <c r="E71" s="389"/>
      <c r="F71" s="389"/>
      <c r="G71" s="389"/>
      <c r="H71" s="389"/>
      <c r="I71" s="389"/>
    </row>
    <row r="72" spans="2:9" x14ac:dyDescent="0.2">
      <c r="C72" s="794" t="s">
        <v>559</v>
      </c>
      <c r="D72" s="831"/>
      <c r="E72" s="831"/>
      <c r="F72" s="831"/>
      <c r="G72" s="831"/>
      <c r="H72" s="831"/>
      <c r="I72" s="831"/>
    </row>
    <row r="73" spans="2:9" x14ac:dyDescent="0.2">
      <c r="C73" t="s">
        <v>560</v>
      </c>
    </row>
  </sheetData>
  <mergeCells count="21">
    <mergeCell ref="B9:I9"/>
    <mergeCell ref="B10:I10"/>
    <mergeCell ref="B12:I12"/>
    <mergeCell ref="B14:C15"/>
    <mergeCell ref="D14:H14"/>
    <mergeCell ref="I14:I15"/>
    <mergeCell ref="C16:I16"/>
    <mergeCell ref="C25:I25"/>
    <mergeCell ref="C27:I27"/>
    <mergeCell ref="C55:I56"/>
    <mergeCell ref="C37:I40"/>
    <mergeCell ref="C44:I46"/>
    <mergeCell ref="C48:I51"/>
    <mergeCell ref="C58:I59"/>
    <mergeCell ref="C61:I62"/>
    <mergeCell ref="C33:I35"/>
    <mergeCell ref="C72:I72"/>
    <mergeCell ref="C64:I64"/>
    <mergeCell ref="C66:I66"/>
    <mergeCell ref="C68:H70"/>
    <mergeCell ref="C53:I53"/>
  </mergeCells>
  <phoneticPr fontId="3" type="noConversion"/>
  <dataValidations count="1">
    <dataValidation allowBlank="1" showInputMessage="1" showErrorMessage="1" promptTitle="Date Format" prompt="E.g:  &quot;August 1, 2011&quot;" sqref="I7"/>
  </dataValidations>
  <pageMargins left="0.75" right="0.75" top="1" bottom="1" header="0.5" footer="0.5"/>
  <pageSetup scale="64" fitToHeight="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pageSetUpPr fitToPage="1"/>
  </sheetPr>
  <dimension ref="B1:J37"/>
  <sheetViews>
    <sheetView showGridLines="0" topLeftCell="A9" zoomScaleNormal="100" workbookViewId="0">
      <selection activeCell="K19" sqref="K19:K24"/>
    </sheetView>
  </sheetViews>
  <sheetFormatPr defaultRowHeight="12.75" x14ac:dyDescent="0.2"/>
  <cols>
    <col min="1" max="1" width="2.7109375" customWidth="1"/>
    <col min="2" max="2" width="12.7109375" customWidth="1"/>
    <col min="3" max="5" width="13.7109375" customWidth="1"/>
    <col min="6" max="6" width="12.140625" customWidth="1"/>
    <col min="7" max="9" width="13.7109375" customWidth="1"/>
  </cols>
  <sheetData>
    <row r="1" spans="2:10" x14ac:dyDescent="0.2">
      <c r="H1" s="52" t="s">
        <v>581</v>
      </c>
      <c r="I1" s="151" t="s">
        <v>170</v>
      </c>
    </row>
    <row r="2" spans="2:10" x14ac:dyDescent="0.2">
      <c r="H2" s="52" t="s">
        <v>581</v>
      </c>
      <c r="I2" s="547" t="s">
        <v>170</v>
      </c>
      <c r="J2" s="549"/>
    </row>
    <row r="3" spans="2:10" x14ac:dyDescent="0.2">
      <c r="H3" s="52" t="s">
        <v>582</v>
      </c>
      <c r="I3" s="547" t="s">
        <v>587</v>
      </c>
      <c r="J3" s="549"/>
    </row>
    <row r="4" spans="2:10" x14ac:dyDescent="0.2">
      <c r="H4" s="52" t="s">
        <v>583</v>
      </c>
      <c r="I4" s="547" t="s">
        <v>588</v>
      </c>
      <c r="J4" s="549"/>
    </row>
    <row r="5" spans="2:10" x14ac:dyDescent="0.2">
      <c r="H5" s="52" t="s">
        <v>584</v>
      </c>
      <c r="I5" s="547" t="s">
        <v>589</v>
      </c>
      <c r="J5" s="549"/>
    </row>
    <row r="6" spans="2:10" x14ac:dyDescent="0.2">
      <c r="H6" s="52" t="s">
        <v>585</v>
      </c>
      <c r="I6" s="547" t="s">
        <v>590</v>
      </c>
      <c r="J6" s="549"/>
    </row>
    <row r="7" spans="2:10" x14ac:dyDescent="0.2">
      <c r="H7" s="52"/>
      <c r="J7" s="453"/>
    </row>
    <row r="8" spans="2:10" x14ac:dyDescent="0.2">
      <c r="H8" s="52" t="s">
        <v>586</v>
      </c>
      <c r="I8" s="548"/>
      <c r="J8" s="550"/>
    </row>
    <row r="9" spans="2:10" ht="18" x14ac:dyDescent="0.25">
      <c r="B9" s="659" t="s">
        <v>44</v>
      </c>
      <c r="C9" s="659"/>
      <c r="D9" s="659"/>
      <c r="E9" s="659"/>
      <c r="F9" s="659"/>
      <c r="G9" s="659"/>
      <c r="H9" s="659"/>
      <c r="I9" s="659"/>
    </row>
    <row r="10" spans="2:10" ht="18" x14ac:dyDescent="0.25">
      <c r="B10" s="659" t="s">
        <v>543</v>
      </c>
      <c r="C10" s="659"/>
      <c r="D10" s="659"/>
      <c r="E10" s="659"/>
      <c r="F10" s="659"/>
      <c r="G10" s="659"/>
      <c r="H10" s="659"/>
      <c r="I10" s="659"/>
    </row>
    <row r="12" spans="2:10" ht="12.75" customHeight="1" x14ac:dyDescent="0.2">
      <c r="B12" s="851" t="s">
        <v>483</v>
      </c>
      <c r="C12" s="851"/>
      <c r="D12" s="851"/>
      <c r="E12" s="851"/>
      <c r="F12" s="851"/>
      <c r="G12" s="851"/>
      <c r="H12" s="851"/>
      <c r="I12" s="851"/>
    </row>
    <row r="13" spans="2:10" x14ac:dyDescent="0.2">
      <c r="B13" s="851"/>
      <c r="C13" s="851"/>
      <c r="D13" s="851"/>
      <c r="E13" s="851"/>
      <c r="F13" s="851"/>
      <c r="G13" s="851"/>
      <c r="H13" s="851"/>
      <c r="I13" s="851"/>
    </row>
    <row r="14" spans="2:10" x14ac:dyDescent="0.2">
      <c r="B14" s="851"/>
      <c r="C14" s="851"/>
      <c r="D14" s="851"/>
      <c r="E14" s="851"/>
      <c r="F14" s="851"/>
      <c r="G14" s="851"/>
      <c r="H14" s="851"/>
      <c r="I14" s="851"/>
    </row>
    <row r="15" spans="2:10" ht="13.5" thickBot="1" x14ac:dyDescent="0.25"/>
    <row r="16" spans="2:10" x14ac:dyDescent="0.2">
      <c r="B16" s="544" t="s">
        <v>677</v>
      </c>
      <c r="C16" s="827" t="s">
        <v>513</v>
      </c>
      <c r="D16" s="827"/>
      <c r="E16" s="827"/>
      <c r="F16" s="849" t="s">
        <v>514</v>
      </c>
      <c r="G16" s="827" t="s">
        <v>515</v>
      </c>
      <c r="H16" s="827"/>
      <c r="I16" s="527" t="s">
        <v>518</v>
      </c>
      <c r="J16" s="52"/>
    </row>
    <row r="17" spans="2:10" ht="53.25" customHeight="1" x14ac:dyDescent="0.2">
      <c r="B17" s="545"/>
      <c r="C17" s="546" t="s">
        <v>118</v>
      </c>
      <c r="D17" s="546" t="s">
        <v>119</v>
      </c>
      <c r="E17" s="546" t="s">
        <v>198</v>
      </c>
      <c r="F17" s="850"/>
      <c r="G17" s="526" t="s">
        <v>516</v>
      </c>
      <c r="H17" s="526" t="s">
        <v>517</v>
      </c>
      <c r="I17" s="529" t="s">
        <v>519</v>
      </c>
      <c r="J17" s="52"/>
    </row>
    <row r="18" spans="2:10" x14ac:dyDescent="0.2">
      <c r="B18" s="545"/>
      <c r="C18" s="532"/>
      <c r="D18" s="532"/>
      <c r="E18" s="532"/>
      <c r="F18" s="532" t="s">
        <v>366</v>
      </c>
      <c r="G18" s="532" t="s">
        <v>364</v>
      </c>
      <c r="H18" s="532" t="s">
        <v>364</v>
      </c>
      <c r="I18" s="533" t="s">
        <v>364</v>
      </c>
      <c r="J18" s="52"/>
    </row>
    <row r="19" spans="2:10" x14ac:dyDescent="0.2">
      <c r="B19" s="148">
        <v>2006</v>
      </c>
      <c r="C19" s="429"/>
      <c r="D19" s="429"/>
      <c r="E19" s="429"/>
      <c r="F19" s="176"/>
      <c r="G19" s="161"/>
      <c r="H19" s="161"/>
      <c r="I19" s="169"/>
    </row>
    <row r="20" spans="2:10" x14ac:dyDescent="0.2">
      <c r="B20" s="148">
        <v>2007</v>
      </c>
      <c r="C20" s="429"/>
      <c r="D20" s="429"/>
      <c r="E20" s="429"/>
      <c r="F20" s="176"/>
      <c r="G20" s="161">
        <f>SUM('[7]8. Funding_Adder_Revs'!$K$36:$K$47)</f>
        <v>23589</v>
      </c>
      <c r="H20" s="161"/>
      <c r="I20" s="169"/>
    </row>
    <row r="21" spans="2:10" x14ac:dyDescent="0.2">
      <c r="B21" s="148">
        <v>2008</v>
      </c>
      <c r="C21" s="429"/>
      <c r="D21" s="429"/>
      <c r="E21" s="429"/>
      <c r="F21" s="176"/>
      <c r="G21" s="161">
        <f>SUM('[7]8. Funding_Adder_Revs'!$K$48:$K$59)</f>
        <v>35443.369999999995</v>
      </c>
      <c r="H21" s="161"/>
      <c r="I21" s="169"/>
    </row>
    <row r="22" spans="2:10" x14ac:dyDescent="0.2">
      <c r="B22" s="148">
        <v>2009</v>
      </c>
      <c r="C22" s="429"/>
      <c r="D22" s="429"/>
      <c r="E22" s="429"/>
      <c r="F22" s="176"/>
      <c r="G22" s="161">
        <f>SUM('[7]8. Funding_Adder_Revs'!$K$60:$K$71)</f>
        <v>35288.730000000003</v>
      </c>
      <c r="H22" s="161">
        <f>'[7]2. Smart_Meter_Costs'!$M$193</f>
        <v>11488.66</v>
      </c>
      <c r="I22" s="169"/>
    </row>
    <row r="23" spans="2:10" x14ac:dyDescent="0.2">
      <c r="B23" s="148">
        <v>2010</v>
      </c>
      <c r="C23" s="429">
        <f>'[7]2. Smart_Meter_Costs'!$O$25</f>
        <v>9008</v>
      </c>
      <c r="D23" s="429">
        <f>'[7]2. Smart_Meter_Costs'!$O$27</f>
        <v>474</v>
      </c>
      <c r="E23" s="429"/>
      <c r="F23" s="600">
        <f>(C23+D23)/SUM(C23:D24)</f>
        <v>0.87780040733197551</v>
      </c>
      <c r="G23" s="161">
        <f>SUM('[7]8. Funding_Adder_Revs'!$K$72:$K$83)</f>
        <v>82670.739999999991</v>
      </c>
      <c r="H23" s="161">
        <f>'[7]2. Smart_Meter_Costs'!$O$193</f>
        <v>1283969.96</v>
      </c>
      <c r="I23" s="169">
        <f>'[7]2. Smart_Meter_Costs'!$O$197</f>
        <v>19135.21</v>
      </c>
    </row>
    <row r="24" spans="2:10" ht="39" customHeight="1" thickBot="1" x14ac:dyDescent="0.25">
      <c r="B24" s="427" t="s">
        <v>424</v>
      </c>
      <c r="C24" s="430">
        <f>'[7]2. Smart_Meter_Costs'!$Q$25+'[7]2. Smart_Meter_Costs'!$S$25</f>
        <v>826</v>
      </c>
      <c r="D24" s="430">
        <f>'[7]2. Smart_Meter_Costs'!$Q$27+'[7]2. Smart_Meter_Costs'!$S$27</f>
        <v>494</v>
      </c>
      <c r="E24" s="430"/>
      <c r="F24" s="599">
        <v>1</v>
      </c>
      <c r="G24" s="282">
        <f>SUM('[7]8. Funding_Adder_Revs'!$K$84:$K$101)</f>
        <v>294580.56999999995</v>
      </c>
      <c r="H24" s="282">
        <f>'[7]2. Smart_Meter_Costs'!$Q$193+'[7]2. Smart_Meter_Costs'!$S$193</f>
        <v>320605.90999999992</v>
      </c>
      <c r="I24" s="428">
        <f>'[7]2. Smart_Meter_Costs'!$Q$197+'[7]2. Smart_Meter_Costs'!$S$197</f>
        <v>98432.42</v>
      </c>
    </row>
    <row r="25" spans="2:10" ht="13.5" thickBot="1" x14ac:dyDescent="0.25">
      <c r="B25" s="427" t="s">
        <v>573</v>
      </c>
      <c r="C25" s="601">
        <f>SUM(C19:C24)</f>
        <v>9834</v>
      </c>
      <c r="D25" s="601">
        <f>SUM(D19:D24)</f>
        <v>968</v>
      </c>
      <c r="E25" s="601"/>
      <c r="F25" s="602"/>
      <c r="G25" s="601">
        <f>SUM(G19:G24)</f>
        <v>471572.40999999992</v>
      </c>
      <c r="H25" s="601">
        <f>SUM(H19:H24)</f>
        <v>1616064.5299999998</v>
      </c>
      <c r="I25" s="601">
        <f>SUM(I19:I24)</f>
        <v>117567.63</v>
      </c>
    </row>
    <row r="26" spans="2:10" x14ac:dyDescent="0.2">
      <c r="B26" s="52"/>
    </row>
    <row r="28" spans="2:10" x14ac:dyDescent="0.2">
      <c r="B28" s="762" t="s">
        <v>199</v>
      </c>
      <c r="C28" s="702"/>
      <c r="D28" s="702"/>
      <c r="E28" s="702"/>
      <c r="F28" s="702"/>
      <c r="G28" s="702"/>
      <c r="H28" s="702"/>
    </row>
    <row r="29" spans="2:10" x14ac:dyDescent="0.2">
      <c r="B29" s="702"/>
      <c r="C29" s="702"/>
      <c r="D29" s="702"/>
      <c r="E29" s="702"/>
      <c r="F29" s="702"/>
      <c r="G29" s="702"/>
      <c r="H29" s="702"/>
    </row>
    <row r="31" spans="2:10" x14ac:dyDescent="0.2">
      <c r="B31" s="702" t="s">
        <v>520</v>
      </c>
      <c r="C31" s="702"/>
      <c r="D31" s="702"/>
      <c r="E31" s="702"/>
      <c r="F31" s="702"/>
      <c r="G31" s="702"/>
      <c r="H31" s="702"/>
      <c r="I31" s="702"/>
    </row>
    <row r="32" spans="2:10" ht="30" customHeight="1" x14ac:dyDescent="0.2">
      <c r="B32" s="702"/>
      <c r="C32" s="702"/>
      <c r="D32" s="702"/>
      <c r="E32" s="702"/>
      <c r="F32" s="702"/>
      <c r="G32" s="702"/>
      <c r="H32" s="702"/>
      <c r="I32" s="702"/>
    </row>
    <row r="33" spans="2:9" x14ac:dyDescent="0.2">
      <c r="B33" s="702"/>
      <c r="C33" s="702"/>
      <c r="D33" s="702"/>
      <c r="E33" s="702"/>
      <c r="F33" s="702"/>
      <c r="G33" s="702"/>
      <c r="H33" s="702"/>
      <c r="I33" s="702"/>
    </row>
    <row r="34" spans="2:9" x14ac:dyDescent="0.2">
      <c r="B34" s="702"/>
      <c r="C34" s="702"/>
      <c r="D34" s="702"/>
      <c r="E34" s="702"/>
      <c r="F34" s="702"/>
      <c r="G34" s="702"/>
      <c r="H34" s="702"/>
      <c r="I34" s="702"/>
    </row>
    <row r="35" spans="2:9" ht="12.75" customHeight="1" x14ac:dyDescent="0.2">
      <c r="B35" s="848" t="s">
        <v>484</v>
      </c>
      <c r="C35" s="848"/>
      <c r="D35" s="848"/>
      <c r="E35" s="848"/>
      <c r="F35" s="848"/>
      <c r="G35" s="848"/>
      <c r="H35" s="848"/>
      <c r="I35" s="848"/>
    </row>
    <row r="36" spans="2:9" x14ac:dyDescent="0.2">
      <c r="B36" s="848"/>
      <c r="C36" s="848"/>
      <c r="D36" s="848"/>
      <c r="E36" s="848"/>
      <c r="F36" s="848"/>
      <c r="G36" s="848"/>
      <c r="H36" s="848"/>
      <c r="I36" s="848"/>
    </row>
    <row r="37" spans="2:9" x14ac:dyDescent="0.2">
      <c r="B37" s="848"/>
      <c r="C37" s="848"/>
      <c r="D37" s="848"/>
      <c r="E37" s="848"/>
      <c r="F37" s="848"/>
      <c r="G37" s="848"/>
      <c r="H37" s="848"/>
      <c r="I37" s="848"/>
    </row>
  </sheetData>
  <mergeCells count="9">
    <mergeCell ref="B35:I37"/>
    <mergeCell ref="B9:I9"/>
    <mergeCell ref="B10:I10"/>
    <mergeCell ref="B28:H29"/>
    <mergeCell ref="B31:I34"/>
    <mergeCell ref="C16:E16"/>
    <mergeCell ref="F16:F17"/>
    <mergeCell ref="G16:H16"/>
    <mergeCell ref="B12:I14"/>
  </mergeCells>
  <phoneticPr fontId="3" type="noConversion"/>
  <dataValidations count="1">
    <dataValidation allowBlank="1" showInputMessage="1" showErrorMessage="1" promptTitle="Date Format" prompt="E.g:  &quot;August 1, 2011&quot;" sqref="I8"/>
  </dataValidations>
  <pageMargins left="0.75" right="0.75" top="1" bottom="1" header="0.5" footer="0.5"/>
  <pageSetup scale="83"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dimension ref="B1:I90"/>
  <sheetViews>
    <sheetView showGridLines="0" topLeftCell="A7" zoomScaleNormal="100" workbookViewId="0">
      <selection activeCell="J19" sqref="J19:J44"/>
    </sheetView>
  </sheetViews>
  <sheetFormatPr defaultRowHeight="12.75" x14ac:dyDescent="0.2"/>
  <cols>
    <col min="1" max="1" width="2.7109375" customWidth="1"/>
    <col min="2" max="2" width="6.7109375" customWidth="1"/>
    <col min="3" max="3" width="7.140625" customWidth="1"/>
    <col min="4" max="6" width="13.7109375" customWidth="1"/>
    <col min="7" max="7" width="17.28515625" bestFit="1" customWidth="1"/>
    <col min="8" max="8" width="13.7109375" customWidth="1"/>
    <col min="9" max="9" width="16.42578125" customWidth="1"/>
    <col min="10" max="10" width="13.7109375" customWidth="1"/>
  </cols>
  <sheetData>
    <row r="1" spans="2:9" x14ac:dyDescent="0.2">
      <c r="H1" s="52" t="s">
        <v>581</v>
      </c>
      <c r="I1" s="151" t="s">
        <v>170</v>
      </c>
    </row>
    <row r="2" spans="2:9" x14ac:dyDescent="0.2">
      <c r="H2" s="52" t="s">
        <v>582</v>
      </c>
      <c r="I2" s="151" t="s">
        <v>587</v>
      </c>
    </row>
    <row r="3" spans="2:9" x14ac:dyDescent="0.2">
      <c r="H3" s="52" t="s">
        <v>583</v>
      </c>
      <c r="I3" s="151" t="s">
        <v>588</v>
      </c>
    </row>
    <row r="4" spans="2:9" x14ac:dyDescent="0.2">
      <c r="H4" s="52" t="s">
        <v>584</v>
      </c>
      <c r="I4" s="151" t="s">
        <v>589</v>
      </c>
    </row>
    <row r="5" spans="2:9" x14ac:dyDescent="0.2">
      <c r="H5" s="52" t="s">
        <v>585</v>
      </c>
      <c r="I5" s="151" t="s">
        <v>590</v>
      </c>
    </row>
    <row r="6" spans="2:9" x14ac:dyDescent="0.2">
      <c r="H6" s="52"/>
    </row>
    <row r="7" spans="2:9" x14ac:dyDescent="0.2">
      <c r="H7" s="52" t="s">
        <v>586</v>
      </c>
      <c r="I7" s="472"/>
    </row>
    <row r="9" spans="2:9" ht="18" x14ac:dyDescent="0.25">
      <c r="B9" s="659" t="s">
        <v>525</v>
      </c>
      <c r="C9" s="659"/>
      <c r="D9" s="659"/>
      <c r="E9" s="659"/>
      <c r="F9" s="659"/>
      <c r="G9" s="659"/>
      <c r="H9" s="659"/>
      <c r="I9" s="659"/>
    </row>
    <row r="10" spans="2:9" ht="18" x14ac:dyDescent="0.25">
      <c r="B10" s="659" t="s">
        <v>388</v>
      </c>
      <c r="C10" s="659"/>
      <c r="D10" s="659"/>
      <c r="E10" s="659"/>
      <c r="F10" s="659"/>
      <c r="G10" s="659"/>
      <c r="H10" s="659"/>
      <c r="I10" s="659"/>
    </row>
    <row r="11" spans="2:9" ht="13.5" thickBot="1" x14ac:dyDescent="0.25"/>
    <row r="12" spans="2:9" ht="51" x14ac:dyDescent="0.2">
      <c r="B12" s="544" t="s">
        <v>677</v>
      </c>
      <c r="C12" s="388" t="s">
        <v>609</v>
      </c>
      <c r="D12" s="304" t="s">
        <v>678</v>
      </c>
      <c r="E12" s="304" t="s">
        <v>679</v>
      </c>
      <c r="F12" s="304" t="s">
        <v>485</v>
      </c>
      <c r="G12" s="304" t="s">
        <v>680</v>
      </c>
      <c r="H12" s="304" t="s">
        <v>681</v>
      </c>
      <c r="I12" s="311" t="s">
        <v>682</v>
      </c>
    </row>
    <row r="13" spans="2:9" x14ac:dyDescent="0.2">
      <c r="B13" s="545"/>
      <c r="C13" s="532"/>
      <c r="D13" s="557" t="s">
        <v>683</v>
      </c>
      <c r="E13" s="557" t="s">
        <v>684</v>
      </c>
      <c r="F13" s="557" t="s">
        <v>486</v>
      </c>
      <c r="G13" s="557" t="s">
        <v>200</v>
      </c>
      <c r="H13" s="557" t="s">
        <v>686</v>
      </c>
      <c r="I13" s="558" t="s">
        <v>487</v>
      </c>
    </row>
    <row r="14" spans="2:9" x14ac:dyDescent="0.2">
      <c r="B14" s="148">
        <v>2006</v>
      </c>
      <c r="C14" s="7"/>
      <c r="D14" s="161"/>
      <c r="E14" s="161"/>
      <c r="F14" s="161"/>
      <c r="G14" s="27">
        <f t="shared" ref="G14:G19" si="0">D14-E14-F14</f>
        <v>0</v>
      </c>
      <c r="H14" s="161"/>
      <c r="I14" s="145">
        <f t="shared" ref="I14:I19" si="1">G14-H14</f>
        <v>0</v>
      </c>
    </row>
    <row r="15" spans="2:9" x14ac:dyDescent="0.2">
      <c r="B15" s="148">
        <v>2007</v>
      </c>
      <c r="C15" s="7"/>
      <c r="D15" s="161"/>
      <c r="E15" s="161"/>
      <c r="F15" s="161"/>
      <c r="G15" s="27">
        <f t="shared" si="0"/>
        <v>0</v>
      </c>
      <c r="H15" s="161"/>
      <c r="I15" s="145">
        <f t="shared" si="1"/>
        <v>0</v>
      </c>
    </row>
    <row r="16" spans="2:9" x14ac:dyDescent="0.2">
      <c r="B16" s="148">
        <v>2008</v>
      </c>
      <c r="C16" s="7"/>
      <c r="D16" s="161"/>
      <c r="E16" s="161"/>
      <c r="F16" s="161"/>
      <c r="G16" s="27">
        <f t="shared" si="0"/>
        <v>0</v>
      </c>
      <c r="H16" s="161"/>
      <c r="I16" s="145">
        <f t="shared" si="1"/>
        <v>0</v>
      </c>
    </row>
    <row r="17" spans="2:9" x14ac:dyDescent="0.2">
      <c r="B17" s="148">
        <v>2009</v>
      </c>
      <c r="C17" s="7"/>
      <c r="D17" s="161"/>
      <c r="E17" s="161"/>
      <c r="F17" s="161"/>
      <c r="G17" s="27">
        <f t="shared" si="0"/>
        <v>0</v>
      </c>
      <c r="H17" s="161"/>
      <c r="I17" s="145">
        <f t="shared" si="1"/>
        <v>0</v>
      </c>
    </row>
    <row r="18" spans="2:9" x14ac:dyDescent="0.2">
      <c r="B18" s="148">
        <v>2010</v>
      </c>
      <c r="C18" s="7"/>
      <c r="D18" s="161">
        <f>870986+34520</f>
        <v>905506</v>
      </c>
      <c r="E18" s="161">
        <v>599210</v>
      </c>
      <c r="F18" s="161"/>
      <c r="G18" s="27">
        <f t="shared" si="0"/>
        <v>306296</v>
      </c>
      <c r="H18" s="161"/>
      <c r="I18" s="145">
        <f t="shared" si="1"/>
        <v>306296</v>
      </c>
    </row>
    <row r="19" spans="2:9" ht="13.5" thickBot="1" x14ac:dyDescent="0.25">
      <c r="B19" s="149">
        <v>2011</v>
      </c>
      <c r="C19" s="150" t="s">
        <v>603</v>
      </c>
      <c r="D19" s="161">
        <f>870986+34520</f>
        <v>905506</v>
      </c>
      <c r="E19" s="161">
        <v>599210</v>
      </c>
      <c r="F19" s="282"/>
      <c r="G19" s="146">
        <f t="shared" si="0"/>
        <v>306296</v>
      </c>
      <c r="H19" s="282">
        <v>6851</v>
      </c>
      <c r="I19" s="559">
        <f t="shared" si="1"/>
        <v>299445</v>
      </c>
    </row>
    <row r="21" spans="2:9" x14ac:dyDescent="0.2">
      <c r="B21" s="52" t="s">
        <v>639</v>
      </c>
    </row>
    <row r="22" spans="2:9" x14ac:dyDescent="0.2">
      <c r="B22" s="52"/>
    </row>
    <row r="23" spans="2:9" x14ac:dyDescent="0.2">
      <c r="B23" s="141" t="s">
        <v>603</v>
      </c>
      <c r="C23" s="147" t="s">
        <v>0</v>
      </c>
      <c r="D23" s="147"/>
      <c r="E23" s="147"/>
      <c r="F23" s="147"/>
      <c r="G23" s="147"/>
      <c r="H23" s="147"/>
    </row>
    <row r="25" spans="2:9" x14ac:dyDescent="0.2">
      <c r="B25" s="669" t="s">
        <v>415</v>
      </c>
      <c r="C25" s="669"/>
      <c r="D25" s="669"/>
      <c r="E25" s="669"/>
      <c r="F25" s="669"/>
      <c r="G25" s="669"/>
      <c r="H25" s="669"/>
      <c r="I25" s="669"/>
    </row>
    <row r="26" spans="2:9" x14ac:dyDescent="0.2">
      <c r="B26" s="669"/>
      <c r="C26" s="669"/>
      <c r="D26" s="669"/>
      <c r="E26" s="669"/>
      <c r="F26" s="669"/>
      <c r="G26" s="669"/>
      <c r="H26" s="669"/>
      <c r="I26" s="669"/>
    </row>
    <row r="27" spans="2:9" x14ac:dyDescent="0.2">
      <c r="B27" s="669"/>
      <c r="C27" s="669"/>
      <c r="D27" s="669"/>
      <c r="E27" s="669"/>
      <c r="F27" s="669"/>
      <c r="G27" s="669"/>
      <c r="H27" s="669"/>
      <c r="I27" s="669"/>
    </row>
    <row r="28" spans="2:9" x14ac:dyDescent="0.2">
      <c r="B28" s="669"/>
      <c r="C28" s="669"/>
      <c r="D28" s="669"/>
      <c r="E28" s="669"/>
      <c r="F28" s="669"/>
      <c r="G28" s="669"/>
      <c r="H28" s="669"/>
      <c r="I28" s="669"/>
    </row>
    <row r="30" spans="2:9" x14ac:dyDescent="0.2">
      <c r="B30" s="852" t="s">
        <v>416</v>
      </c>
      <c r="C30" s="853"/>
      <c r="D30" s="853"/>
      <c r="E30" s="853"/>
      <c r="F30" s="853"/>
      <c r="G30" s="853"/>
      <c r="H30" s="853"/>
      <c r="I30" s="853"/>
    </row>
    <row r="31" spans="2:9" x14ac:dyDescent="0.2">
      <c r="B31" s="853"/>
      <c r="C31" s="853"/>
      <c r="D31" s="853"/>
      <c r="E31" s="853"/>
      <c r="F31" s="853"/>
      <c r="G31" s="853"/>
      <c r="H31" s="853"/>
      <c r="I31" s="853"/>
    </row>
    <row r="33" spans="2:9" x14ac:dyDescent="0.2">
      <c r="B33" s="285">
        <v>1</v>
      </c>
      <c r="C33" s="702" t="s">
        <v>417</v>
      </c>
      <c r="D33" s="702"/>
      <c r="E33" s="702"/>
      <c r="F33" s="702"/>
      <c r="G33" s="702"/>
      <c r="H33" s="702"/>
      <c r="I33" s="702"/>
    </row>
    <row r="34" spans="2:9" x14ac:dyDescent="0.2">
      <c r="C34" s="702"/>
      <c r="D34" s="702"/>
      <c r="E34" s="702"/>
      <c r="F34" s="702"/>
      <c r="G34" s="702"/>
      <c r="H34" s="702"/>
      <c r="I34" s="702"/>
    </row>
    <row r="36" spans="2:9" ht="12.75" customHeight="1" x14ac:dyDescent="0.2">
      <c r="B36" s="285">
        <v>2</v>
      </c>
      <c r="C36" s="851" t="s">
        <v>488</v>
      </c>
      <c r="D36" s="851"/>
      <c r="E36" s="851"/>
      <c r="F36" s="851"/>
      <c r="G36" s="851"/>
      <c r="H36" s="851"/>
      <c r="I36" s="851"/>
    </row>
    <row r="37" spans="2:9" x14ac:dyDescent="0.2">
      <c r="C37" s="851"/>
      <c r="D37" s="851"/>
      <c r="E37" s="851"/>
      <c r="F37" s="851"/>
      <c r="G37" s="851"/>
      <c r="H37" s="851"/>
      <c r="I37" s="851"/>
    </row>
    <row r="38" spans="2:9" x14ac:dyDescent="0.2">
      <c r="C38" s="851"/>
      <c r="D38" s="851"/>
      <c r="E38" s="851"/>
      <c r="F38" s="851"/>
      <c r="G38" s="851"/>
      <c r="H38" s="851"/>
      <c r="I38" s="851"/>
    </row>
    <row r="40" spans="2:9" x14ac:dyDescent="0.2">
      <c r="B40" s="285">
        <v>3</v>
      </c>
      <c r="C40" s="702" t="s">
        <v>418</v>
      </c>
      <c r="D40" s="702"/>
      <c r="E40" s="702"/>
      <c r="F40" s="702"/>
      <c r="G40" s="702"/>
      <c r="H40" s="702"/>
      <c r="I40" s="702"/>
    </row>
    <row r="41" spans="2:9" x14ac:dyDescent="0.2">
      <c r="C41" s="702"/>
      <c r="D41" s="702"/>
      <c r="E41" s="702"/>
      <c r="F41" s="702"/>
      <c r="G41" s="702"/>
      <c r="H41" s="702"/>
      <c r="I41" s="702"/>
    </row>
    <row r="42" spans="2:9" x14ac:dyDescent="0.2">
      <c r="C42" s="702"/>
      <c r="D42" s="702"/>
      <c r="E42" s="702"/>
      <c r="F42" s="702"/>
      <c r="G42" s="702"/>
      <c r="H42" s="702"/>
      <c r="I42" s="702"/>
    </row>
    <row r="43" spans="2:9" x14ac:dyDescent="0.2">
      <c r="C43" s="702"/>
      <c r="D43" s="702"/>
      <c r="E43" s="702"/>
      <c r="F43" s="702"/>
      <c r="G43" s="702"/>
      <c r="H43" s="702"/>
      <c r="I43" s="702"/>
    </row>
    <row r="45" spans="2:9" x14ac:dyDescent="0.2">
      <c r="C45" s="702" t="s">
        <v>148</v>
      </c>
      <c r="D45" s="702"/>
      <c r="E45" s="702"/>
      <c r="F45" s="702"/>
      <c r="G45" s="702"/>
      <c r="H45" s="702"/>
      <c r="I45" s="702"/>
    </row>
    <row r="46" spans="2:9" x14ac:dyDescent="0.2">
      <c r="C46" s="702"/>
      <c r="D46" s="702"/>
      <c r="E46" s="702"/>
      <c r="F46" s="702"/>
      <c r="G46" s="702"/>
      <c r="H46" s="702"/>
      <c r="I46" s="702"/>
    </row>
    <row r="47" spans="2:9" x14ac:dyDescent="0.2">
      <c r="C47" s="702"/>
      <c r="D47" s="702"/>
      <c r="E47" s="702"/>
      <c r="F47" s="702"/>
      <c r="G47" s="702"/>
      <c r="H47" s="702"/>
      <c r="I47" s="702"/>
    </row>
    <row r="48" spans="2:9" x14ac:dyDescent="0.2">
      <c r="C48" s="702"/>
      <c r="D48" s="702"/>
      <c r="E48" s="702"/>
      <c r="F48" s="702"/>
      <c r="G48" s="702"/>
      <c r="H48" s="702"/>
      <c r="I48" s="702"/>
    </row>
    <row r="50" spans="2:9" x14ac:dyDescent="0.2">
      <c r="C50" t="s">
        <v>411</v>
      </c>
      <c r="D50" s="702" t="s">
        <v>425</v>
      </c>
      <c r="E50" s="702"/>
      <c r="F50" s="702"/>
      <c r="G50" s="702"/>
      <c r="H50" s="702"/>
      <c r="I50" s="702"/>
    </row>
    <row r="51" spans="2:9" x14ac:dyDescent="0.2">
      <c r="D51" s="702"/>
      <c r="E51" s="702"/>
      <c r="F51" s="702"/>
      <c r="G51" s="702"/>
      <c r="H51" s="702"/>
      <c r="I51" s="702"/>
    </row>
    <row r="53" spans="2:9" x14ac:dyDescent="0.2">
      <c r="C53" t="s">
        <v>412</v>
      </c>
      <c r="D53" s="669" t="s">
        <v>426</v>
      </c>
      <c r="E53" s="669"/>
      <c r="F53" s="669"/>
      <c r="G53" s="669"/>
      <c r="H53" s="669"/>
      <c r="I53" s="669"/>
    </row>
    <row r="54" spans="2:9" x14ac:dyDescent="0.2">
      <c r="D54" s="669"/>
      <c r="E54" s="669"/>
      <c r="F54" s="669"/>
      <c r="G54" s="669"/>
      <c r="H54" s="669"/>
      <c r="I54" s="669"/>
    </row>
    <row r="55" spans="2:9" x14ac:dyDescent="0.2">
      <c r="D55" s="669"/>
      <c r="E55" s="669"/>
      <c r="F55" s="669"/>
      <c r="G55" s="669"/>
      <c r="H55" s="669"/>
      <c r="I55" s="669"/>
    </row>
    <row r="56" spans="2:9" x14ac:dyDescent="0.2">
      <c r="D56" s="669"/>
      <c r="E56" s="669"/>
      <c r="F56" s="669"/>
      <c r="G56" s="669"/>
      <c r="H56" s="669"/>
      <c r="I56" s="669"/>
    </row>
    <row r="58" spans="2:9" x14ac:dyDescent="0.2">
      <c r="C58" t="s">
        <v>413</v>
      </c>
      <c r="D58" s="669" t="s">
        <v>490</v>
      </c>
      <c r="E58" s="669"/>
      <c r="F58" s="669"/>
      <c r="G58" s="669"/>
      <c r="H58" s="669"/>
      <c r="I58" s="669"/>
    </row>
    <row r="59" spans="2:9" x14ac:dyDescent="0.2">
      <c r="D59" s="669"/>
      <c r="E59" s="669"/>
      <c r="F59" s="669"/>
      <c r="G59" s="669"/>
      <c r="H59" s="669"/>
      <c r="I59" s="669"/>
    </row>
    <row r="60" spans="2:9" x14ac:dyDescent="0.2">
      <c r="D60" s="669"/>
      <c r="E60" s="669"/>
      <c r="F60" s="669"/>
      <c r="G60" s="669"/>
      <c r="H60" s="669"/>
      <c r="I60" s="669"/>
    </row>
    <row r="62" spans="2:9" x14ac:dyDescent="0.2">
      <c r="B62" s="852" t="s">
        <v>430</v>
      </c>
      <c r="C62" s="853"/>
      <c r="D62" s="853"/>
      <c r="E62" s="853"/>
      <c r="F62" s="853"/>
      <c r="G62" s="853"/>
      <c r="H62" s="853"/>
      <c r="I62" s="853"/>
    </row>
    <row r="63" spans="2:9" x14ac:dyDescent="0.2">
      <c r="B63" s="853"/>
      <c r="C63" s="853"/>
      <c r="D63" s="853"/>
      <c r="E63" s="853"/>
      <c r="F63" s="853"/>
      <c r="G63" s="853"/>
      <c r="H63" s="853"/>
      <c r="I63" s="853"/>
    </row>
    <row r="65" spans="2:9" x14ac:dyDescent="0.2">
      <c r="B65" s="285">
        <v>1</v>
      </c>
      <c r="C65" s="702" t="s">
        <v>417</v>
      </c>
      <c r="D65" s="702"/>
      <c r="E65" s="702"/>
      <c r="F65" s="702"/>
      <c r="G65" s="702"/>
      <c r="H65" s="702"/>
      <c r="I65" s="702"/>
    </row>
    <row r="66" spans="2:9" x14ac:dyDescent="0.2">
      <c r="B66" s="285"/>
      <c r="C66" s="702"/>
      <c r="D66" s="702"/>
      <c r="E66" s="702"/>
      <c r="F66" s="702"/>
      <c r="G66" s="702"/>
      <c r="H66" s="702"/>
      <c r="I66" s="702"/>
    </row>
    <row r="67" spans="2:9" x14ac:dyDescent="0.2">
      <c r="B67" s="285"/>
    </row>
    <row r="68" spans="2:9" ht="12.75" customHeight="1" x14ac:dyDescent="0.2">
      <c r="B68" s="285">
        <v>2</v>
      </c>
      <c r="C68" s="848" t="s">
        <v>489</v>
      </c>
      <c r="D68" s="848"/>
      <c r="E68" s="848"/>
      <c r="F68" s="848"/>
      <c r="G68" s="848"/>
      <c r="H68" s="848"/>
      <c r="I68" s="848"/>
    </row>
    <row r="69" spans="2:9" x14ac:dyDescent="0.2">
      <c r="B69" s="285"/>
      <c r="C69" s="848"/>
      <c r="D69" s="848"/>
      <c r="E69" s="848"/>
      <c r="F69" s="848"/>
      <c r="G69" s="848"/>
      <c r="H69" s="848"/>
      <c r="I69" s="848"/>
    </row>
    <row r="70" spans="2:9" x14ac:dyDescent="0.2">
      <c r="B70" s="285"/>
      <c r="C70" s="848"/>
      <c r="D70" s="848"/>
      <c r="E70" s="848"/>
      <c r="F70" s="848"/>
      <c r="G70" s="848"/>
      <c r="H70" s="848"/>
      <c r="I70" s="848"/>
    </row>
    <row r="71" spans="2:9" x14ac:dyDescent="0.2">
      <c r="B71" s="285"/>
      <c r="C71" s="461"/>
      <c r="D71" s="461"/>
      <c r="E71" s="461"/>
      <c r="F71" s="461"/>
      <c r="G71" s="461"/>
      <c r="H71" s="461"/>
      <c r="I71" s="461"/>
    </row>
    <row r="72" spans="2:9" x14ac:dyDescent="0.2">
      <c r="B72" s="285">
        <v>3</v>
      </c>
      <c r="C72" s="702" t="s">
        <v>149</v>
      </c>
      <c r="D72" s="702"/>
      <c r="E72" s="702"/>
      <c r="F72" s="702"/>
      <c r="G72" s="702"/>
      <c r="H72" s="702"/>
      <c r="I72" s="702"/>
    </row>
    <row r="73" spans="2:9" x14ac:dyDescent="0.2">
      <c r="B73" s="285"/>
      <c r="C73" s="702"/>
      <c r="D73" s="702"/>
      <c r="E73" s="702"/>
      <c r="F73" s="702"/>
      <c r="G73" s="702"/>
      <c r="H73" s="702"/>
      <c r="I73" s="702"/>
    </row>
    <row r="74" spans="2:9" x14ac:dyDescent="0.2">
      <c r="B74" s="285"/>
      <c r="C74" s="702"/>
      <c r="D74" s="702"/>
      <c r="E74" s="702"/>
      <c r="F74" s="702"/>
      <c r="G74" s="702"/>
      <c r="H74" s="702"/>
      <c r="I74" s="702"/>
    </row>
    <row r="75" spans="2:9" x14ac:dyDescent="0.2">
      <c r="B75" s="285"/>
    </row>
    <row r="76" spans="2:9" x14ac:dyDescent="0.2">
      <c r="B76" s="285">
        <v>4</v>
      </c>
      <c r="C76" s="702" t="s">
        <v>431</v>
      </c>
      <c r="D76" s="702"/>
      <c r="E76" s="702"/>
      <c r="F76" s="702"/>
      <c r="G76" s="702"/>
      <c r="H76" s="702"/>
      <c r="I76" s="702"/>
    </row>
    <row r="77" spans="2:9" x14ac:dyDescent="0.2">
      <c r="B77" s="285"/>
      <c r="C77" s="702"/>
      <c r="D77" s="702"/>
      <c r="E77" s="702"/>
      <c r="F77" s="702"/>
      <c r="G77" s="702"/>
      <c r="H77" s="702"/>
      <c r="I77" s="702"/>
    </row>
    <row r="78" spans="2:9" x14ac:dyDescent="0.2">
      <c r="B78" s="285"/>
      <c r="C78" s="702"/>
      <c r="D78" s="702"/>
      <c r="E78" s="702"/>
      <c r="F78" s="702"/>
      <c r="G78" s="702"/>
      <c r="H78" s="702"/>
      <c r="I78" s="702"/>
    </row>
    <row r="79" spans="2:9" x14ac:dyDescent="0.2">
      <c r="B79" s="285"/>
    </row>
    <row r="80" spans="2:9" x14ac:dyDescent="0.2">
      <c r="B80" s="285">
        <v>5</v>
      </c>
      <c r="C80" s="702" t="s">
        <v>150</v>
      </c>
      <c r="D80" s="702"/>
      <c r="E80" s="702"/>
      <c r="F80" s="702"/>
      <c r="G80" s="702"/>
      <c r="H80" s="702"/>
      <c r="I80" s="702"/>
    </row>
    <row r="81" spans="2:9" x14ac:dyDescent="0.2">
      <c r="B81" s="285"/>
      <c r="C81" s="702"/>
      <c r="D81" s="702"/>
      <c r="E81" s="702"/>
      <c r="F81" s="702"/>
      <c r="G81" s="702"/>
      <c r="H81" s="702"/>
      <c r="I81" s="702"/>
    </row>
    <row r="82" spans="2:9" x14ac:dyDescent="0.2">
      <c r="B82" s="285"/>
      <c r="C82" s="702"/>
      <c r="D82" s="702"/>
      <c r="E82" s="702"/>
      <c r="F82" s="702"/>
      <c r="G82" s="702"/>
      <c r="H82" s="702"/>
      <c r="I82" s="702"/>
    </row>
    <row r="83" spans="2:9" x14ac:dyDescent="0.2">
      <c r="B83" s="285"/>
    </row>
    <row r="84" spans="2:9" x14ac:dyDescent="0.2">
      <c r="B84" s="285">
        <v>6</v>
      </c>
      <c r="C84" s="702" t="s">
        <v>151</v>
      </c>
      <c r="D84" s="702"/>
      <c r="E84" s="702"/>
      <c r="F84" s="702"/>
      <c r="G84" s="702"/>
      <c r="H84" s="702"/>
      <c r="I84" s="702"/>
    </row>
    <row r="85" spans="2:9" x14ac:dyDescent="0.2">
      <c r="B85" s="285"/>
      <c r="C85" s="702"/>
      <c r="D85" s="702"/>
      <c r="E85" s="702"/>
      <c r="F85" s="702"/>
      <c r="G85" s="702"/>
      <c r="H85" s="702"/>
      <c r="I85" s="702"/>
    </row>
    <row r="86" spans="2:9" ht="25.5" customHeight="1" x14ac:dyDescent="0.2"/>
    <row r="87" spans="2:9" ht="12.75" customHeight="1" x14ac:dyDescent="0.2">
      <c r="B87" s="795" t="s">
        <v>36</v>
      </c>
      <c r="C87" s="795"/>
      <c r="D87" s="795"/>
      <c r="E87" s="795"/>
      <c r="F87" s="795"/>
      <c r="G87" s="795"/>
      <c r="H87" s="795"/>
      <c r="I87" s="795"/>
    </row>
    <row r="88" spans="2:9" x14ac:dyDescent="0.2">
      <c r="B88" s="795"/>
      <c r="C88" s="795"/>
      <c r="D88" s="795"/>
      <c r="E88" s="795"/>
      <c r="F88" s="795"/>
      <c r="G88" s="795"/>
      <c r="H88" s="795"/>
      <c r="I88" s="795"/>
    </row>
    <row r="89" spans="2:9" x14ac:dyDescent="0.2">
      <c r="B89" s="795"/>
      <c r="C89" s="795"/>
      <c r="D89" s="795"/>
      <c r="E89" s="795"/>
      <c r="F89" s="795"/>
      <c r="G89" s="795"/>
      <c r="H89" s="795"/>
      <c r="I89" s="795"/>
    </row>
    <row r="90" spans="2:9" x14ac:dyDescent="0.2">
      <c r="B90" s="795"/>
      <c r="C90" s="795"/>
      <c r="D90" s="795"/>
      <c r="E90" s="795"/>
      <c r="F90" s="795"/>
      <c r="G90" s="795"/>
      <c r="H90" s="795"/>
      <c r="I90" s="795"/>
    </row>
  </sheetData>
  <mergeCells count="19">
    <mergeCell ref="D58:I60"/>
    <mergeCell ref="B62:I63"/>
    <mergeCell ref="B87:I90"/>
    <mergeCell ref="C80:I82"/>
    <mergeCell ref="C84:I85"/>
    <mergeCell ref="C65:I66"/>
    <mergeCell ref="C72:I74"/>
    <mergeCell ref="C76:I78"/>
    <mergeCell ref="C68:I70"/>
    <mergeCell ref="C36:I38"/>
    <mergeCell ref="C40:I43"/>
    <mergeCell ref="C45:I48"/>
    <mergeCell ref="D50:I51"/>
    <mergeCell ref="D53:I56"/>
    <mergeCell ref="B9:I9"/>
    <mergeCell ref="B10:I10"/>
    <mergeCell ref="B25:I28"/>
    <mergeCell ref="B30:I31"/>
    <mergeCell ref="C33:I34"/>
  </mergeCells>
  <phoneticPr fontId="3" type="noConversion"/>
  <dataValidations count="1">
    <dataValidation allowBlank="1" showInputMessage="1" showErrorMessage="1" promptTitle="Date Format" prompt="E.g:  &quot;August 1, 2011&quot;" sqref="I7"/>
  </dataValidations>
  <pageMargins left="0.74803149606299213" right="0.74803149606299213" top="0.98425196850393704" bottom="0.98425196850393704" header="0.51181102362204722" footer="0.51181102362204722"/>
  <pageSetup scale="80" fitToHeight="0" orientation="portrait" r:id="rId1"/>
  <headerFooter alignWithMargins="0"/>
  <rowBreaks count="1" manualBreakCount="1">
    <brk id="60" max="8"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B1:O49"/>
  <sheetViews>
    <sheetView showGridLines="0" zoomScaleNormal="100" workbookViewId="0">
      <selection activeCell="Q21" sqref="Q21"/>
    </sheetView>
  </sheetViews>
  <sheetFormatPr defaultRowHeight="12.75" x14ac:dyDescent="0.2"/>
  <cols>
    <col min="1" max="1" width="1.7109375" customWidth="1"/>
    <col min="2" max="2" width="18.7109375" customWidth="1"/>
    <col min="3" max="3" width="1.7109375" customWidth="1"/>
    <col min="4" max="4" width="17.7109375" customWidth="1"/>
    <col min="5" max="5" width="1.7109375" customWidth="1"/>
    <col min="6" max="6" width="17.7109375" customWidth="1"/>
    <col min="7" max="7" width="1.7109375" customWidth="1"/>
    <col min="8" max="8" width="17.7109375" customWidth="1"/>
    <col min="9" max="9" width="3.85546875" customWidth="1"/>
    <col min="10" max="10" width="17.7109375" customWidth="1"/>
    <col min="11" max="11" width="1.7109375" customWidth="1"/>
    <col min="12" max="12" width="12.7109375" customWidth="1"/>
    <col min="13" max="13" width="15.7109375" customWidth="1"/>
    <col min="14" max="14" width="1.7109375" customWidth="1"/>
    <col min="15" max="15" width="14.7109375" customWidth="1"/>
    <col min="16" max="16" width="3.85546875" customWidth="1"/>
  </cols>
  <sheetData>
    <row r="1" spans="2:15" x14ac:dyDescent="0.2">
      <c r="M1" s="52" t="s">
        <v>581</v>
      </c>
      <c r="N1" s="854" t="s">
        <v>170</v>
      </c>
      <c r="O1" s="854"/>
    </row>
    <row r="2" spans="2:15" x14ac:dyDescent="0.2">
      <c r="M2" s="52" t="s">
        <v>582</v>
      </c>
      <c r="N2" s="854" t="s">
        <v>587</v>
      </c>
      <c r="O2" s="854"/>
    </row>
    <row r="3" spans="2:15" x14ac:dyDescent="0.2">
      <c r="M3" s="52" t="s">
        <v>583</v>
      </c>
      <c r="N3" s="854" t="s">
        <v>588</v>
      </c>
      <c r="O3" s="854"/>
    </row>
    <row r="4" spans="2:15" x14ac:dyDescent="0.2">
      <c r="M4" s="52" t="s">
        <v>584</v>
      </c>
      <c r="N4" s="854" t="s">
        <v>589</v>
      </c>
      <c r="O4" s="854"/>
    </row>
    <row r="5" spans="2:15" x14ac:dyDescent="0.2">
      <c r="M5" s="52" t="s">
        <v>585</v>
      </c>
      <c r="N5" s="854" t="s">
        <v>590</v>
      </c>
      <c r="O5" s="854"/>
    </row>
    <row r="6" spans="2:15" x14ac:dyDescent="0.2">
      <c r="M6" s="52"/>
    </row>
    <row r="7" spans="2:15" x14ac:dyDescent="0.2">
      <c r="M7" s="52" t="s">
        <v>586</v>
      </c>
      <c r="N7" s="855"/>
      <c r="O7" s="855"/>
    </row>
    <row r="8" spans="2:15" ht="7.5" customHeight="1" x14ac:dyDescent="0.2">
      <c r="M8" s="52"/>
    </row>
    <row r="9" spans="2:15" ht="18" x14ac:dyDescent="0.25">
      <c r="B9" s="659" t="s">
        <v>778</v>
      </c>
      <c r="C9" s="659"/>
      <c r="D9" s="659"/>
      <c r="E9" s="659"/>
      <c r="F9" s="659"/>
      <c r="G9" s="659"/>
      <c r="H9" s="659"/>
      <c r="I9" s="659"/>
      <c r="J9" s="659"/>
      <c r="K9" s="659"/>
      <c r="L9" s="659"/>
      <c r="M9" s="659"/>
    </row>
    <row r="10" spans="2:15" ht="18" x14ac:dyDescent="0.25">
      <c r="B10" s="659" t="s">
        <v>106</v>
      </c>
      <c r="C10" s="659"/>
      <c r="D10" s="659"/>
      <c r="E10" s="659"/>
      <c r="F10" s="659"/>
      <c r="G10" s="659"/>
      <c r="H10" s="659"/>
      <c r="I10" s="659"/>
      <c r="J10" s="659"/>
      <c r="K10" s="659"/>
      <c r="L10" s="659"/>
      <c r="M10" s="659"/>
    </row>
    <row r="11" spans="2:15" ht="13.5" thickBot="1" x14ac:dyDescent="0.25"/>
    <row r="12" spans="2:15" ht="16.5" thickBot="1" x14ac:dyDescent="0.3">
      <c r="B12" s="163" t="s">
        <v>643</v>
      </c>
      <c r="C12" s="163"/>
      <c r="D12" s="163" t="s">
        <v>48</v>
      </c>
      <c r="E12" s="186"/>
      <c r="F12" s="186"/>
      <c r="G12" s="186"/>
      <c r="J12" s="187"/>
    </row>
    <row r="13" spans="2:15" ht="13.5" thickBot="1" x14ac:dyDescent="0.25"/>
    <row r="14" spans="2:15" ht="13.5" thickBot="1" x14ac:dyDescent="0.25">
      <c r="B14" s="434" t="s">
        <v>603</v>
      </c>
      <c r="C14" s="435"/>
      <c r="D14" s="434" t="s">
        <v>637</v>
      </c>
      <c r="E14" s="435"/>
      <c r="F14" s="434" t="s">
        <v>49</v>
      </c>
      <c r="G14" s="435"/>
      <c r="H14" s="434" t="s">
        <v>50</v>
      </c>
      <c r="I14" s="435"/>
      <c r="J14" s="434" t="s">
        <v>51</v>
      </c>
      <c r="K14" s="436"/>
      <c r="L14" s="437"/>
      <c r="M14" s="438" t="s">
        <v>52</v>
      </c>
    </row>
    <row r="15" spans="2:15" ht="51.75" customHeight="1" x14ac:dyDescent="0.2">
      <c r="B15" s="188" t="s">
        <v>53</v>
      </c>
      <c r="C15" s="189"/>
      <c r="D15" s="190" t="s">
        <v>54</v>
      </c>
      <c r="E15" s="191"/>
      <c r="F15" s="190" t="s">
        <v>55</v>
      </c>
      <c r="G15" s="191"/>
      <c r="H15" s="190" t="s">
        <v>56</v>
      </c>
      <c r="I15" s="191"/>
      <c r="J15" s="190" t="s">
        <v>57</v>
      </c>
      <c r="K15" s="192"/>
      <c r="L15" s="193"/>
      <c r="M15" s="190" t="s">
        <v>58</v>
      </c>
    </row>
    <row r="16" spans="2:15" ht="13.5" thickBot="1" x14ac:dyDescent="0.25">
      <c r="B16" s="194"/>
      <c r="C16" s="195"/>
      <c r="D16" s="196" t="s">
        <v>599</v>
      </c>
      <c r="E16" s="197"/>
      <c r="F16" s="196" t="s">
        <v>599</v>
      </c>
      <c r="G16" s="197"/>
      <c r="H16" s="196" t="s">
        <v>599</v>
      </c>
      <c r="I16" s="197"/>
      <c r="J16" s="196" t="s">
        <v>599</v>
      </c>
      <c r="K16" s="198"/>
      <c r="L16" s="199"/>
      <c r="M16" s="200"/>
    </row>
    <row r="17" spans="2:15" x14ac:dyDescent="0.2">
      <c r="B17" s="201" t="s">
        <v>59</v>
      </c>
      <c r="C17" s="195"/>
      <c r="D17" s="202"/>
      <c r="E17" s="195"/>
      <c r="F17" s="202"/>
      <c r="G17" s="195"/>
      <c r="H17" s="202"/>
      <c r="I17" s="195"/>
      <c r="J17" s="202"/>
      <c r="K17" s="203"/>
      <c r="L17" s="152"/>
      <c r="M17" s="204">
        <f>F17+H17</f>
        <v>0</v>
      </c>
    </row>
    <row r="18" spans="2:15" x14ac:dyDescent="0.2">
      <c r="B18" s="205" t="s">
        <v>60</v>
      </c>
      <c r="C18" s="195"/>
      <c r="D18" s="206"/>
      <c r="E18" s="195"/>
      <c r="F18" s="206"/>
      <c r="G18" s="195"/>
      <c r="H18" s="206"/>
      <c r="I18" s="195"/>
      <c r="J18" s="206"/>
      <c r="K18" s="203"/>
      <c r="L18" s="152"/>
      <c r="M18" s="207">
        <f>F18+H18</f>
        <v>0</v>
      </c>
    </row>
    <row r="19" spans="2:15" ht="13.5" thickBot="1" x14ac:dyDescent="0.25">
      <c r="B19" s="194" t="s">
        <v>61</v>
      </c>
      <c r="C19" s="194"/>
      <c r="D19" s="208"/>
      <c r="E19" s="194"/>
      <c r="F19" s="208"/>
      <c r="G19" s="194"/>
      <c r="H19" s="208"/>
      <c r="I19" s="194"/>
      <c r="J19" s="208"/>
      <c r="K19" s="209"/>
      <c r="L19" s="154"/>
      <c r="M19" s="210">
        <f>F19+H19</f>
        <v>0</v>
      </c>
    </row>
    <row r="20" spans="2:15" ht="13.5" customHeight="1" thickBot="1" x14ac:dyDescent="0.25"/>
    <row r="21" spans="2:15" ht="13.5" thickBot="1" x14ac:dyDescent="0.25">
      <c r="B21" s="434" t="s">
        <v>603</v>
      </c>
      <c r="C21" s="435"/>
      <c r="D21" s="436" t="s">
        <v>62</v>
      </c>
      <c r="E21" s="435"/>
      <c r="F21" s="439" t="s">
        <v>63</v>
      </c>
      <c r="G21" s="440"/>
      <c r="H21" s="436" t="s">
        <v>64</v>
      </c>
      <c r="I21" s="440"/>
      <c r="J21" s="441" t="s">
        <v>65</v>
      </c>
      <c r="K21" s="441"/>
      <c r="L21" s="435"/>
      <c r="M21" s="438" t="s">
        <v>66</v>
      </c>
    </row>
    <row r="22" spans="2:15" ht="13.5" thickBot="1" x14ac:dyDescent="0.25">
      <c r="B22" s="442"/>
      <c r="C22" s="189"/>
      <c r="D22" s="860" t="s">
        <v>67</v>
      </c>
      <c r="E22" s="861"/>
      <c r="F22" s="861"/>
      <c r="G22" s="861"/>
      <c r="H22" s="861"/>
      <c r="I22" s="861"/>
      <c r="J22" s="862"/>
      <c r="K22" s="443"/>
      <c r="L22" s="189"/>
      <c r="M22" s="188"/>
    </row>
    <row r="23" spans="2:15" ht="90" thickBot="1" x14ac:dyDescent="0.25">
      <c r="B23" s="214" t="str">
        <f>B15</f>
        <v>Asset Class</v>
      </c>
      <c r="C23" s="189"/>
      <c r="D23" s="215" t="s">
        <v>68</v>
      </c>
      <c r="E23" s="191"/>
      <c r="F23" s="216" t="s">
        <v>69</v>
      </c>
      <c r="G23" s="191"/>
      <c r="H23" s="215" t="s">
        <v>70</v>
      </c>
      <c r="I23" s="191"/>
      <c r="J23" s="216" t="s">
        <v>71</v>
      </c>
      <c r="K23" s="217"/>
      <c r="L23" s="218"/>
      <c r="M23" s="218" t="s">
        <v>72</v>
      </c>
    </row>
    <row r="24" spans="2:15" ht="13.5" thickBot="1" x14ac:dyDescent="0.25">
      <c r="B24" s="212"/>
      <c r="C24" s="195"/>
      <c r="D24" s="211" t="s">
        <v>73</v>
      </c>
      <c r="E24" s="197"/>
      <c r="F24" s="211" t="s">
        <v>74</v>
      </c>
      <c r="G24" s="197"/>
      <c r="H24" s="211" t="s">
        <v>75</v>
      </c>
      <c r="I24" s="197"/>
      <c r="J24" s="211" t="s">
        <v>75</v>
      </c>
      <c r="K24" s="197"/>
      <c r="L24" s="213"/>
      <c r="M24" s="199" t="s">
        <v>76</v>
      </c>
    </row>
    <row r="25" spans="2:15" x14ac:dyDescent="0.2">
      <c r="B25" s="219" t="str">
        <f>B17</f>
        <v>Distribution Stations</v>
      </c>
      <c r="C25" s="195"/>
      <c r="D25" s="220"/>
      <c r="E25" s="195"/>
      <c r="F25" s="220"/>
      <c r="G25" s="195"/>
      <c r="H25" s="221"/>
      <c r="I25" s="222"/>
      <c r="J25" s="221"/>
      <c r="K25" s="223"/>
      <c r="L25" s="224" t="s">
        <v>77</v>
      </c>
      <c r="M25" s="225">
        <f>IF(H25=0,0,J25/H25)</f>
        <v>0</v>
      </c>
    </row>
    <row r="26" spans="2:15" x14ac:dyDescent="0.2">
      <c r="B26" s="195" t="str">
        <f>B18</f>
        <v>Transformer Stations</v>
      </c>
      <c r="C26" s="195"/>
      <c r="D26" s="226"/>
      <c r="E26" s="195"/>
      <c r="F26" s="227"/>
      <c r="G26" s="195"/>
      <c r="H26" s="228"/>
      <c r="I26" s="222"/>
      <c r="J26" s="229"/>
      <c r="K26" s="223"/>
      <c r="L26" s="224" t="s">
        <v>77</v>
      </c>
      <c r="M26" s="225">
        <f>IF(H26=0,0,J26/H26)</f>
        <v>0</v>
      </c>
    </row>
    <row r="27" spans="2:15" ht="13.5" thickBot="1" x14ac:dyDescent="0.25">
      <c r="B27" s="230" t="str">
        <f>B19</f>
        <v>Low Voltage Lines</v>
      </c>
      <c r="C27" s="194"/>
      <c r="D27" s="231"/>
      <c r="E27" s="194"/>
      <c r="F27" s="231"/>
      <c r="G27" s="194"/>
      <c r="H27" s="232"/>
      <c r="I27" s="233"/>
      <c r="J27" s="234"/>
      <c r="K27" s="235"/>
      <c r="L27" s="236" t="s">
        <v>78</v>
      </c>
      <c r="M27" s="237">
        <f>IF(H27=0,0,(F27/D27)*(J27/H27))</f>
        <v>0</v>
      </c>
    </row>
    <row r="28" spans="2:15" ht="13.5" customHeight="1" thickBot="1" x14ac:dyDescent="0.25"/>
    <row r="29" spans="2:15" ht="13.5" thickBot="1" x14ac:dyDescent="0.25">
      <c r="B29" s="434" t="s">
        <v>603</v>
      </c>
      <c r="C29" s="435"/>
      <c r="D29" s="434" t="s">
        <v>79</v>
      </c>
      <c r="E29" s="435"/>
      <c r="F29" s="434" t="s">
        <v>80</v>
      </c>
      <c r="G29" s="435"/>
      <c r="H29" s="441" t="s">
        <v>81</v>
      </c>
      <c r="I29" s="444"/>
      <c r="J29" s="434" t="s">
        <v>82</v>
      </c>
      <c r="K29" s="441"/>
      <c r="L29" s="445"/>
      <c r="M29" s="446" t="s">
        <v>83</v>
      </c>
      <c r="N29" s="435"/>
      <c r="O29" s="434" t="s">
        <v>427</v>
      </c>
    </row>
    <row r="30" spans="2:15" ht="76.5" x14ac:dyDescent="0.2">
      <c r="B30" s="189" t="str">
        <f>B23</f>
        <v>Asset Class</v>
      </c>
      <c r="C30" s="189"/>
      <c r="D30" s="217" t="s">
        <v>84</v>
      </c>
      <c r="E30" s="191"/>
      <c r="F30" s="217" t="s">
        <v>85</v>
      </c>
      <c r="G30" s="191"/>
      <c r="H30" s="190" t="s">
        <v>86</v>
      </c>
      <c r="I30" s="238"/>
      <c r="J30" s="217" t="s">
        <v>87</v>
      </c>
      <c r="K30" s="238"/>
      <c r="L30" s="191"/>
      <c r="M30" s="217" t="s">
        <v>88</v>
      </c>
      <c r="N30" s="191"/>
      <c r="O30" s="239" t="s">
        <v>89</v>
      </c>
    </row>
    <row r="31" spans="2:15" ht="13.5" thickBot="1" x14ac:dyDescent="0.25">
      <c r="B31" s="195"/>
      <c r="C31" s="195"/>
      <c r="D31" s="240" t="s">
        <v>599</v>
      </c>
      <c r="E31" s="197"/>
      <c r="F31" s="240" t="s">
        <v>599</v>
      </c>
      <c r="G31" s="197"/>
      <c r="H31" s="196" t="s">
        <v>599</v>
      </c>
      <c r="I31" s="241"/>
      <c r="J31" s="196" t="s">
        <v>599</v>
      </c>
      <c r="K31" s="242"/>
      <c r="L31" s="243"/>
      <c r="M31" s="243" t="s">
        <v>599</v>
      </c>
      <c r="N31" s="197"/>
      <c r="O31" s="196" t="s">
        <v>90</v>
      </c>
    </row>
    <row r="32" spans="2:15" x14ac:dyDescent="0.2">
      <c r="B32" s="213" t="str">
        <f>B25</f>
        <v>Distribution Stations</v>
      </c>
      <c r="C32" s="195"/>
      <c r="D32" s="244">
        <f>J$41*(M17+D17*J$46)*M25</f>
        <v>0</v>
      </c>
      <c r="E32" s="195"/>
      <c r="F32" s="244">
        <f>(D32-(D$41*F$41*M25*(M17+D17*J44)+D$42*F$42*M25*(M17+D17*J44)))*J$44/(1-J$44)</f>
        <v>0</v>
      </c>
      <c r="G32" s="195"/>
      <c r="H32" s="245">
        <f>J17*M25</f>
        <v>0</v>
      </c>
      <c r="I32" s="3"/>
      <c r="J32" s="245">
        <f>D17*M25</f>
        <v>0</v>
      </c>
      <c r="K32" s="3"/>
      <c r="L32" s="195"/>
      <c r="M32" s="246">
        <f>SUM(D32:J32)</f>
        <v>0</v>
      </c>
      <c r="N32" s="195"/>
      <c r="O32" s="152"/>
    </row>
    <row r="33" spans="2:15" x14ac:dyDescent="0.2">
      <c r="B33" s="195" t="str">
        <f>B26</f>
        <v>Transformer Stations</v>
      </c>
      <c r="C33" s="195"/>
      <c r="D33" s="245">
        <f>J$41*(M18+D18*J$46)*M26</f>
        <v>0</v>
      </c>
      <c r="E33" s="195"/>
      <c r="F33" s="247">
        <f>(D33-(D$41*F$41*M26*(M18+D18*J45)+D$42*F$42*M26*(M18+D18*J45)))*J$44/(1-J$44)</f>
        <v>0</v>
      </c>
      <c r="G33" s="195"/>
      <c r="H33" s="245">
        <f>J18*M26</f>
        <v>0</v>
      </c>
      <c r="I33" s="3"/>
      <c r="J33" s="245">
        <f>D18*M26</f>
        <v>0</v>
      </c>
      <c r="K33" s="3"/>
      <c r="L33" s="195"/>
      <c r="M33" s="248">
        <f>SUM(D33:J33)</f>
        <v>0</v>
      </c>
      <c r="N33" s="195"/>
      <c r="O33" s="152"/>
    </row>
    <row r="34" spans="2:15" ht="13.5" thickBot="1" x14ac:dyDescent="0.25">
      <c r="B34" s="194" t="str">
        <f>B27</f>
        <v>Low Voltage Lines</v>
      </c>
      <c r="C34" s="194"/>
      <c r="D34" s="249">
        <f>J$41*(M19+D19*J$46)*M27</f>
        <v>0</v>
      </c>
      <c r="E34" s="194"/>
      <c r="F34" s="250">
        <f>(D34-(D$41*F$41*M27*(M19+D19*J46)+D$42*F$42*M27*(M19+D19*J46)))*J$44/(1-J$44)</f>
        <v>0</v>
      </c>
      <c r="G34" s="194"/>
      <c r="H34" s="249">
        <f>-J19*M27</f>
        <v>0</v>
      </c>
      <c r="I34" s="153"/>
      <c r="J34" s="249">
        <f>D19*M27</f>
        <v>0</v>
      </c>
      <c r="K34" s="153"/>
      <c r="L34" s="195"/>
      <c r="M34" s="248">
        <f>SUM(D34:J34)</f>
        <v>0</v>
      </c>
      <c r="N34" s="195"/>
      <c r="O34" s="152"/>
    </row>
    <row r="35" spans="2:15" ht="14.25" thickTop="1" thickBot="1" x14ac:dyDescent="0.25">
      <c r="B35" s="3"/>
      <c r="C35" s="3"/>
      <c r="D35" s="251"/>
      <c r="E35" s="3"/>
      <c r="F35" s="252"/>
      <c r="G35" s="3"/>
      <c r="H35" s="251"/>
      <c r="I35" s="3"/>
      <c r="J35" s="251"/>
      <c r="K35" s="3"/>
      <c r="L35" s="195"/>
      <c r="M35" s="253"/>
      <c r="N35" s="195"/>
      <c r="O35" s="152"/>
    </row>
    <row r="36" spans="2:15" ht="13.5" thickBot="1" x14ac:dyDescent="0.25">
      <c r="B36" s="3"/>
      <c r="C36" s="3"/>
      <c r="D36" s="251"/>
      <c r="E36" s="3"/>
      <c r="F36" s="252"/>
      <c r="G36" s="3"/>
      <c r="H36" s="251"/>
      <c r="I36" s="3"/>
      <c r="J36" s="251"/>
      <c r="K36" s="3"/>
      <c r="L36" s="212" t="s">
        <v>573</v>
      </c>
      <c r="M36" s="254">
        <f>SUM(M32:M34)</f>
        <v>0</v>
      </c>
      <c r="N36" s="194"/>
      <c r="O36" s="551">
        <f>IF(SUM(J25:J27)=0,0,M36/SUM(J25:J27))</f>
        <v>0</v>
      </c>
    </row>
    <row r="37" spans="2:15" ht="13.5" thickBot="1" x14ac:dyDescent="0.25">
      <c r="F37" s="153"/>
      <c r="G37" s="3"/>
      <c r="K37" s="3"/>
    </row>
    <row r="38" spans="2:15" x14ac:dyDescent="0.2">
      <c r="B38" s="436" t="s">
        <v>91</v>
      </c>
      <c r="C38" s="435"/>
      <c r="D38" s="439" t="s">
        <v>92</v>
      </c>
      <c r="E38" s="435"/>
      <c r="F38" s="438" t="s">
        <v>93</v>
      </c>
      <c r="G38" s="419"/>
      <c r="H38" s="441" t="s">
        <v>428</v>
      </c>
      <c r="I38" s="435"/>
      <c r="J38" s="438" t="s">
        <v>94</v>
      </c>
    </row>
    <row r="39" spans="2:15" x14ac:dyDescent="0.2">
      <c r="B39" s="195"/>
      <c r="C39" s="195"/>
      <c r="D39" s="191" t="s">
        <v>95</v>
      </c>
      <c r="E39" s="191"/>
      <c r="F39" s="193" t="s">
        <v>595</v>
      </c>
      <c r="H39" s="195"/>
      <c r="I39" s="195"/>
      <c r="J39" s="152"/>
    </row>
    <row r="40" spans="2:15" ht="13.5" thickBot="1" x14ac:dyDescent="0.25">
      <c r="B40" s="195"/>
      <c r="C40" s="195"/>
      <c r="D40" s="240" t="s">
        <v>598</v>
      </c>
      <c r="E40" s="197"/>
      <c r="F40" s="255" t="s">
        <v>598</v>
      </c>
      <c r="G40" s="1"/>
      <c r="H40" s="256"/>
      <c r="I40" s="197"/>
      <c r="J40" s="255" t="s">
        <v>598</v>
      </c>
    </row>
    <row r="41" spans="2:15" x14ac:dyDescent="0.2">
      <c r="B41" s="213" t="s">
        <v>96</v>
      </c>
      <c r="C41" s="195"/>
      <c r="D41" s="257"/>
      <c r="E41" s="195"/>
      <c r="F41" s="258"/>
      <c r="H41" s="856" t="s">
        <v>97</v>
      </c>
      <c r="I41" s="259" t="s">
        <v>98</v>
      </c>
      <c r="J41" s="260">
        <f>IF(D47=0%,0,SUMPRODUCT(D41:D45,F41:F45)/D47)</f>
        <v>0</v>
      </c>
    </row>
    <row r="42" spans="2:15" ht="13.5" thickBot="1" x14ac:dyDescent="0.25">
      <c r="B42" s="194" t="s">
        <v>101</v>
      </c>
      <c r="C42" s="195"/>
      <c r="D42" s="261"/>
      <c r="E42" s="195"/>
      <c r="F42" s="262"/>
      <c r="H42" s="857"/>
      <c r="I42" s="194"/>
      <c r="J42" s="154"/>
    </row>
    <row r="43" spans="2:15" ht="13.5" thickBot="1" x14ac:dyDescent="0.25">
      <c r="B43" s="212"/>
      <c r="C43" s="195"/>
      <c r="D43" s="263"/>
      <c r="E43" s="195"/>
      <c r="F43" s="264"/>
      <c r="H43" s="213"/>
      <c r="I43" s="195"/>
      <c r="J43" s="152"/>
    </row>
    <row r="44" spans="2:15" ht="13.5" thickBot="1" x14ac:dyDescent="0.25">
      <c r="B44" s="195" t="s">
        <v>102</v>
      </c>
      <c r="C44" s="195"/>
      <c r="D44" s="265"/>
      <c r="E44" s="195"/>
      <c r="F44" s="266"/>
      <c r="H44" s="212" t="s">
        <v>103</v>
      </c>
      <c r="I44" s="212"/>
      <c r="J44" s="267"/>
    </row>
    <row r="45" spans="2:15" ht="13.5" thickBot="1" x14ac:dyDescent="0.25">
      <c r="B45" s="194" t="s">
        <v>104</v>
      </c>
      <c r="C45" s="195"/>
      <c r="D45" s="261"/>
      <c r="E45" s="195"/>
      <c r="F45" s="262"/>
      <c r="H45" s="212"/>
      <c r="I45" s="212"/>
      <c r="J45" s="264"/>
    </row>
    <row r="46" spans="2:15" x14ac:dyDescent="0.2">
      <c r="B46" s="195"/>
      <c r="C46" s="195"/>
      <c r="D46" s="195"/>
      <c r="E46" s="195"/>
      <c r="F46" s="152"/>
      <c r="H46" s="856" t="s">
        <v>105</v>
      </c>
      <c r="I46" s="195"/>
      <c r="J46" s="858"/>
    </row>
    <row r="47" spans="2:15" ht="13.5" thickBot="1" x14ac:dyDescent="0.25">
      <c r="B47" s="214" t="s">
        <v>573</v>
      </c>
      <c r="C47" s="194"/>
      <c r="D47" s="268">
        <f>SUM(D41:D45)</f>
        <v>0</v>
      </c>
      <c r="E47" s="194"/>
      <c r="F47" s="154"/>
      <c r="H47" s="857"/>
      <c r="I47" s="194"/>
      <c r="J47" s="859"/>
    </row>
    <row r="49" spans="4:4" x14ac:dyDescent="0.2">
      <c r="D49" s="269" t="str">
        <f>IF(D47=0%," ",IF(D47=100%," ","Total must equal 100%"))</f>
        <v xml:space="preserve"> </v>
      </c>
    </row>
  </sheetData>
  <mergeCells count="12">
    <mergeCell ref="H46:H47"/>
    <mergeCell ref="J46:J47"/>
    <mergeCell ref="B9:M9"/>
    <mergeCell ref="B10:M10"/>
    <mergeCell ref="D22:J22"/>
    <mergeCell ref="H41:H42"/>
    <mergeCell ref="N5:O5"/>
    <mergeCell ref="N7:O7"/>
    <mergeCell ref="N1:O1"/>
    <mergeCell ref="N2:O2"/>
    <mergeCell ref="N3:O3"/>
    <mergeCell ref="N4:O4"/>
  </mergeCells>
  <phoneticPr fontId="3" type="noConversion"/>
  <dataValidations count="8">
    <dataValidation allowBlank="1" showInputMessage="1" showErrorMessage="1" promptTitle="Name of Embedded Distributor" prompt="Input name of embedded Distributor" sqref="J12"/>
    <dataValidation type="decimal" operator="lessThanOrEqual" allowBlank="1" showInputMessage="1" showErrorMessage="1" promptTitle="Accumulated depreciation" prompt="Enter accumulated depreciation as a negative amount." sqref="H17:H19">
      <formula1>0</formula1>
    </dataValidation>
    <dataValidation type="decimal" operator="lessThanOrEqual" allowBlank="1" showInputMessage="1" showErrorMessage="1" promptTitle="Annual depreciation expense" prompt="Enter annual depreciation expense as a negative amount." sqref="J17:J19">
      <formula1>0</formula1>
    </dataValidation>
    <dataValidation allowBlank="1" showInputMessage="1" showErrorMessage="1" promptTitle="OM&amp;A expenses" prompt="Enter OM&amp;A expenses in dollars ($)" sqref="D17:D19"/>
    <dataValidation allowBlank="1" showInputMessage="1" showErrorMessage="1" promptTitle="Gross Book Value" prompt="Enter original (Gross Book Value) of assets in dollars ($)" sqref="F17:F19"/>
    <dataValidation operator="lessThanOrEqual" allowBlank="1" showErrorMessage="1" promptTitle="Annual depreciation expense" prompt="Enter annual depreciation expense as a negative amount." sqref="K17:K18"/>
    <dataValidation operator="lessThanOrEqual" allowBlank="1" showInputMessage="1" showErrorMessage="1" promptTitle="Annual depreciation expense" prompt="Enter annual depreciation expense as a negative amount." sqref="K19"/>
    <dataValidation allowBlank="1" showInputMessage="1" showErrorMessage="1" promptTitle="Date Format" prompt="E.g:  &quot;August 1, 2011&quot;" sqref="N7:O7"/>
  </dataValidations>
  <printOptions horizontalCentered="1"/>
  <pageMargins left="0.74803149606299213" right="0.74803149606299213" top="0.98425196850393704" bottom="0.98425196850393704" header="0.51181102362204722" footer="0.51181102362204722"/>
  <pageSetup scale="58"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pageSetUpPr fitToPage="1"/>
  </sheetPr>
  <dimension ref="B1:H53"/>
  <sheetViews>
    <sheetView showGridLines="0" topLeftCell="A12" zoomScaleNormal="100" workbookViewId="0">
      <selection activeCell="J29" sqref="J29"/>
    </sheetView>
  </sheetViews>
  <sheetFormatPr defaultRowHeight="12.75" x14ac:dyDescent="0.2"/>
  <cols>
    <col min="1" max="1" width="2.85546875" customWidth="1"/>
    <col min="2" max="2" width="5" customWidth="1"/>
    <col min="3" max="3" width="62" customWidth="1"/>
    <col min="4" max="4" width="12.7109375" bestFit="1" customWidth="1"/>
    <col min="5" max="5" width="1.7109375" customWidth="1"/>
    <col min="6" max="6" width="16.7109375" customWidth="1"/>
    <col min="7" max="7" width="13.7109375" customWidth="1"/>
  </cols>
  <sheetData>
    <row r="1" spans="2:7" x14ac:dyDescent="0.2">
      <c r="D1" s="52" t="s">
        <v>581</v>
      </c>
      <c r="F1" s="151" t="s">
        <v>170</v>
      </c>
      <c r="G1" s="315"/>
    </row>
    <row r="2" spans="2:7" x14ac:dyDescent="0.2">
      <c r="D2" s="52" t="s">
        <v>582</v>
      </c>
      <c r="F2" s="151" t="s">
        <v>587</v>
      </c>
      <c r="G2" s="315"/>
    </row>
    <row r="3" spans="2:7" x14ac:dyDescent="0.2">
      <c r="D3" s="52" t="s">
        <v>583</v>
      </c>
      <c r="F3" s="151" t="s">
        <v>588</v>
      </c>
      <c r="G3" s="315"/>
    </row>
    <row r="4" spans="2:7" x14ac:dyDescent="0.2">
      <c r="D4" s="52" t="s">
        <v>584</v>
      </c>
      <c r="F4" s="151" t="s">
        <v>589</v>
      </c>
      <c r="G4" s="315"/>
    </row>
    <row r="5" spans="2:7" x14ac:dyDescent="0.2">
      <c r="D5" s="52" t="s">
        <v>585</v>
      </c>
      <c r="F5" s="151" t="s">
        <v>590</v>
      </c>
      <c r="G5" s="315"/>
    </row>
    <row r="6" spans="2:7" x14ac:dyDescent="0.2">
      <c r="D6" s="52"/>
      <c r="G6" s="315"/>
    </row>
    <row r="7" spans="2:7" x14ac:dyDescent="0.2">
      <c r="D7" s="52" t="s">
        <v>586</v>
      </c>
      <c r="F7" s="472"/>
      <c r="G7" s="315"/>
    </row>
    <row r="9" spans="2:7" ht="18" x14ac:dyDescent="0.25">
      <c r="B9" s="659" t="s">
        <v>124</v>
      </c>
      <c r="C9" s="659"/>
      <c r="D9" s="659"/>
      <c r="E9" s="659"/>
      <c r="F9" s="659"/>
    </row>
    <row r="10" spans="2:7" ht="18" x14ac:dyDescent="0.25">
      <c r="B10" s="659" t="s">
        <v>387</v>
      </c>
      <c r="C10" s="659"/>
      <c r="D10" s="659"/>
      <c r="E10" s="659"/>
      <c r="F10" s="659"/>
    </row>
    <row r="12" spans="2:7" ht="27" customHeight="1" x14ac:dyDescent="0.2">
      <c r="B12" s="669" t="s">
        <v>152</v>
      </c>
      <c r="C12" s="669"/>
      <c r="D12" s="669"/>
      <c r="E12" s="669"/>
      <c r="F12" s="669"/>
    </row>
    <row r="13" spans="2:7" ht="13.5" thickBot="1" x14ac:dyDescent="0.25"/>
    <row r="14" spans="2:7" x14ac:dyDescent="0.2">
      <c r="B14" s="875" t="s">
        <v>390</v>
      </c>
      <c r="C14" s="876"/>
      <c r="D14" s="876"/>
      <c r="E14" s="409"/>
      <c r="F14" s="525" t="s">
        <v>391</v>
      </c>
    </row>
    <row r="15" spans="2:7" x14ac:dyDescent="0.2">
      <c r="B15" s="877"/>
      <c r="C15" s="878"/>
      <c r="D15" s="878"/>
      <c r="E15" s="64"/>
      <c r="F15" s="560" t="s">
        <v>392</v>
      </c>
    </row>
    <row r="16" spans="2:7" x14ac:dyDescent="0.2">
      <c r="B16" s="879"/>
      <c r="C16" s="880"/>
      <c r="D16" s="880"/>
      <c r="E16" s="64"/>
      <c r="F16" s="426">
        <v>2011</v>
      </c>
    </row>
    <row r="17" spans="2:6" ht="27" customHeight="1" x14ac:dyDescent="0.2">
      <c r="B17" s="869" t="s">
        <v>393</v>
      </c>
      <c r="C17" s="870"/>
      <c r="D17" s="871"/>
      <c r="E17" s="4"/>
      <c r="F17" s="169"/>
    </row>
    <row r="18" spans="2:6" ht="39.75" customHeight="1" x14ac:dyDescent="0.2">
      <c r="B18" s="863" t="s">
        <v>153</v>
      </c>
      <c r="C18" s="864"/>
      <c r="D18" s="865"/>
      <c r="E18" s="4"/>
      <c r="F18" s="169"/>
    </row>
    <row r="19" spans="2:6" ht="13.5" customHeight="1" x14ac:dyDescent="0.2">
      <c r="B19" s="869" t="s">
        <v>394</v>
      </c>
      <c r="C19" s="870"/>
      <c r="D19" s="871"/>
      <c r="E19" s="4"/>
      <c r="F19" s="169"/>
    </row>
    <row r="20" spans="2:6" ht="13.5" customHeight="1" x14ac:dyDescent="0.2">
      <c r="B20" s="881" t="s">
        <v>395</v>
      </c>
      <c r="C20" s="882"/>
      <c r="D20" s="883"/>
      <c r="E20" s="4"/>
      <c r="F20" s="169"/>
    </row>
    <row r="21" spans="2:6" ht="13.5" customHeight="1" x14ac:dyDescent="0.2">
      <c r="B21" s="863" t="s">
        <v>396</v>
      </c>
      <c r="C21" s="864"/>
      <c r="D21" s="865"/>
      <c r="E21" s="4"/>
      <c r="F21" s="169"/>
    </row>
    <row r="22" spans="2:6" ht="13.5" customHeight="1" x14ac:dyDescent="0.2">
      <c r="B22" s="869" t="s">
        <v>397</v>
      </c>
      <c r="C22" s="870"/>
      <c r="D22" s="871"/>
      <c r="E22" s="4"/>
      <c r="F22" s="169"/>
    </row>
    <row r="23" spans="2:6" ht="13.5" customHeight="1" x14ac:dyDescent="0.2">
      <c r="B23" s="881" t="s">
        <v>398</v>
      </c>
      <c r="C23" s="882"/>
      <c r="D23" s="883"/>
      <c r="E23" s="4"/>
      <c r="F23" s="169"/>
    </row>
    <row r="24" spans="2:6" ht="13.5" customHeight="1" x14ac:dyDescent="0.2">
      <c r="B24" s="881" t="s">
        <v>399</v>
      </c>
      <c r="C24" s="882"/>
      <c r="D24" s="883"/>
      <c r="E24" s="4"/>
      <c r="F24" s="169"/>
    </row>
    <row r="25" spans="2:6" ht="13.5" customHeight="1" x14ac:dyDescent="0.2">
      <c r="B25" s="863" t="s">
        <v>400</v>
      </c>
      <c r="C25" s="864"/>
      <c r="D25" s="865"/>
      <c r="E25" s="4"/>
      <c r="F25" s="169"/>
    </row>
    <row r="26" spans="2:6" ht="13.5" customHeight="1" x14ac:dyDescent="0.2">
      <c r="B26" s="869" t="s">
        <v>401</v>
      </c>
      <c r="C26" s="870"/>
      <c r="D26" s="871"/>
      <c r="E26" s="4"/>
      <c r="F26" s="169"/>
    </row>
    <row r="27" spans="2:6" ht="13.5" customHeight="1" x14ac:dyDescent="0.2">
      <c r="B27" s="863" t="s">
        <v>402</v>
      </c>
      <c r="C27" s="864"/>
      <c r="D27" s="865"/>
      <c r="E27" s="4"/>
      <c r="F27" s="169"/>
    </row>
    <row r="28" spans="2:6" ht="27" customHeight="1" x14ac:dyDescent="0.2">
      <c r="B28" s="863" t="s">
        <v>403</v>
      </c>
      <c r="C28" s="864"/>
      <c r="D28" s="865"/>
      <c r="E28" s="4"/>
      <c r="F28" s="169"/>
    </row>
    <row r="29" spans="2:6" ht="13.5" thickBot="1" x14ac:dyDescent="0.25">
      <c r="B29" s="872" t="s">
        <v>781</v>
      </c>
      <c r="C29" s="873"/>
      <c r="D29" s="874"/>
      <c r="E29" s="4"/>
      <c r="F29" s="411">
        <v>6381</v>
      </c>
    </row>
    <row r="30" spans="2:6" ht="14.25" thickTop="1" thickBot="1" x14ac:dyDescent="0.25">
      <c r="B30" s="866" t="s">
        <v>573</v>
      </c>
      <c r="C30" s="867"/>
      <c r="D30" s="868"/>
      <c r="E30" s="410"/>
      <c r="F30" s="308">
        <f>SUM(F17:F29)</f>
        <v>6381</v>
      </c>
    </row>
    <row r="32" spans="2:6" x14ac:dyDescent="0.2">
      <c r="B32" s="52" t="s">
        <v>639</v>
      </c>
      <c r="C32" s="52"/>
      <c r="D32" s="52"/>
      <c r="E32" s="389"/>
      <c r="F32" s="389"/>
    </row>
    <row r="33" spans="2:8" x14ac:dyDescent="0.2">
      <c r="B33" s="389"/>
      <c r="C33" s="389"/>
      <c r="D33" s="389"/>
      <c r="E33" s="389"/>
      <c r="F33" s="389"/>
    </row>
    <row r="34" spans="2:8" ht="13.5" customHeight="1" x14ac:dyDescent="0.2">
      <c r="B34" s="884" t="str">
        <f>"(1)"</f>
        <v>(1)</v>
      </c>
      <c r="C34" s="886" t="s">
        <v>404</v>
      </c>
      <c r="D34" s="761"/>
      <c r="E34" s="761"/>
      <c r="F34" s="761"/>
      <c r="G34" s="407"/>
    </row>
    <row r="35" spans="2:8" x14ac:dyDescent="0.2">
      <c r="B35" s="884"/>
      <c r="C35" s="761"/>
      <c r="D35" s="761"/>
      <c r="E35" s="761"/>
      <c r="F35" s="761"/>
      <c r="G35" s="376"/>
    </row>
    <row r="36" spans="2:8" x14ac:dyDescent="0.2">
      <c r="B36" s="419"/>
      <c r="C36" s="389"/>
      <c r="D36" s="389"/>
      <c r="E36" s="389"/>
      <c r="F36" s="389"/>
    </row>
    <row r="37" spans="2:8" x14ac:dyDescent="0.2">
      <c r="B37" s="884" t="str">
        <f>"(2)"</f>
        <v>(2)</v>
      </c>
      <c r="C37" s="886" t="s">
        <v>405</v>
      </c>
      <c r="D37" s="886"/>
      <c r="E37" s="886"/>
      <c r="F37" s="886"/>
      <c r="G37" s="285"/>
    </row>
    <row r="38" spans="2:8" x14ac:dyDescent="0.2">
      <c r="B38" s="884"/>
      <c r="C38" s="389"/>
      <c r="D38" s="389"/>
      <c r="E38" s="389"/>
      <c r="F38" s="389"/>
    </row>
    <row r="39" spans="2:8" ht="12.75" customHeight="1" x14ac:dyDescent="0.2">
      <c r="B39" s="884" t="str">
        <f>"(3)"</f>
        <v>(3)</v>
      </c>
      <c r="C39" s="763" t="s">
        <v>406</v>
      </c>
      <c r="D39" s="763"/>
      <c r="E39" s="763"/>
      <c r="F39" s="763"/>
      <c r="G39" s="376"/>
    </row>
    <row r="40" spans="2:8" x14ac:dyDescent="0.2">
      <c r="B40" s="884"/>
      <c r="C40" s="763"/>
      <c r="D40" s="763"/>
      <c r="E40" s="763"/>
      <c r="F40" s="763"/>
      <c r="G40" s="376"/>
    </row>
    <row r="41" spans="2:8" x14ac:dyDescent="0.2">
      <c r="B41" s="419"/>
      <c r="C41" s="389"/>
      <c r="D41" s="389"/>
      <c r="E41" s="389"/>
      <c r="F41" s="389"/>
    </row>
    <row r="42" spans="2:8" ht="12.75" customHeight="1" x14ac:dyDescent="0.2">
      <c r="B42" s="884" t="str">
        <f>"(4)"</f>
        <v>(4)</v>
      </c>
      <c r="C42" s="763" t="s">
        <v>407</v>
      </c>
      <c r="D42" s="763"/>
      <c r="E42" s="763"/>
      <c r="F42" s="763"/>
      <c r="G42" s="376"/>
      <c r="H42" s="376"/>
    </row>
    <row r="43" spans="2:8" x14ac:dyDescent="0.2">
      <c r="B43" s="884"/>
      <c r="C43" s="761"/>
      <c r="D43" s="761"/>
      <c r="E43" s="761"/>
      <c r="F43" s="761"/>
      <c r="G43" s="376"/>
      <c r="H43" s="376"/>
    </row>
    <row r="44" spans="2:8" ht="12.75" customHeight="1" x14ac:dyDescent="0.2">
      <c r="B44" s="419"/>
      <c r="C44" s="470"/>
      <c r="D44" s="470"/>
      <c r="E44" s="470"/>
      <c r="F44" s="470"/>
      <c r="G44" s="376"/>
      <c r="H44" s="376"/>
    </row>
    <row r="45" spans="2:8" x14ac:dyDescent="0.2">
      <c r="B45" s="885" t="str">
        <f>"(5)"</f>
        <v>(5)</v>
      </c>
      <c r="C45" s="763" t="s">
        <v>409</v>
      </c>
      <c r="D45" s="763"/>
      <c r="E45" s="763"/>
      <c r="F45" s="763"/>
      <c r="G45" s="376"/>
      <c r="H45" s="376"/>
    </row>
    <row r="46" spans="2:8" x14ac:dyDescent="0.2">
      <c r="B46" s="885"/>
      <c r="C46" s="763"/>
      <c r="D46" s="763"/>
      <c r="E46" s="763"/>
      <c r="F46" s="763"/>
      <c r="G46" s="376"/>
      <c r="H46" s="376"/>
    </row>
    <row r="47" spans="2:8" x14ac:dyDescent="0.2">
      <c r="B47" s="885"/>
      <c r="C47" s="761"/>
      <c r="D47" s="761"/>
      <c r="E47" s="761"/>
      <c r="F47" s="761"/>
      <c r="G47" s="376"/>
      <c r="H47" s="376"/>
    </row>
    <row r="48" spans="2:8" x14ac:dyDescent="0.2">
      <c r="B48" s="885"/>
      <c r="C48" s="761"/>
      <c r="D48" s="761"/>
      <c r="E48" s="761"/>
      <c r="F48" s="761"/>
      <c r="G48" s="376"/>
      <c r="H48" s="376"/>
    </row>
    <row r="49" spans="2:8" x14ac:dyDescent="0.2">
      <c r="B49" s="419"/>
      <c r="C49" s="389"/>
      <c r="D49" s="389"/>
      <c r="E49" s="389"/>
      <c r="F49" s="389"/>
    </row>
    <row r="50" spans="2:8" ht="12.75" customHeight="1" x14ac:dyDescent="0.2">
      <c r="B50" s="884" t="str">
        <f>"(6)"</f>
        <v>(6)</v>
      </c>
      <c r="C50" s="763" t="s">
        <v>410</v>
      </c>
      <c r="D50" s="763"/>
      <c r="E50" s="763"/>
      <c r="F50" s="763"/>
      <c r="G50" s="376"/>
      <c r="H50" s="376"/>
    </row>
    <row r="51" spans="2:8" x14ac:dyDescent="0.2">
      <c r="B51" s="884"/>
      <c r="C51" s="763"/>
      <c r="D51" s="763"/>
      <c r="E51" s="763"/>
      <c r="F51" s="763"/>
      <c r="G51" s="376"/>
      <c r="H51" s="376"/>
    </row>
    <row r="53" spans="2:8" ht="12.75" customHeight="1" x14ac:dyDescent="0.2"/>
  </sheetData>
  <mergeCells count="30">
    <mergeCell ref="C50:F51"/>
    <mergeCell ref="B34:B35"/>
    <mergeCell ref="B39:B40"/>
    <mergeCell ref="B42:B43"/>
    <mergeCell ref="B45:B48"/>
    <mergeCell ref="B50:B51"/>
    <mergeCell ref="C34:F35"/>
    <mergeCell ref="C37:F37"/>
    <mergeCell ref="B37:B38"/>
    <mergeCell ref="B22:D22"/>
    <mergeCell ref="B23:D23"/>
    <mergeCell ref="B24:D24"/>
    <mergeCell ref="B17:D17"/>
    <mergeCell ref="B18:D18"/>
    <mergeCell ref="B19:D19"/>
    <mergeCell ref="B20:D20"/>
    <mergeCell ref="B9:F9"/>
    <mergeCell ref="B10:F10"/>
    <mergeCell ref="B12:F12"/>
    <mergeCell ref="B14:D16"/>
    <mergeCell ref="B21:D21"/>
    <mergeCell ref="B25:D25"/>
    <mergeCell ref="C42:F43"/>
    <mergeCell ref="C45:F48"/>
    <mergeCell ref="B30:D30"/>
    <mergeCell ref="C39:F40"/>
    <mergeCell ref="B26:D26"/>
    <mergeCell ref="B27:D27"/>
    <mergeCell ref="B28:D28"/>
    <mergeCell ref="B29:D29"/>
  </mergeCells>
  <phoneticPr fontId="3" type="noConversion"/>
  <dataValidations count="1">
    <dataValidation allowBlank="1" showInputMessage="1" showErrorMessage="1" promptTitle="Date Format" prompt="E.g:  &quot;August 1, 2011&quot;" sqref="F7"/>
  </dataValidations>
  <pageMargins left="0.75" right="0.75" top="1" bottom="1" header="0.5" footer="0.5"/>
  <pageSetup scale="8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B1:N23"/>
  <sheetViews>
    <sheetView showGridLines="0" topLeftCell="A5" zoomScaleNormal="100" workbookViewId="0">
      <selection activeCell="K12" sqref="K12:N23"/>
    </sheetView>
  </sheetViews>
  <sheetFormatPr defaultRowHeight="12.75" x14ac:dyDescent="0.2"/>
  <cols>
    <col min="1" max="1" width="2.7109375" customWidth="1"/>
    <col min="2" max="2" width="23.28515625" customWidth="1"/>
    <col min="3" max="3" width="13.7109375" customWidth="1"/>
    <col min="4" max="5" width="12.7109375" customWidth="1"/>
    <col min="6" max="8" width="10.7109375" customWidth="1"/>
    <col min="9" max="9" width="15.5703125" customWidth="1"/>
    <col min="10" max="10" width="0.85546875" customWidth="1"/>
    <col min="11" max="14" width="13.5703125" customWidth="1"/>
  </cols>
  <sheetData>
    <row r="1" spans="2:14" x14ac:dyDescent="0.2">
      <c r="M1" s="52" t="s">
        <v>581</v>
      </c>
      <c r="N1" s="151" t="s">
        <v>170</v>
      </c>
    </row>
    <row r="2" spans="2:14" x14ac:dyDescent="0.2">
      <c r="M2" s="52" t="s">
        <v>582</v>
      </c>
      <c r="N2" s="151" t="s">
        <v>587</v>
      </c>
    </row>
    <row r="3" spans="2:14" x14ac:dyDescent="0.2">
      <c r="M3" s="52" t="s">
        <v>583</v>
      </c>
      <c r="N3" s="151" t="s">
        <v>588</v>
      </c>
    </row>
    <row r="4" spans="2:14" x14ac:dyDescent="0.2">
      <c r="M4" s="52" t="s">
        <v>584</v>
      </c>
      <c r="N4" s="151" t="s">
        <v>589</v>
      </c>
    </row>
    <row r="5" spans="2:14" x14ac:dyDescent="0.2">
      <c r="M5" s="52" t="s">
        <v>585</v>
      </c>
      <c r="N5" s="151" t="s">
        <v>590</v>
      </c>
    </row>
    <row r="6" spans="2:14" x14ac:dyDescent="0.2">
      <c r="M6" s="52"/>
    </row>
    <row r="7" spans="2:14" x14ac:dyDescent="0.2">
      <c r="M7" s="52" t="s">
        <v>586</v>
      </c>
      <c r="N7" s="472"/>
    </row>
    <row r="9" spans="2:14" ht="18" x14ac:dyDescent="0.25">
      <c r="B9" s="659" t="s">
        <v>386</v>
      </c>
      <c r="C9" s="659"/>
      <c r="D9" s="659"/>
      <c r="E9" s="659"/>
      <c r="F9" s="659"/>
      <c r="G9" s="659"/>
      <c r="H9" s="659"/>
      <c r="I9" s="659"/>
      <c r="J9" s="659"/>
      <c r="K9" s="659"/>
      <c r="L9" s="659"/>
      <c r="M9" s="659"/>
      <c r="N9" s="659"/>
    </row>
    <row r="10" spans="2:14" ht="18" x14ac:dyDescent="0.25">
      <c r="B10" s="659" t="s">
        <v>107</v>
      </c>
      <c r="C10" s="659"/>
      <c r="D10" s="659"/>
      <c r="E10" s="659"/>
      <c r="F10" s="659"/>
      <c r="G10" s="659"/>
      <c r="H10" s="659"/>
      <c r="I10" s="659"/>
      <c r="J10" s="659"/>
      <c r="K10" s="659"/>
      <c r="L10" s="659"/>
      <c r="M10" s="659"/>
      <c r="N10" s="659"/>
    </row>
    <row r="11" spans="2:14" ht="13.5" thickBot="1" x14ac:dyDescent="0.25"/>
    <row r="12" spans="2:14" ht="13.5" customHeight="1" thickBot="1" x14ac:dyDescent="0.25">
      <c r="B12" s="552" t="s">
        <v>108</v>
      </c>
      <c r="C12" s="603"/>
      <c r="D12" s="892" t="s">
        <v>109</v>
      </c>
      <c r="E12" s="893"/>
      <c r="F12" s="891" t="s">
        <v>110</v>
      </c>
      <c r="G12" s="892"/>
      <c r="H12" s="893"/>
      <c r="I12" s="894" t="s">
        <v>111</v>
      </c>
      <c r="J12" s="447"/>
      <c r="K12" s="894" t="s">
        <v>112</v>
      </c>
      <c r="L12" s="894" t="s">
        <v>113</v>
      </c>
      <c r="M12" s="894" t="s">
        <v>573</v>
      </c>
      <c r="N12" s="887" t="s">
        <v>114</v>
      </c>
    </row>
    <row r="13" spans="2:14" ht="39" thickBot="1" x14ac:dyDescent="0.25">
      <c r="B13" s="553"/>
      <c r="C13" s="554" t="s">
        <v>779</v>
      </c>
      <c r="D13" s="555" t="s">
        <v>115</v>
      </c>
      <c r="E13" s="556" t="s">
        <v>116</v>
      </c>
      <c r="F13" s="554" t="s">
        <v>651</v>
      </c>
      <c r="G13" s="889" t="s">
        <v>117</v>
      </c>
      <c r="H13" s="890"/>
      <c r="I13" s="895"/>
      <c r="J13" s="448"/>
      <c r="K13" s="895"/>
      <c r="L13" s="895"/>
      <c r="M13" s="895"/>
      <c r="N13" s="888"/>
    </row>
    <row r="14" spans="2:14" x14ac:dyDescent="0.2">
      <c r="B14" s="195"/>
      <c r="C14" s="195"/>
      <c r="D14" s="195"/>
      <c r="E14" s="152"/>
      <c r="F14" s="195"/>
      <c r="G14" s="211" t="s">
        <v>115</v>
      </c>
      <c r="H14" s="211" t="s">
        <v>116</v>
      </c>
      <c r="I14" s="213"/>
      <c r="J14" s="449"/>
      <c r="K14" s="213"/>
      <c r="L14" s="213"/>
      <c r="M14" s="213"/>
      <c r="N14" s="152"/>
    </row>
    <row r="15" spans="2:14" x14ac:dyDescent="0.2">
      <c r="B15" s="195"/>
      <c r="C15" s="195"/>
      <c r="D15" s="195"/>
      <c r="E15" s="152"/>
      <c r="F15" s="195"/>
      <c r="G15" s="195"/>
      <c r="H15" s="195"/>
      <c r="I15" s="195"/>
      <c r="J15" s="449"/>
      <c r="K15" s="195"/>
      <c r="L15" s="195"/>
      <c r="M15" s="195"/>
      <c r="N15" s="152"/>
    </row>
    <row r="16" spans="2:14" x14ac:dyDescent="0.2">
      <c r="B16" s="271" t="s">
        <v>118</v>
      </c>
      <c r="C16" s="604">
        <f>[3]Summary!$I$12</f>
        <v>10023.425678689409</v>
      </c>
      <c r="D16" s="272">
        <f>[3]Summary!$I$13</f>
        <v>93093254.929558441</v>
      </c>
      <c r="E16" s="273"/>
      <c r="F16" s="274">
        <f>'[6]Distribution Rate Schedule'!$C$11</f>
        <v>13.61</v>
      </c>
      <c r="G16" s="275">
        <f>'[6]Distribution Rate Schedule'!$E$11</f>
        <v>9.7000000000000003E-3</v>
      </c>
      <c r="H16" s="275"/>
      <c r="I16" s="277">
        <f t="shared" ref="I16:I22" si="0">F16*C16*12+G16*D16+H16*E16</f>
        <v>2540030.4546602713</v>
      </c>
      <c r="J16" s="449"/>
      <c r="K16" s="276">
        <f>'[6]Rates By Rate Class'!$B$8</f>
        <v>2536483.0394021915</v>
      </c>
      <c r="L16" s="276"/>
      <c r="M16" s="277">
        <f t="shared" ref="M16:M22" si="1">SUM(K16:L16)</f>
        <v>2536483.0394021915</v>
      </c>
      <c r="N16" s="278">
        <f t="shared" ref="N16:N22" si="2">M16-I16</f>
        <v>-3547.4152580797672</v>
      </c>
    </row>
    <row r="17" spans="2:14" x14ac:dyDescent="0.2">
      <c r="B17" s="271" t="s">
        <v>119</v>
      </c>
      <c r="C17" s="604">
        <f>[3]Summary!$I$16</f>
        <v>1214.4801246521154</v>
      </c>
      <c r="D17" s="272">
        <f>[3]Summary!$I$17</f>
        <v>31699823.798003074</v>
      </c>
      <c r="E17" s="273"/>
      <c r="F17" s="274">
        <f>'[6]Distribution Rate Schedule'!$C$12</f>
        <v>23.08</v>
      </c>
      <c r="G17" s="275">
        <f>'[6]Distribution Rate Schedule'!$E$12</f>
        <v>3.5000000000000001E-3</v>
      </c>
      <c r="H17" s="275"/>
      <c r="I17" s="277">
        <f t="shared" si="0"/>
        <v>447311.79861666058</v>
      </c>
      <c r="J17" s="449"/>
      <c r="K17" s="276">
        <f>'[6]Rates By Rate Class'!$B$9</f>
        <v>448761.13590030058</v>
      </c>
      <c r="L17" s="276"/>
      <c r="M17" s="277">
        <f t="shared" si="1"/>
        <v>448761.13590030058</v>
      </c>
      <c r="N17" s="278">
        <f t="shared" si="2"/>
        <v>1449.337283639994</v>
      </c>
    </row>
    <row r="18" spans="2:14" x14ac:dyDescent="0.2">
      <c r="B18" s="271" t="str">
        <f>'App.2-O_Cost_Allocation'!B19:C19</f>
        <v>GS&gt;50-Regular</v>
      </c>
      <c r="C18" s="604">
        <f>[3]Summary!$I$20</f>
        <v>93.462448747383306</v>
      </c>
      <c r="D18" s="272">
        <f>[3]Summary!$I$21</f>
        <v>71176062.618914545</v>
      </c>
      <c r="E18" s="273">
        <f>[3]Summary!$I$22</f>
        <v>194765.94889933764</v>
      </c>
      <c r="F18" s="274">
        <f>'[6]Distribution Rate Schedule'!$C$13</f>
        <v>315.94</v>
      </c>
      <c r="G18" s="275"/>
      <c r="H18" s="275">
        <f>'[6]Distribution Rate Schedule'!$D$13</f>
        <v>1.5759000000000001</v>
      </c>
      <c r="I18" s="277">
        <f t="shared" si="0"/>
        <v>661273.97155744559</v>
      </c>
      <c r="J18" s="449"/>
      <c r="K18" s="276">
        <f>'[6]Rates By Rate Class'!$B$10</f>
        <v>580639.60998068424</v>
      </c>
      <c r="L18" s="276">
        <f>'[6]Rates By Rate Class'!$H$10</f>
        <v>80627.482062394527</v>
      </c>
      <c r="M18" s="277">
        <f t="shared" si="1"/>
        <v>661267.09204307874</v>
      </c>
      <c r="N18" s="278">
        <f t="shared" si="2"/>
        <v>-6.8795143668539822</v>
      </c>
    </row>
    <row r="19" spans="2:14" x14ac:dyDescent="0.2">
      <c r="B19" s="271" t="s">
        <v>120</v>
      </c>
      <c r="C19" s="604">
        <f>[3]Summary!$I$25</f>
        <v>2801.1936395745015</v>
      </c>
      <c r="D19" s="272">
        <f>[3]Summary!$I$26</f>
        <v>1916371.2581829289</v>
      </c>
      <c r="E19" s="273">
        <f>[3]Summary!$I$27</f>
        <v>5340.3302935468428</v>
      </c>
      <c r="F19" s="274">
        <f>'[6]Distribution Rate Schedule'!$B$16</f>
        <v>1.5091000000000001</v>
      </c>
      <c r="G19" s="275"/>
      <c r="H19" s="275">
        <f>'[6]Distribution Rate Schedule'!$D$16</f>
        <v>14.698399999999999</v>
      </c>
      <c r="I19" s="277">
        <f t="shared" si="0"/>
        <v>129221.68664445147</v>
      </c>
      <c r="J19" s="449"/>
      <c r="K19" s="276">
        <f>'[6]Rates By Rate Class'!$B$13</f>
        <v>129220.94587064488</v>
      </c>
      <c r="L19" s="276"/>
      <c r="M19" s="277">
        <f t="shared" si="1"/>
        <v>129220.94587064488</v>
      </c>
      <c r="N19" s="278">
        <f t="shared" si="2"/>
        <v>-0.74077380659582559</v>
      </c>
    </row>
    <row r="20" spans="2:14" x14ac:dyDescent="0.2">
      <c r="B20" s="271" t="s">
        <v>121</v>
      </c>
      <c r="C20" s="604">
        <f>[3]Summary!$I$34</f>
        <v>7</v>
      </c>
      <c r="D20" s="272">
        <f>[3]Summary!$I$35</f>
        <v>4023.8692210783129</v>
      </c>
      <c r="E20" s="273">
        <f>[3]Summary!$I$36</f>
        <v>11.213271231676979</v>
      </c>
      <c r="F20" s="274">
        <f>'[6]Distribution Rate Schedule'!$B$15</f>
        <v>3.9363000000000001</v>
      </c>
      <c r="G20" s="275"/>
      <c r="H20" s="275">
        <f>'[6]Distribution Rate Schedule'!$D$15</f>
        <v>7.3884999999999996</v>
      </c>
      <c r="I20" s="277">
        <f t="shared" si="0"/>
        <v>413.49845449524537</v>
      </c>
      <c r="J20" s="449"/>
      <c r="K20" s="276">
        <f>'[6]Rates By Rate Class'!$B$12</f>
        <v>413.49874437517565</v>
      </c>
      <c r="L20" s="276"/>
      <c r="M20" s="277">
        <f t="shared" si="1"/>
        <v>413.49874437517565</v>
      </c>
      <c r="N20" s="278">
        <f t="shared" si="2"/>
        <v>2.8987993027840275E-4</v>
      </c>
    </row>
    <row r="21" spans="2:14" x14ac:dyDescent="0.2">
      <c r="B21" s="271" t="s">
        <v>122</v>
      </c>
      <c r="C21" s="604">
        <f>[3]Summary!$I$30</f>
        <v>32.02858627679273</v>
      </c>
      <c r="D21" s="272">
        <f>[3]Summary!$I$31</f>
        <v>187863.11337454716</v>
      </c>
      <c r="E21" s="273"/>
      <c r="F21" s="274">
        <f>'[6]Distribution Rate Schedule'!$B$17</f>
        <v>7.2615999999999996</v>
      </c>
      <c r="G21" s="275">
        <f>'[6]Distribution Rate Schedule'!$E$17</f>
        <v>2.2000000000000001E-3</v>
      </c>
      <c r="H21" s="275"/>
      <c r="I21" s="277">
        <f t="shared" si="0"/>
        <v>3204.2442347147012</v>
      </c>
      <c r="J21" s="449"/>
      <c r="K21" s="276">
        <f>'[6]Rates By Rate Class'!$B$14</f>
        <v>3209.5666488157212</v>
      </c>
      <c r="L21" s="276"/>
      <c r="M21" s="277">
        <f t="shared" si="1"/>
        <v>3209.5666488157212</v>
      </c>
      <c r="N21" s="278">
        <f t="shared" si="2"/>
        <v>5.3224141010200583</v>
      </c>
    </row>
    <row r="22" spans="2:14" x14ac:dyDescent="0.2">
      <c r="B22" s="271" t="s">
        <v>123</v>
      </c>
      <c r="C22" s="604">
        <f>[3]Summary!$I$39</f>
        <v>4</v>
      </c>
      <c r="D22" s="272">
        <f>[3]Summary!$I$40</f>
        <v>42996782.152953438</v>
      </c>
      <c r="E22" s="273">
        <f>[3]Summary!$I$41</f>
        <v>96048.524183723959</v>
      </c>
      <c r="F22" s="274">
        <f>'[6]Distribution Rate Schedule'!$C$19</f>
        <v>2583.2199999999998</v>
      </c>
      <c r="G22" s="275"/>
      <c r="H22" s="275">
        <f>'[6]Distribution Rate Schedule'!$D$19</f>
        <v>0.38419999999999999</v>
      </c>
      <c r="I22" s="277">
        <f t="shared" si="0"/>
        <v>160896.40299138674</v>
      </c>
      <c r="J22" s="449"/>
      <c r="K22" s="276">
        <f>'[6]Rates By Rate Class'!$B$16</f>
        <v>160897.03039203602</v>
      </c>
      <c r="L22" s="276"/>
      <c r="M22" s="277">
        <f t="shared" si="1"/>
        <v>160897.03039203602</v>
      </c>
      <c r="N22" s="278">
        <f t="shared" si="2"/>
        <v>0.62740064927493222</v>
      </c>
    </row>
    <row r="23" spans="2:14" ht="13.5" thickBot="1" x14ac:dyDescent="0.25">
      <c r="B23" s="214" t="s">
        <v>573</v>
      </c>
      <c r="C23" s="233">
        <f>SUM(C16:C22)</f>
        <v>14175.590477940201</v>
      </c>
      <c r="D23" s="233">
        <f>SUM(D16:D22)</f>
        <v>241074181.74020812</v>
      </c>
      <c r="E23" s="233">
        <f>SUM(E16:E22)</f>
        <v>296166.01664784015</v>
      </c>
      <c r="F23" s="194"/>
      <c r="G23" s="194"/>
      <c r="H23" s="194"/>
      <c r="I23" s="279">
        <f>SUM(I16:I22)</f>
        <v>3942352.0571594262</v>
      </c>
      <c r="J23" s="450"/>
      <c r="K23" s="279">
        <f>SUM(K16:K22)</f>
        <v>3859624.8269390478</v>
      </c>
      <c r="L23" s="279">
        <f>SUM(L16:L22)</f>
        <v>80627.482062394527</v>
      </c>
      <c r="M23" s="279">
        <f>K23+L23</f>
        <v>3940252.3090014425</v>
      </c>
      <c r="N23" s="280">
        <f>M23-I23</f>
        <v>-2099.7481579836458</v>
      </c>
    </row>
  </sheetData>
  <mergeCells count="10">
    <mergeCell ref="N12:N13"/>
    <mergeCell ref="G13:H13"/>
    <mergeCell ref="F12:H12"/>
    <mergeCell ref="B9:N9"/>
    <mergeCell ref="I12:I13"/>
    <mergeCell ref="B10:N10"/>
    <mergeCell ref="D12:E12"/>
    <mergeCell ref="K12:K13"/>
    <mergeCell ref="L12:L13"/>
    <mergeCell ref="M12:M13"/>
  </mergeCells>
  <phoneticPr fontId="3" type="noConversion"/>
  <dataValidations count="1">
    <dataValidation allowBlank="1" showInputMessage="1" showErrorMessage="1" promptTitle="Date Format" prompt="E.g:  &quot;August 1, 2011&quot;" sqref="N7"/>
  </dataValidations>
  <pageMargins left="0.75" right="0.75" top="1" bottom="1" header="0.5" footer="0.5"/>
  <pageSetup scale="72"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R68"/>
  <sheetViews>
    <sheetView showGridLines="0" zoomScaleNormal="100" workbookViewId="0">
      <selection activeCell="S12" sqref="S12"/>
    </sheetView>
  </sheetViews>
  <sheetFormatPr defaultRowHeight="12.75" x14ac:dyDescent="0.2"/>
  <cols>
    <col min="1" max="1" width="2.7109375" style="9" customWidth="1"/>
    <col min="2" max="2" width="1" style="9" customWidth="1"/>
    <col min="3" max="3" width="1.28515625" style="9" customWidth="1"/>
    <col min="4" max="4" width="26.5703125" style="9" customWidth="1"/>
    <col min="5" max="5" width="1.28515625" style="9" customWidth="1"/>
    <col min="6" max="6" width="11.28515625" style="9" customWidth="1"/>
    <col min="7" max="7" width="1.28515625" style="9" customWidth="1"/>
    <col min="8" max="8" width="12.28515625" style="9" customWidth="1"/>
    <col min="9" max="9" width="8.5703125" style="9" customWidth="1"/>
    <col min="10" max="10" width="9.7109375" style="9" customWidth="1"/>
    <col min="11" max="11" width="2.85546875" style="9" customWidth="1"/>
    <col min="12" max="12" width="12.140625" style="9" customWidth="1"/>
    <col min="13" max="13" width="8.5703125" style="9" customWidth="1"/>
    <col min="14" max="14" width="9.7109375" style="9" customWidth="1"/>
    <col min="15" max="15" width="2.85546875" style="9" customWidth="1"/>
    <col min="16" max="16" width="8.85546875" style="9" customWidth="1"/>
    <col min="17" max="17" width="8.7109375" style="9" customWidth="1"/>
    <col min="18" max="18" width="3.85546875" style="9" customWidth="1"/>
    <col min="19" max="16384" width="9.140625" style="9"/>
  </cols>
  <sheetData>
    <row r="1" spans="2:18" s="134" customFormat="1" ht="15" customHeight="1" x14ac:dyDescent="0.2">
      <c r="C1" s="138"/>
      <c r="D1" s="138"/>
      <c r="E1" s="138"/>
      <c r="F1" s="138"/>
      <c r="G1" s="138"/>
      <c r="H1" s="138"/>
      <c r="I1" s="138"/>
      <c r="J1" s="138"/>
      <c r="K1" s="138"/>
      <c r="L1" s="138"/>
      <c r="M1" s="138"/>
      <c r="N1" s="52" t="s">
        <v>581</v>
      </c>
      <c r="O1"/>
      <c r="P1" s="854" t="s">
        <v>170</v>
      </c>
      <c r="Q1" s="854"/>
      <c r="R1"/>
    </row>
    <row r="2" spans="2:18" s="134" customFormat="1" ht="15" customHeight="1" x14ac:dyDescent="0.25">
      <c r="C2" s="137"/>
      <c r="D2" s="137"/>
      <c r="E2" s="137"/>
      <c r="F2" s="137"/>
      <c r="G2" s="137"/>
      <c r="H2" s="137"/>
      <c r="I2" s="137"/>
      <c r="J2" s="137"/>
      <c r="K2" s="137"/>
      <c r="L2" s="137"/>
      <c r="M2" s="137"/>
      <c r="N2" s="52" t="s">
        <v>582</v>
      </c>
      <c r="O2"/>
      <c r="P2" s="854" t="s">
        <v>587</v>
      </c>
      <c r="Q2" s="854"/>
      <c r="R2"/>
    </row>
    <row r="3" spans="2:18" s="134" customFormat="1" ht="15" customHeight="1" x14ac:dyDescent="0.25">
      <c r="C3" s="901"/>
      <c r="D3" s="901"/>
      <c r="E3" s="901"/>
      <c r="F3" s="901"/>
      <c r="G3" s="901"/>
      <c r="H3" s="901"/>
      <c r="I3" s="901"/>
      <c r="J3" s="901"/>
      <c r="K3" s="901"/>
      <c r="L3" s="901"/>
      <c r="M3" s="901"/>
      <c r="N3" s="52" t="s">
        <v>583</v>
      </c>
      <c r="O3"/>
      <c r="P3" s="854" t="s">
        <v>588</v>
      </c>
      <c r="Q3" s="854"/>
      <c r="R3"/>
    </row>
    <row r="4" spans="2:18" s="134" customFormat="1" ht="15" customHeight="1" x14ac:dyDescent="0.25">
      <c r="C4" s="137"/>
      <c r="D4" s="137"/>
      <c r="E4" s="137"/>
      <c r="F4" s="137"/>
      <c r="G4" s="137"/>
      <c r="H4" s="137"/>
      <c r="I4" s="137"/>
      <c r="J4" s="137"/>
      <c r="K4" s="135"/>
      <c r="L4" s="135"/>
      <c r="M4" s="135"/>
      <c r="N4" s="52" t="s">
        <v>584</v>
      </c>
      <c r="O4"/>
      <c r="P4" s="854" t="s">
        <v>589</v>
      </c>
      <c r="Q4" s="854"/>
      <c r="R4"/>
    </row>
    <row r="5" spans="2:18" s="134" customFormat="1" ht="15" customHeight="1" x14ac:dyDescent="0.25">
      <c r="E5" s="136"/>
      <c r="F5" s="136"/>
      <c r="G5" s="136"/>
      <c r="N5" s="52" t="s">
        <v>585</v>
      </c>
      <c r="O5"/>
      <c r="P5" s="854" t="s">
        <v>590</v>
      </c>
      <c r="Q5" s="854"/>
      <c r="R5"/>
    </row>
    <row r="6" spans="2:18" s="134" customFormat="1" ht="9" customHeight="1" x14ac:dyDescent="0.2">
      <c r="N6" s="52"/>
      <c r="O6"/>
      <c r="P6"/>
      <c r="Q6" s="52"/>
      <c r="R6"/>
    </row>
    <row r="7" spans="2:18" s="134" customFormat="1" x14ac:dyDescent="0.2">
      <c r="N7" s="52" t="s">
        <v>586</v>
      </c>
      <c r="O7"/>
      <c r="P7" s="907"/>
      <c r="Q7" s="907"/>
      <c r="R7"/>
    </row>
    <row r="8" spans="2:18" s="134" customFormat="1" ht="15" customHeight="1" x14ac:dyDescent="0.2">
      <c r="R8"/>
    </row>
    <row r="9" spans="2:18" ht="7.5" customHeight="1" x14ac:dyDescent="0.2">
      <c r="N9"/>
      <c r="O9"/>
      <c r="P9"/>
      <c r="Q9"/>
      <c r="R9"/>
    </row>
    <row r="10" spans="2:18" ht="18.75" customHeight="1" x14ac:dyDescent="0.25">
      <c r="D10" s="906" t="s">
        <v>785</v>
      </c>
      <c r="E10" s="906"/>
      <c r="F10" s="906"/>
      <c r="G10" s="906"/>
      <c r="H10" s="906"/>
      <c r="I10" s="906"/>
      <c r="J10" s="906"/>
      <c r="K10" s="906"/>
      <c r="L10" s="906"/>
      <c r="M10" s="906"/>
      <c r="N10" s="906"/>
      <c r="O10" s="906"/>
      <c r="P10" s="906"/>
      <c r="Q10" s="906"/>
      <c r="R10"/>
    </row>
    <row r="11" spans="2:18" ht="18.75" customHeight="1" x14ac:dyDescent="0.25">
      <c r="D11" s="906" t="s">
        <v>45</v>
      </c>
      <c r="E11" s="906"/>
      <c r="F11" s="906"/>
      <c r="G11" s="906"/>
      <c r="H11" s="906"/>
      <c r="I11" s="906"/>
      <c r="J11" s="906"/>
      <c r="K11" s="906"/>
      <c r="L11" s="906"/>
      <c r="M11" s="906"/>
      <c r="N11" s="906"/>
      <c r="O11" s="906"/>
      <c r="P11" s="906"/>
      <c r="Q11" s="906"/>
      <c r="R11"/>
    </row>
    <row r="12" spans="2:18" ht="7.5" customHeight="1" x14ac:dyDescent="0.2">
      <c r="N12"/>
      <c r="O12"/>
      <c r="P12"/>
      <c r="Q12"/>
      <c r="R12"/>
    </row>
    <row r="13" spans="2:18" ht="7.5" customHeight="1" x14ac:dyDescent="0.2">
      <c r="N13"/>
      <c r="O13"/>
      <c r="P13"/>
      <c r="Q13"/>
      <c r="R13"/>
    </row>
    <row r="14" spans="2:18" ht="15.75" x14ac:dyDescent="0.25">
      <c r="B14" s="76"/>
      <c r="D14" s="140" t="s">
        <v>676</v>
      </c>
      <c r="F14" s="905"/>
      <c r="G14" s="905"/>
      <c r="H14" s="905"/>
      <c r="I14" s="905"/>
      <c r="J14" s="905"/>
      <c r="K14" s="905"/>
      <c r="L14" s="905"/>
      <c r="M14" s="905"/>
      <c r="N14" s="905"/>
      <c r="O14" s="905"/>
      <c r="P14" s="905"/>
      <c r="Q14" s="905"/>
    </row>
    <row r="15" spans="2:18" ht="7.5" customHeight="1" x14ac:dyDescent="0.25">
      <c r="B15" s="76"/>
      <c r="D15" s="536"/>
      <c r="F15" s="139"/>
      <c r="G15" s="139"/>
      <c r="H15" s="139"/>
      <c r="I15" s="139"/>
      <c r="J15" s="139"/>
      <c r="K15" s="139"/>
      <c r="L15" s="139"/>
      <c r="M15" s="139"/>
      <c r="N15" s="139"/>
      <c r="O15" s="139"/>
      <c r="P15" s="139"/>
      <c r="Q15" s="139"/>
    </row>
    <row r="16" spans="2:18" x14ac:dyDescent="0.2">
      <c r="B16" s="76"/>
      <c r="D16" s="537"/>
      <c r="F16" s="13" t="s">
        <v>640</v>
      </c>
      <c r="G16" s="13"/>
      <c r="H16" s="65"/>
      <c r="I16" s="13" t="s">
        <v>641</v>
      </c>
    </row>
    <row r="17" spans="2:17" ht="10.5" customHeight="1" x14ac:dyDescent="0.2">
      <c r="B17" s="76"/>
      <c r="D17" s="537"/>
    </row>
    <row r="18" spans="2:17" x14ac:dyDescent="0.2">
      <c r="B18" s="66"/>
      <c r="D18" s="537"/>
      <c r="F18" s="77"/>
      <c r="G18" s="77"/>
      <c r="H18" s="902" t="s">
        <v>642</v>
      </c>
      <c r="I18" s="903"/>
      <c r="J18" s="904"/>
      <c r="L18" s="902" t="s">
        <v>643</v>
      </c>
      <c r="M18" s="903"/>
      <c r="N18" s="904"/>
      <c r="P18" s="902" t="s">
        <v>644</v>
      </c>
      <c r="Q18" s="904"/>
    </row>
    <row r="19" spans="2:17" x14ac:dyDescent="0.2">
      <c r="B19" s="66"/>
      <c r="D19" s="537"/>
      <c r="F19" s="896" t="s">
        <v>645</v>
      </c>
      <c r="G19" s="78"/>
      <c r="H19" s="79" t="s">
        <v>646</v>
      </c>
      <c r="I19" s="79" t="s">
        <v>647</v>
      </c>
      <c r="J19" s="80" t="s">
        <v>648</v>
      </c>
      <c r="L19" s="79" t="s">
        <v>646</v>
      </c>
      <c r="M19" s="81" t="s">
        <v>647</v>
      </c>
      <c r="N19" s="80" t="s">
        <v>648</v>
      </c>
      <c r="P19" s="898" t="s">
        <v>649</v>
      </c>
      <c r="Q19" s="900" t="s">
        <v>650</v>
      </c>
    </row>
    <row r="20" spans="2:17" x14ac:dyDescent="0.2">
      <c r="B20" s="66"/>
      <c r="D20" s="537"/>
      <c r="F20" s="897"/>
      <c r="G20" s="78"/>
      <c r="H20" s="82" t="s">
        <v>599</v>
      </c>
      <c r="I20" s="82"/>
      <c r="J20" s="83" t="s">
        <v>599</v>
      </c>
      <c r="L20" s="82" t="s">
        <v>599</v>
      </c>
      <c r="M20" s="83"/>
      <c r="N20" s="83" t="s">
        <v>599</v>
      </c>
      <c r="P20" s="899"/>
      <c r="Q20" s="711"/>
    </row>
    <row r="21" spans="2:17" x14ac:dyDescent="0.2">
      <c r="D21" s="84" t="s">
        <v>651</v>
      </c>
      <c r="E21" s="84"/>
      <c r="F21" s="85"/>
      <c r="G21" s="86"/>
      <c r="H21" s="538"/>
      <c r="I21" s="88">
        <v>1</v>
      </c>
      <c r="J21" s="539">
        <f>I21*H21</f>
        <v>0</v>
      </c>
      <c r="K21" s="84"/>
      <c r="L21" s="538"/>
      <c r="M21" s="90">
        <v>1</v>
      </c>
      <c r="N21" s="539">
        <f>M21*L21</f>
        <v>0</v>
      </c>
      <c r="O21" s="84"/>
      <c r="P21" s="91">
        <f>N21-J21</f>
        <v>0</v>
      </c>
      <c r="Q21" s="540" t="str">
        <f>IF((J21)=0,"",(P21/J21))</f>
        <v/>
      </c>
    </row>
    <row r="22" spans="2:17" x14ac:dyDescent="0.2">
      <c r="D22" s="84" t="s">
        <v>652</v>
      </c>
      <c r="E22" s="84"/>
      <c r="F22" s="85"/>
      <c r="G22" s="86"/>
      <c r="H22" s="538"/>
      <c r="I22" s="88">
        <v>1</v>
      </c>
      <c r="J22" s="539">
        <f t="shared" ref="J22:J35" si="0">I22*H22</f>
        <v>0</v>
      </c>
      <c r="K22" s="84"/>
      <c r="L22" s="538"/>
      <c r="M22" s="90">
        <v>1</v>
      </c>
      <c r="N22" s="539">
        <f>M22*L22</f>
        <v>0</v>
      </c>
      <c r="O22" s="84"/>
      <c r="P22" s="91">
        <f>N22-J22</f>
        <v>0</v>
      </c>
      <c r="Q22" s="540" t="str">
        <f>IF((J22)=0,"",(P22/J22))</f>
        <v/>
      </c>
    </row>
    <row r="23" spans="2:17" x14ac:dyDescent="0.2">
      <c r="D23" s="84" t="s">
        <v>653</v>
      </c>
      <c r="E23" s="84"/>
      <c r="F23" s="85"/>
      <c r="G23" s="86"/>
      <c r="H23" s="538"/>
      <c r="I23" s="88">
        <v>1</v>
      </c>
      <c r="J23" s="539">
        <f t="shared" si="0"/>
        <v>0</v>
      </c>
      <c r="K23" s="84"/>
      <c r="L23" s="538"/>
      <c r="M23" s="90">
        <v>1</v>
      </c>
      <c r="N23" s="539">
        <f t="shared" ref="N23:N35" si="1">M23*L23</f>
        <v>0</v>
      </c>
      <c r="O23" s="84"/>
      <c r="P23" s="91">
        <f t="shared" ref="P23:P35" si="2">N23-J23</f>
        <v>0</v>
      </c>
      <c r="Q23" s="540" t="str">
        <f t="shared" ref="Q23:Q35" si="3">IF((J23)=0,"",(P23/J23))</f>
        <v/>
      </c>
    </row>
    <row r="24" spans="2:17" x14ac:dyDescent="0.2">
      <c r="D24" s="84" t="s">
        <v>654</v>
      </c>
      <c r="E24" s="84"/>
      <c r="F24" s="85"/>
      <c r="G24" s="86"/>
      <c r="H24" s="538"/>
      <c r="I24" s="88">
        <v>1</v>
      </c>
      <c r="J24" s="539">
        <f t="shared" si="0"/>
        <v>0</v>
      </c>
      <c r="K24" s="84"/>
      <c r="L24" s="538"/>
      <c r="M24" s="90">
        <v>1</v>
      </c>
      <c r="N24" s="539">
        <f t="shared" si="1"/>
        <v>0</v>
      </c>
      <c r="O24" s="84"/>
      <c r="P24" s="91">
        <f t="shared" si="2"/>
        <v>0</v>
      </c>
      <c r="Q24" s="540" t="str">
        <f t="shared" si="3"/>
        <v/>
      </c>
    </row>
    <row r="25" spans="2:17" x14ac:dyDescent="0.2">
      <c r="D25" s="84" t="s">
        <v>655</v>
      </c>
      <c r="E25" s="84"/>
      <c r="F25" s="85"/>
      <c r="G25" s="86"/>
      <c r="H25" s="538"/>
      <c r="I25" s="88">
        <f>H16</f>
        <v>0</v>
      </c>
      <c r="J25" s="539">
        <f t="shared" si="0"/>
        <v>0</v>
      </c>
      <c r="K25" s="84"/>
      <c r="L25" s="538"/>
      <c r="M25" s="90">
        <f>H16</f>
        <v>0</v>
      </c>
      <c r="N25" s="539">
        <f t="shared" si="1"/>
        <v>0</v>
      </c>
      <c r="O25" s="84"/>
      <c r="P25" s="91">
        <f t="shared" si="2"/>
        <v>0</v>
      </c>
      <c r="Q25" s="540" t="str">
        <f t="shared" si="3"/>
        <v/>
      </c>
    </row>
    <row r="26" spans="2:17" x14ac:dyDescent="0.2">
      <c r="D26" s="84" t="s">
        <v>656</v>
      </c>
      <c r="E26" s="84"/>
      <c r="F26" s="85"/>
      <c r="G26" s="86"/>
      <c r="H26" s="538"/>
      <c r="I26" s="88">
        <f t="shared" ref="I26:I31" si="4">I25</f>
        <v>0</v>
      </c>
      <c r="J26" s="539">
        <f t="shared" si="0"/>
        <v>0</v>
      </c>
      <c r="K26" s="84"/>
      <c r="L26" s="538"/>
      <c r="M26" s="90">
        <f t="shared" ref="M26:M31" si="5">M25</f>
        <v>0</v>
      </c>
      <c r="N26" s="539">
        <f t="shared" si="1"/>
        <v>0</v>
      </c>
      <c r="O26" s="84"/>
      <c r="P26" s="91">
        <f t="shared" si="2"/>
        <v>0</v>
      </c>
      <c r="Q26" s="540" t="str">
        <f t="shared" si="3"/>
        <v/>
      </c>
    </row>
    <row r="27" spans="2:17" x14ac:dyDescent="0.2">
      <c r="D27" s="84" t="s">
        <v>657</v>
      </c>
      <c r="E27" s="84"/>
      <c r="F27" s="85"/>
      <c r="G27" s="86"/>
      <c r="H27" s="538"/>
      <c r="I27" s="88">
        <f t="shared" si="4"/>
        <v>0</v>
      </c>
      <c r="J27" s="539">
        <f t="shared" si="0"/>
        <v>0</v>
      </c>
      <c r="K27" s="84"/>
      <c r="L27" s="538"/>
      <c r="M27" s="90">
        <f t="shared" si="5"/>
        <v>0</v>
      </c>
      <c r="N27" s="539">
        <f t="shared" si="1"/>
        <v>0</v>
      </c>
      <c r="O27" s="84"/>
      <c r="P27" s="91">
        <f t="shared" si="2"/>
        <v>0</v>
      </c>
      <c r="Q27" s="540" t="str">
        <f t="shared" si="3"/>
        <v/>
      </c>
    </row>
    <row r="28" spans="2:17" x14ac:dyDescent="0.2">
      <c r="D28" s="84" t="s">
        <v>658</v>
      </c>
      <c r="E28" s="84"/>
      <c r="F28" s="85"/>
      <c r="G28" s="86"/>
      <c r="H28" s="538"/>
      <c r="I28" s="88">
        <f t="shared" si="4"/>
        <v>0</v>
      </c>
      <c r="J28" s="539">
        <f t="shared" si="0"/>
        <v>0</v>
      </c>
      <c r="K28" s="84"/>
      <c r="L28" s="538"/>
      <c r="M28" s="90">
        <f t="shared" si="5"/>
        <v>0</v>
      </c>
      <c r="N28" s="539">
        <f t="shared" si="1"/>
        <v>0</v>
      </c>
      <c r="O28" s="84"/>
      <c r="P28" s="91">
        <f t="shared" si="2"/>
        <v>0</v>
      </c>
      <c r="Q28" s="540" t="str">
        <f t="shared" si="3"/>
        <v/>
      </c>
    </row>
    <row r="29" spans="2:17" x14ac:dyDescent="0.2">
      <c r="D29" s="84" t="s">
        <v>659</v>
      </c>
      <c r="E29" s="84"/>
      <c r="F29" s="85"/>
      <c r="G29" s="86"/>
      <c r="H29" s="538"/>
      <c r="I29" s="88">
        <f t="shared" si="4"/>
        <v>0</v>
      </c>
      <c r="J29" s="539">
        <f t="shared" si="0"/>
        <v>0</v>
      </c>
      <c r="K29" s="84"/>
      <c r="L29" s="538"/>
      <c r="M29" s="90">
        <f t="shared" si="5"/>
        <v>0</v>
      </c>
      <c r="N29" s="539">
        <f t="shared" si="1"/>
        <v>0</v>
      </c>
      <c r="O29" s="84"/>
      <c r="P29" s="91">
        <f t="shared" si="2"/>
        <v>0</v>
      </c>
      <c r="Q29" s="540" t="str">
        <f t="shared" si="3"/>
        <v/>
      </c>
    </row>
    <row r="30" spans="2:17" x14ac:dyDescent="0.2">
      <c r="D30" s="84" t="s">
        <v>660</v>
      </c>
      <c r="E30" s="84"/>
      <c r="F30" s="85"/>
      <c r="G30" s="86"/>
      <c r="H30" s="538"/>
      <c r="I30" s="88">
        <f t="shared" si="4"/>
        <v>0</v>
      </c>
      <c r="J30" s="539">
        <f t="shared" si="0"/>
        <v>0</v>
      </c>
      <c r="K30" s="84"/>
      <c r="L30" s="538"/>
      <c r="M30" s="90">
        <f t="shared" si="5"/>
        <v>0</v>
      </c>
      <c r="N30" s="539">
        <f t="shared" si="1"/>
        <v>0</v>
      </c>
      <c r="O30" s="84"/>
      <c r="P30" s="91">
        <f t="shared" si="2"/>
        <v>0</v>
      </c>
      <c r="Q30" s="540" t="str">
        <f t="shared" si="3"/>
        <v/>
      </c>
    </row>
    <row r="31" spans="2:17" ht="25.5" x14ac:dyDescent="0.2">
      <c r="D31" s="93" t="s">
        <v>661</v>
      </c>
      <c r="E31" s="84"/>
      <c r="F31" s="85"/>
      <c r="G31" s="86"/>
      <c r="H31" s="538"/>
      <c r="I31" s="88">
        <f t="shared" si="4"/>
        <v>0</v>
      </c>
      <c r="J31" s="539">
        <f t="shared" si="0"/>
        <v>0</v>
      </c>
      <c r="K31" s="84"/>
      <c r="L31" s="538"/>
      <c r="M31" s="90">
        <f t="shared" si="5"/>
        <v>0</v>
      </c>
      <c r="N31" s="539">
        <f t="shared" si="1"/>
        <v>0</v>
      </c>
      <c r="O31" s="84"/>
      <c r="P31" s="91">
        <f t="shared" si="2"/>
        <v>0</v>
      </c>
      <c r="Q31" s="540" t="str">
        <f t="shared" si="3"/>
        <v/>
      </c>
    </row>
    <row r="32" spans="2:17" x14ac:dyDescent="0.2">
      <c r="D32" s="94"/>
      <c r="E32" s="84"/>
      <c r="F32" s="85"/>
      <c r="G32" s="86"/>
      <c r="H32" s="538"/>
      <c r="I32" s="95"/>
      <c r="J32" s="539">
        <f t="shared" si="0"/>
        <v>0</v>
      </c>
      <c r="K32" s="84"/>
      <c r="L32" s="538"/>
      <c r="M32" s="96"/>
      <c r="N32" s="539">
        <f t="shared" si="1"/>
        <v>0</v>
      </c>
      <c r="O32" s="84"/>
      <c r="P32" s="91">
        <f t="shared" si="2"/>
        <v>0</v>
      </c>
      <c r="Q32" s="540" t="str">
        <f t="shared" si="3"/>
        <v/>
      </c>
    </row>
    <row r="33" spans="4:17" x14ac:dyDescent="0.2">
      <c r="D33" s="94"/>
      <c r="E33" s="84"/>
      <c r="F33" s="85"/>
      <c r="G33" s="86"/>
      <c r="H33" s="538"/>
      <c r="I33" s="95"/>
      <c r="J33" s="539">
        <f t="shared" si="0"/>
        <v>0</v>
      </c>
      <c r="K33" s="84"/>
      <c r="L33" s="538"/>
      <c r="M33" s="96"/>
      <c r="N33" s="539">
        <f t="shared" si="1"/>
        <v>0</v>
      </c>
      <c r="O33" s="84"/>
      <c r="P33" s="91">
        <f t="shared" si="2"/>
        <v>0</v>
      </c>
      <c r="Q33" s="540" t="str">
        <f t="shared" si="3"/>
        <v/>
      </c>
    </row>
    <row r="34" spans="4:17" x14ac:dyDescent="0.2">
      <c r="D34" s="94"/>
      <c r="E34" s="84"/>
      <c r="F34" s="85"/>
      <c r="G34" s="86"/>
      <c r="H34" s="538"/>
      <c r="I34" s="95"/>
      <c r="J34" s="539">
        <f t="shared" si="0"/>
        <v>0</v>
      </c>
      <c r="K34" s="84"/>
      <c r="L34" s="538"/>
      <c r="M34" s="96"/>
      <c r="N34" s="539">
        <f t="shared" si="1"/>
        <v>0</v>
      </c>
      <c r="O34" s="84"/>
      <c r="P34" s="91">
        <f t="shared" si="2"/>
        <v>0</v>
      </c>
      <c r="Q34" s="540" t="str">
        <f t="shared" si="3"/>
        <v/>
      </c>
    </row>
    <row r="35" spans="4:17" ht="13.5" thickBot="1" x14ac:dyDescent="0.25">
      <c r="D35" s="94"/>
      <c r="E35" s="84"/>
      <c r="F35" s="85"/>
      <c r="G35" s="86"/>
      <c r="H35" s="538"/>
      <c r="I35" s="95"/>
      <c r="J35" s="539">
        <f t="shared" si="0"/>
        <v>0</v>
      </c>
      <c r="K35" s="84"/>
      <c r="L35" s="538"/>
      <c r="M35" s="96"/>
      <c r="N35" s="539">
        <f t="shared" si="1"/>
        <v>0</v>
      </c>
      <c r="O35" s="84"/>
      <c r="P35" s="91">
        <f t="shared" si="2"/>
        <v>0</v>
      </c>
      <c r="Q35" s="540" t="str">
        <f t="shared" si="3"/>
        <v/>
      </c>
    </row>
    <row r="36" spans="4:17" ht="13.5" thickBot="1" x14ac:dyDescent="0.25">
      <c r="D36" s="13" t="s">
        <v>662</v>
      </c>
      <c r="G36" s="97"/>
      <c r="H36" s="98"/>
      <c r="I36" s="99"/>
      <c r="J36" s="100">
        <f>SUM(J21:J35)</f>
        <v>0</v>
      </c>
      <c r="L36" s="98"/>
      <c r="M36" s="101"/>
      <c r="N36" s="100">
        <f>SUM(N21:N35)</f>
        <v>0</v>
      </c>
      <c r="P36" s="102">
        <f t="shared" ref="P36:P52" si="6">N36-J36</f>
        <v>0</v>
      </c>
      <c r="Q36" s="103" t="str">
        <f t="shared" ref="Q36:Q52" si="7">IF((J36)=0,"",(P36/J36))</f>
        <v/>
      </c>
    </row>
    <row r="37" spans="4:17" x14ac:dyDescent="0.2">
      <c r="D37" s="104" t="s">
        <v>663</v>
      </c>
      <c r="E37" s="104"/>
      <c r="F37" s="105"/>
      <c r="G37" s="106"/>
      <c r="H37" s="541"/>
      <c r="I37" s="107">
        <f>H16*(1+H54)</f>
        <v>0</v>
      </c>
      <c r="J37" s="542">
        <f>I37*H37</f>
        <v>0</v>
      </c>
      <c r="K37" s="104"/>
      <c r="L37" s="541"/>
      <c r="M37" s="108">
        <f>H16*(1+L54)</f>
        <v>0</v>
      </c>
      <c r="N37" s="542">
        <f>M37*L37</f>
        <v>0</v>
      </c>
      <c r="O37" s="104"/>
      <c r="P37" s="109">
        <f t="shared" si="6"/>
        <v>0</v>
      </c>
      <c r="Q37" s="543" t="str">
        <f t="shared" si="7"/>
        <v/>
      </c>
    </row>
    <row r="38" spans="4:17" ht="26.25" thickBot="1" x14ac:dyDescent="0.25">
      <c r="D38" s="110" t="s">
        <v>664</v>
      </c>
      <c r="E38" s="104"/>
      <c r="F38" s="105"/>
      <c r="G38" s="106"/>
      <c r="H38" s="541"/>
      <c r="I38" s="107">
        <f>I37</f>
        <v>0</v>
      </c>
      <c r="J38" s="542">
        <f>I38*H38</f>
        <v>0</v>
      </c>
      <c r="K38" s="104"/>
      <c r="L38" s="541"/>
      <c r="M38" s="108">
        <f>M37</f>
        <v>0</v>
      </c>
      <c r="N38" s="542">
        <f>M38*L38</f>
        <v>0</v>
      </c>
      <c r="O38" s="104"/>
      <c r="P38" s="109">
        <f t="shared" si="6"/>
        <v>0</v>
      </c>
      <c r="Q38" s="543" t="str">
        <f t="shared" si="7"/>
        <v/>
      </c>
    </row>
    <row r="39" spans="4:17" ht="26.25" thickBot="1" x14ac:dyDescent="0.25">
      <c r="D39" s="111" t="s">
        <v>665</v>
      </c>
      <c r="E39" s="84"/>
      <c r="F39" s="84"/>
      <c r="G39" s="86"/>
      <c r="H39" s="112"/>
      <c r="I39" s="113"/>
      <c r="J39" s="114">
        <f>SUM(J36:J38)</f>
        <v>0</v>
      </c>
      <c r="K39" s="115"/>
      <c r="L39" s="116"/>
      <c r="M39" s="117"/>
      <c r="N39" s="114">
        <f>SUM(N36:N38)</f>
        <v>0</v>
      </c>
      <c r="O39" s="115"/>
      <c r="P39" s="118">
        <f t="shared" si="6"/>
        <v>0</v>
      </c>
      <c r="Q39" s="119" t="str">
        <f t="shared" si="7"/>
        <v/>
      </c>
    </row>
    <row r="40" spans="4:17" ht="25.5" x14ac:dyDescent="0.2">
      <c r="D40" s="93" t="s">
        <v>666</v>
      </c>
      <c r="E40" s="84"/>
      <c r="F40" s="85"/>
      <c r="G40" s="86"/>
      <c r="H40" s="87"/>
      <c r="I40" s="88">
        <f>I38</f>
        <v>0</v>
      </c>
      <c r="J40" s="89">
        <f t="shared" ref="J40:J47" si="8">I40*H40</f>
        <v>0</v>
      </c>
      <c r="K40" s="84"/>
      <c r="L40" s="87"/>
      <c r="M40" s="90">
        <f>M38</f>
        <v>0</v>
      </c>
      <c r="N40" s="89">
        <f t="shared" ref="N40:N47" si="9">M40*L40</f>
        <v>0</v>
      </c>
      <c r="O40" s="84"/>
      <c r="P40" s="91">
        <f t="shared" si="6"/>
        <v>0</v>
      </c>
      <c r="Q40" s="92" t="str">
        <f t="shared" si="7"/>
        <v/>
      </c>
    </row>
    <row r="41" spans="4:17" ht="25.5" x14ac:dyDescent="0.2">
      <c r="D41" s="93" t="s">
        <v>667</v>
      </c>
      <c r="E41" s="84"/>
      <c r="F41" s="85"/>
      <c r="G41" s="86"/>
      <c r="H41" s="87"/>
      <c r="I41" s="88">
        <f>I38</f>
        <v>0</v>
      </c>
      <c r="J41" s="89">
        <f t="shared" si="8"/>
        <v>0</v>
      </c>
      <c r="K41" s="84"/>
      <c r="L41" s="87"/>
      <c r="M41" s="90">
        <f>M38</f>
        <v>0</v>
      </c>
      <c r="N41" s="89">
        <f t="shared" si="9"/>
        <v>0</v>
      </c>
      <c r="O41" s="84"/>
      <c r="P41" s="91">
        <f t="shared" si="6"/>
        <v>0</v>
      </c>
      <c r="Q41" s="92" t="str">
        <f t="shared" si="7"/>
        <v/>
      </c>
    </row>
    <row r="42" spans="4:17" x14ac:dyDescent="0.2">
      <c r="D42" s="93" t="s">
        <v>668</v>
      </c>
      <c r="E42" s="84"/>
      <c r="F42" s="85"/>
      <c r="G42" s="86"/>
      <c r="H42" s="120"/>
      <c r="I42" s="88">
        <f>I38</f>
        <v>0</v>
      </c>
      <c r="J42" s="89">
        <f t="shared" si="8"/>
        <v>0</v>
      </c>
      <c r="K42" s="84"/>
      <c r="L42" s="120"/>
      <c r="M42" s="90">
        <f>M38</f>
        <v>0</v>
      </c>
      <c r="N42" s="89">
        <f t="shared" si="9"/>
        <v>0</v>
      </c>
      <c r="O42" s="84"/>
      <c r="P42" s="91">
        <f t="shared" si="6"/>
        <v>0</v>
      </c>
      <c r="Q42" s="92" t="str">
        <f t="shared" si="7"/>
        <v/>
      </c>
    </row>
    <row r="43" spans="4:17" x14ac:dyDescent="0.2">
      <c r="D43" s="84" t="s">
        <v>669</v>
      </c>
      <c r="E43" s="84"/>
      <c r="F43" s="85"/>
      <c r="G43" s="86"/>
      <c r="H43" s="87"/>
      <c r="I43" s="88">
        <v>1</v>
      </c>
      <c r="J43" s="89">
        <f t="shared" si="8"/>
        <v>0</v>
      </c>
      <c r="K43" s="84"/>
      <c r="L43" s="87"/>
      <c r="M43" s="90">
        <v>1</v>
      </c>
      <c r="N43" s="89">
        <f t="shared" si="9"/>
        <v>0</v>
      </c>
      <c r="O43" s="84"/>
      <c r="P43" s="91">
        <f t="shared" si="6"/>
        <v>0</v>
      </c>
      <c r="Q43" s="92" t="str">
        <f t="shared" si="7"/>
        <v/>
      </c>
    </row>
    <row r="44" spans="4:17" x14ac:dyDescent="0.2">
      <c r="D44" s="84" t="s">
        <v>670</v>
      </c>
      <c r="E44" s="84"/>
      <c r="F44" s="85"/>
      <c r="G44" s="86"/>
      <c r="H44" s="87"/>
      <c r="I44" s="88">
        <f>I41</f>
        <v>0</v>
      </c>
      <c r="J44" s="89">
        <f t="shared" si="8"/>
        <v>0</v>
      </c>
      <c r="K44" s="84"/>
      <c r="L44" s="87"/>
      <c r="M44" s="90">
        <f>M41</f>
        <v>0</v>
      </c>
      <c r="N44" s="89">
        <f t="shared" si="9"/>
        <v>0</v>
      </c>
      <c r="O44" s="84"/>
      <c r="P44" s="91">
        <f t="shared" si="6"/>
        <v>0</v>
      </c>
      <c r="Q44" s="92" t="str">
        <f t="shared" si="7"/>
        <v/>
      </c>
    </row>
    <row r="45" spans="4:17" x14ac:dyDescent="0.2">
      <c r="D45" s="84" t="s">
        <v>671</v>
      </c>
      <c r="E45" s="84"/>
      <c r="F45" s="85"/>
      <c r="G45" s="86"/>
      <c r="H45" s="87"/>
      <c r="I45" s="88">
        <f>I44</f>
        <v>0</v>
      </c>
      <c r="J45" s="89">
        <f t="shared" si="8"/>
        <v>0</v>
      </c>
      <c r="K45" s="84"/>
      <c r="L45" s="87"/>
      <c r="M45" s="90">
        <f>M44</f>
        <v>0</v>
      </c>
      <c r="N45" s="89">
        <f t="shared" si="9"/>
        <v>0</v>
      </c>
      <c r="O45" s="84"/>
      <c r="P45" s="91">
        <f t="shared" si="6"/>
        <v>0</v>
      </c>
      <c r="Q45" s="92" t="str">
        <f t="shared" si="7"/>
        <v/>
      </c>
    </row>
    <row r="46" spans="4:17" x14ac:dyDescent="0.2">
      <c r="D46" s="121"/>
      <c r="E46" s="84"/>
      <c r="F46" s="85"/>
      <c r="G46" s="86"/>
      <c r="H46" s="87"/>
      <c r="I46" s="122"/>
      <c r="J46" s="89">
        <f t="shared" si="8"/>
        <v>0</v>
      </c>
      <c r="K46" s="84"/>
      <c r="L46" s="87"/>
      <c r="M46" s="123"/>
      <c r="N46" s="89">
        <f t="shared" si="9"/>
        <v>0</v>
      </c>
      <c r="O46" s="84"/>
      <c r="P46" s="91">
        <f t="shared" si="6"/>
        <v>0</v>
      </c>
      <c r="Q46" s="92" t="str">
        <f t="shared" si="7"/>
        <v/>
      </c>
    </row>
    <row r="47" spans="4:17" ht="13.5" thickBot="1" x14ac:dyDescent="0.25">
      <c r="D47" s="94"/>
      <c r="E47" s="84"/>
      <c r="F47" s="85"/>
      <c r="G47" s="86"/>
      <c r="H47" s="87"/>
      <c r="I47" s="95"/>
      <c r="J47" s="89">
        <f t="shared" si="8"/>
        <v>0</v>
      </c>
      <c r="K47" s="84"/>
      <c r="L47" s="87"/>
      <c r="M47" s="96"/>
      <c r="N47" s="89">
        <f t="shared" si="9"/>
        <v>0</v>
      </c>
      <c r="O47" s="84"/>
      <c r="P47" s="91">
        <f t="shared" si="6"/>
        <v>0</v>
      </c>
      <c r="Q47" s="92" t="str">
        <f t="shared" si="7"/>
        <v/>
      </c>
    </row>
    <row r="48" spans="4:17" ht="13.5" thickBot="1" x14ac:dyDescent="0.25">
      <c r="D48" s="124" t="s">
        <v>672</v>
      </c>
      <c r="E48" s="84"/>
      <c r="F48" s="84"/>
      <c r="G48" s="84"/>
      <c r="H48" s="125"/>
      <c r="I48" s="126"/>
      <c r="J48" s="114">
        <f>SUM(J39:J47)</f>
        <v>0</v>
      </c>
      <c r="K48" s="115"/>
      <c r="L48" s="127"/>
      <c r="M48" s="128"/>
      <c r="N48" s="114">
        <f>SUM(N39:N47)</f>
        <v>0</v>
      </c>
      <c r="O48" s="115"/>
      <c r="P48" s="118">
        <f t="shared" si="6"/>
        <v>0</v>
      </c>
      <c r="Q48" s="119" t="str">
        <f t="shared" si="7"/>
        <v/>
      </c>
    </row>
    <row r="49" spans="2:17" ht="13.5" thickBot="1" x14ac:dyDescent="0.25">
      <c r="D49" s="86" t="s">
        <v>673</v>
      </c>
      <c r="E49" s="84"/>
      <c r="F49" s="84"/>
      <c r="G49" s="84"/>
      <c r="H49" s="129">
        <v>0.13</v>
      </c>
      <c r="I49" s="130"/>
      <c r="J49" s="131">
        <f>J48*H49</f>
        <v>0</v>
      </c>
      <c r="K49" s="84"/>
      <c r="L49" s="129">
        <v>0.13</v>
      </c>
      <c r="M49" s="132"/>
      <c r="N49" s="131">
        <f>N48*L49</f>
        <v>0</v>
      </c>
      <c r="O49" s="84"/>
      <c r="P49" s="91">
        <f t="shared" si="6"/>
        <v>0</v>
      </c>
      <c r="Q49" s="92" t="str">
        <f t="shared" si="7"/>
        <v/>
      </c>
    </row>
    <row r="50" spans="2:17" ht="26.25" thickBot="1" x14ac:dyDescent="0.25">
      <c r="D50" s="111" t="s">
        <v>674</v>
      </c>
      <c r="E50" s="84"/>
      <c r="F50" s="84"/>
      <c r="G50" s="84"/>
      <c r="H50" s="112"/>
      <c r="I50" s="113"/>
      <c r="J50" s="114">
        <f>ROUND(SUM(J48:J49),2)</f>
        <v>0</v>
      </c>
      <c r="K50" s="115"/>
      <c r="L50" s="116"/>
      <c r="M50" s="117"/>
      <c r="N50" s="114">
        <f>ROUND(SUM(N48:N49),2)</f>
        <v>0</v>
      </c>
      <c r="O50" s="115"/>
      <c r="P50" s="118">
        <f t="shared" si="6"/>
        <v>0</v>
      </c>
      <c r="Q50" s="119" t="str">
        <f t="shared" si="7"/>
        <v/>
      </c>
    </row>
    <row r="51" spans="2:17" ht="27.75" thickBot="1" x14ac:dyDescent="0.25">
      <c r="D51" s="185" t="s">
        <v>432</v>
      </c>
      <c r="E51" s="84"/>
      <c r="F51" s="84"/>
      <c r="G51" s="84"/>
      <c r="H51" s="112"/>
      <c r="I51" s="182"/>
      <c r="J51" s="114">
        <f>ROUND(-J50*10%,2)</f>
        <v>0</v>
      </c>
      <c r="K51" s="115"/>
      <c r="L51" s="116"/>
      <c r="M51" s="117"/>
      <c r="N51" s="114">
        <f>ROUND(-N50*10%,2)</f>
        <v>0</v>
      </c>
      <c r="O51" s="115"/>
      <c r="P51" s="118">
        <f t="shared" si="6"/>
        <v>0</v>
      </c>
      <c r="Q51" s="119" t="str">
        <f t="shared" si="7"/>
        <v/>
      </c>
    </row>
    <row r="52" spans="2:17" ht="13.5" thickBot="1" x14ac:dyDescent="0.25">
      <c r="D52" s="111" t="s">
        <v>46</v>
      </c>
      <c r="E52" s="84"/>
      <c r="F52" s="84"/>
      <c r="G52" s="84"/>
      <c r="H52" s="184"/>
      <c r="I52" s="183"/>
      <c r="J52" s="177">
        <f>J50+J51</f>
        <v>0</v>
      </c>
      <c r="K52" s="115"/>
      <c r="L52" s="181"/>
      <c r="M52" s="180"/>
      <c r="N52" s="177">
        <f>N50+N51</f>
        <v>0</v>
      </c>
      <c r="O52" s="115"/>
      <c r="P52" s="179">
        <f t="shared" si="6"/>
        <v>0</v>
      </c>
      <c r="Q52" s="178" t="str">
        <f t="shared" si="7"/>
        <v/>
      </c>
    </row>
    <row r="53" spans="2:17" ht="10.5" customHeight="1" x14ac:dyDescent="0.2"/>
    <row r="54" spans="2:17" x14ac:dyDescent="0.2">
      <c r="D54" s="13" t="s">
        <v>675</v>
      </c>
      <c r="H54" s="133"/>
      <c r="L54" s="133"/>
    </row>
    <row r="55" spans="2:17" ht="10.5" customHeight="1" x14ac:dyDescent="0.2"/>
    <row r="56" spans="2:17" ht="10.5" customHeight="1" x14ac:dyDescent="0.2">
      <c r="C56" s="563" t="s">
        <v>433</v>
      </c>
    </row>
    <row r="57" spans="2:17" ht="10.5" customHeight="1" x14ac:dyDescent="0.2"/>
    <row r="58" spans="2:17" x14ac:dyDescent="0.2">
      <c r="B58" s="13"/>
      <c r="C58" s="9" t="s">
        <v>140</v>
      </c>
    </row>
    <row r="59" spans="2:17" x14ac:dyDescent="0.2">
      <c r="C59" s="9" t="s">
        <v>141</v>
      </c>
    </row>
    <row r="61" spans="2:17" x14ac:dyDescent="0.2">
      <c r="C61" s="9" t="s">
        <v>421</v>
      </c>
    </row>
    <row r="62" spans="2:17" x14ac:dyDescent="0.2">
      <c r="C62" s="9" t="s">
        <v>142</v>
      </c>
    </row>
    <row r="64" spans="2:17" x14ac:dyDescent="0.2">
      <c r="C64" s="9" t="s">
        <v>143</v>
      </c>
    </row>
    <row r="65" spans="3:3" x14ac:dyDescent="0.2">
      <c r="C65" s="9" t="s">
        <v>144</v>
      </c>
    </row>
    <row r="66" spans="3:3" x14ac:dyDescent="0.2">
      <c r="C66" s="9" t="s">
        <v>145</v>
      </c>
    </row>
    <row r="67" spans="3:3" x14ac:dyDescent="0.2">
      <c r="C67" s="9" t="s">
        <v>146</v>
      </c>
    </row>
    <row r="68" spans="3:3" x14ac:dyDescent="0.2">
      <c r="C68" s="9" t="s">
        <v>147</v>
      </c>
    </row>
  </sheetData>
  <sheetProtection selectLockedCells="1"/>
  <mergeCells count="16">
    <mergeCell ref="P1:Q1"/>
    <mergeCell ref="P2:Q2"/>
    <mergeCell ref="P3:Q3"/>
    <mergeCell ref="P4:Q4"/>
    <mergeCell ref="F19:F20"/>
    <mergeCell ref="P19:P20"/>
    <mergeCell ref="Q19:Q20"/>
    <mergeCell ref="C3:M3"/>
    <mergeCell ref="H18:J18"/>
    <mergeCell ref="L18:N18"/>
    <mergeCell ref="P18:Q18"/>
    <mergeCell ref="F14:Q14"/>
    <mergeCell ref="D10:Q10"/>
    <mergeCell ref="D11:Q11"/>
    <mergeCell ref="P5:Q5"/>
    <mergeCell ref="P7:Q7"/>
  </mergeCells>
  <phoneticPr fontId="29" type="noConversion"/>
  <dataValidations count="3">
    <dataValidation type="list" allowBlank="1" showInputMessage="1" showErrorMessage="1" sqref="G21:G35 G40:G47 G37:G38">
      <formula1>$B$14:$B$19</formula1>
    </dataValidation>
    <dataValidation allowBlank="1" showInputMessage="1" showErrorMessage="1" promptTitle="Date Format" prompt="E.g:  &quot;August 1, 2011&quot;" sqref="P7"/>
    <dataValidation type="list" allowBlank="1" showInputMessage="1" showErrorMessage="1" prompt="Select Charge Unit - monthly, per kWh, per kW" sqref="F21:F35 F37:F38 F40:F47">
      <formula1>"Monthly, per kWh, per kW"</formula1>
    </dataValidation>
  </dataValidations>
  <pageMargins left="0.75" right="0.75" top="1" bottom="1" header="0.5" footer="0.5"/>
  <pageSetup scale="66" orientation="portrait" r:id="rId1"/>
  <headerFooter alignWithMargins="0">
    <oddFooter>&amp;C9</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B2:G5"/>
  <sheetViews>
    <sheetView showGridLines="0" topLeftCell="A10" workbookViewId="0">
      <selection activeCell="H39" sqref="H39"/>
    </sheetView>
  </sheetViews>
  <sheetFormatPr defaultRowHeight="12.75" x14ac:dyDescent="0.2"/>
  <cols>
    <col min="1" max="1" width="2.7109375" customWidth="1"/>
    <col min="2" max="2" width="81.85546875" customWidth="1"/>
  </cols>
  <sheetData>
    <row r="2" spans="2:7" ht="18" x14ac:dyDescent="0.25">
      <c r="B2" s="659" t="s">
        <v>389</v>
      </c>
      <c r="C2" s="659"/>
      <c r="D2" s="659"/>
      <c r="E2" s="659"/>
      <c r="F2" s="659"/>
      <c r="G2" s="659"/>
    </row>
    <row r="3" spans="2:7" ht="18" x14ac:dyDescent="0.25">
      <c r="B3" s="659" t="s">
        <v>228</v>
      </c>
      <c r="C3" s="659"/>
      <c r="D3" s="659"/>
      <c r="E3" s="659"/>
      <c r="F3" s="659"/>
      <c r="G3" s="659"/>
    </row>
    <row r="5" spans="2:7" ht="51" customHeight="1" x14ac:dyDescent="0.2">
      <c r="B5" s="657" t="s">
        <v>561</v>
      </c>
      <c r="C5" s="657"/>
      <c r="D5" s="657"/>
      <c r="E5" s="657"/>
      <c r="F5" s="657"/>
      <c r="G5" s="657"/>
    </row>
  </sheetData>
  <mergeCells count="3">
    <mergeCell ref="B5:G5"/>
    <mergeCell ref="B2:G2"/>
    <mergeCell ref="B3:G3"/>
  </mergeCells>
  <phoneticPr fontId="3" type="noConversion"/>
  <pageMargins left="0.75" right="0.75" top="1" bottom="1" header="0.5" footer="0.5"/>
  <pageSetup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topLeftCell="A4" zoomScaleNormal="100" workbookViewId="0">
      <selection activeCell="F16" sqref="F16"/>
    </sheetView>
  </sheetViews>
  <sheetFormatPr defaultRowHeight="12.75" x14ac:dyDescent="0.2"/>
  <cols>
    <col min="1" max="1" width="2.42578125" customWidth="1"/>
    <col min="3" max="3" width="26.7109375" customWidth="1"/>
    <col min="4" max="5" width="10.5703125" customWidth="1"/>
    <col min="6" max="7" width="12.7109375" customWidth="1"/>
    <col min="8" max="8" width="13.42578125" customWidth="1"/>
    <col min="9" max="13" width="12.7109375" customWidth="1"/>
  </cols>
  <sheetData>
    <row r="1" spans="2:13" x14ac:dyDescent="0.2">
      <c r="M1" s="151" t="s">
        <v>170</v>
      </c>
    </row>
    <row r="2" spans="2:13" x14ac:dyDescent="0.2">
      <c r="M2" s="151" t="s">
        <v>587</v>
      </c>
    </row>
    <row r="3" spans="2:13" x14ac:dyDescent="0.2">
      <c r="M3" s="151" t="s">
        <v>588</v>
      </c>
    </row>
    <row r="4" spans="2:13" x14ac:dyDescent="0.2">
      <c r="M4" s="151" t="s">
        <v>589</v>
      </c>
    </row>
    <row r="5" spans="2:13" x14ac:dyDescent="0.2">
      <c r="M5" s="151" t="s">
        <v>590</v>
      </c>
    </row>
    <row r="7" spans="2:13" x14ac:dyDescent="0.2">
      <c r="M7" s="472"/>
    </row>
    <row r="9" spans="2:13" ht="18" x14ac:dyDescent="0.25">
      <c r="B9" s="659" t="s">
        <v>26</v>
      </c>
      <c r="C9" s="659"/>
      <c r="D9" s="659"/>
      <c r="E9" s="659"/>
      <c r="F9" s="659"/>
      <c r="G9" s="659"/>
      <c r="H9" s="659"/>
      <c r="I9" s="659"/>
      <c r="J9" s="659"/>
      <c r="K9" s="659"/>
      <c r="L9" s="659"/>
      <c r="M9" s="659"/>
    </row>
    <row r="10" spans="2:13" ht="18" x14ac:dyDescent="0.25">
      <c r="B10" s="659" t="s">
        <v>25</v>
      </c>
      <c r="C10" s="659"/>
      <c r="D10" s="659"/>
      <c r="E10" s="659"/>
      <c r="F10" s="659"/>
      <c r="G10" s="659"/>
      <c r="H10" s="659"/>
      <c r="I10" s="659"/>
      <c r="J10" s="659"/>
      <c r="K10" s="659"/>
      <c r="L10" s="659"/>
      <c r="M10" s="659"/>
    </row>
    <row r="12" spans="2:13" ht="24.75" customHeight="1" x14ac:dyDescent="0.2">
      <c r="B12" s="657" t="s">
        <v>429</v>
      </c>
      <c r="C12" s="657"/>
      <c r="D12" s="657"/>
      <c r="E12" s="657"/>
      <c r="F12" s="657"/>
      <c r="G12" s="657"/>
      <c r="H12" s="657"/>
      <c r="I12" s="657"/>
      <c r="J12" s="657"/>
      <c r="K12" s="657"/>
      <c r="L12" s="657"/>
      <c r="M12" s="657"/>
    </row>
    <row r="14" spans="2:13" x14ac:dyDescent="0.2">
      <c r="F14" s="52" t="s">
        <v>27</v>
      </c>
      <c r="G14" s="151">
        <v>2009</v>
      </c>
      <c r="H14" s="623" t="s">
        <v>30</v>
      </c>
    </row>
    <row r="15" spans="2:13" ht="13.5" thickBot="1" x14ac:dyDescent="0.25"/>
    <row r="16" spans="2:13" ht="38.25" x14ac:dyDescent="0.2">
      <c r="B16" s="155" t="s">
        <v>28</v>
      </c>
      <c r="C16" s="156" t="s">
        <v>528</v>
      </c>
      <c r="D16" s="156" t="s">
        <v>526</v>
      </c>
      <c r="E16" s="625" t="s">
        <v>752</v>
      </c>
      <c r="F16" s="625" t="s">
        <v>786</v>
      </c>
      <c r="G16" s="625" t="s">
        <v>787</v>
      </c>
      <c r="H16" s="160" t="s">
        <v>744</v>
      </c>
      <c r="I16" s="625" t="s">
        <v>787</v>
      </c>
      <c r="J16" s="625" t="s">
        <v>783</v>
      </c>
      <c r="K16" s="160" t="s">
        <v>737</v>
      </c>
      <c r="L16" s="160" t="s">
        <v>738</v>
      </c>
      <c r="M16" s="626" t="s">
        <v>573</v>
      </c>
    </row>
    <row r="17" spans="2:13" x14ac:dyDescent="0.2">
      <c r="B17" s="627">
        <v>1830</v>
      </c>
      <c r="C17" s="622" t="s">
        <v>719</v>
      </c>
      <c r="D17" s="652"/>
      <c r="E17" s="652"/>
      <c r="F17" s="653"/>
      <c r="G17" s="653"/>
      <c r="H17" s="653"/>
      <c r="I17" s="653"/>
      <c r="J17" s="653"/>
      <c r="K17" s="653"/>
      <c r="L17" s="653">
        <v>62309</v>
      </c>
      <c r="M17" s="645">
        <f>SUM(E17:L17)</f>
        <v>62309</v>
      </c>
    </row>
    <row r="18" spans="2:13" ht="25.5" x14ac:dyDescent="0.2">
      <c r="B18" s="627">
        <v>1835</v>
      </c>
      <c r="C18" s="622" t="s">
        <v>463</v>
      </c>
      <c r="D18" s="652"/>
      <c r="E18" s="652"/>
      <c r="F18" s="653"/>
      <c r="G18" s="653"/>
      <c r="H18" s="653"/>
      <c r="I18" s="653"/>
      <c r="J18" s="653">
        <v>12275</v>
      </c>
      <c r="K18" s="653"/>
      <c r="L18" s="653">
        <v>94208</v>
      </c>
      <c r="M18" s="645">
        <f t="shared" ref="M18:M29" si="0">SUM(E18:L18)</f>
        <v>106483</v>
      </c>
    </row>
    <row r="19" spans="2:13" x14ac:dyDescent="0.2">
      <c r="B19" s="627">
        <v>1840</v>
      </c>
      <c r="C19" s="622" t="s">
        <v>464</v>
      </c>
      <c r="D19" s="652"/>
      <c r="E19" s="652"/>
      <c r="F19" s="653">
        <f>18339.38</f>
        <v>18339.38</v>
      </c>
      <c r="G19" s="653">
        <v>19448.419999999998</v>
      </c>
      <c r="H19" s="653">
        <v>19250</v>
      </c>
      <c r="I19" s="653">
        <v>14534.86</v>
      </c>
      <c r="J19" s="653">
        <v>463</v>
      </c>
      <c r="K19" s="653"/>
      <c r="L19" s="653">
        <v>60646</v>
      </c>
      <c r="M19" s="645">
        <f t="shared" si="0"/>
        <v>132681.66</v>
      </c>
    </row>
    <row r="20" spans="2:13" ht="25.5" x14ac:dyDescent="0.2">
      <c r="B20" s="627">
        <v>1845</v>
      </c>
      <c r="C20" s="622" t="s">
        <v>465</v>
      </c>
      <c r="D20" s="652"/>
      <c r="E20" s="652"/>
      <c r="F20" s="653">
        <v>18339.38</v>
      </c>
      <c r="G20" s="653">
        <v>19448.419999999998</v>
      </c>
      <c r="H20" s="653">
        <v>19250</v>
      </c>
      <c r="I20" s="653">
        <v>14534.86</v>
      </c>
      <c r="J20" s="653">
        <v>20724</v>
      </c>
      <c r="K20" s="653"/>
      <c r="L20" s="653">
        <v>48669</v>
      </c>
      <c r="M20" s="645">
        <f t="shared" si="0"/>
        <v>140965.66</v>
      </c>
    </row>
    <row r="21" spans="2:13" x14ac:dyDescent="0.2">
      <c r="B21" s="627">
        <v>1850</v>
      </c>
      <c r="C21" s="622" t="s">
        <v>541</v>
      </c>
      <c r="D21" s="652"/>
      <c r="E21" s="652"/>
      <c r="F21" s="653">
        <v>9955.67</v>
      </c>
      <c r="G21" s="653">
        <v>10557.71</v>
      </c>
      <c r="H21" s="653">
        <v>10450</v>
      </c>
      <c r="I21" s="653">
        <v>7890.35</v>
      </c>
      <c r="J21" s="653">
        <v>27834</v>
      </c>
      <c r="K21" s="653">
        <v>64513</v>
      </c>
      <c r="L21" s="653"/>
      <c r="M21" s="645">
        <f t="shared" si="0"/>
        <v>131200.72999999998</v>
      </c>
    </row>
    <row r="22" spans="2:13" x14ac:dyDescent="0.2">
      <c r="B22" s="627">
        <v>1855</v>
      </c>
      <c r="C22" s="622" t="s">
        <v>720</v>
      </c>
      <c r="D22" s="652"/>
      <c r="E22" s="652"/>
      <c r="F22" s="653">
        <v>3667.88</v>
      </c>
      <c r="G22" s="653">
        <v>3889.68</v>
      </c>
      <c r="H22" s="653">
        <v>3850</v>
      </c>
      <c r="I22" s="653">
        <v>2906.97</v>
      </c>
      <c r="J22" s="653"/>
      <c r="K22" s="653"/>
      <c r="L22" s="653">
        <v>36450</v>
      </c>
      <c r="M22" s="645">
        <f t="shared" si="0"/>
        <v>50764.53</v>
      </c>
    </row>
    <row r="23" spans="2:13" x14ac:dyDescent="0.2">
      <c r="B23" s="627">
        <v>1860</v>
      </c>
      <c r="C23" s="573" t="s">
        <v>542</v>
      </c>
      <c r="D23" s="652"/>
      <c r="E23" s="652"/>
      <c r="F23" s="653">
        <v>2095.9299999999998</v>
      </c>
      <c r="G23" s="653">
        <v>2222.6799999999998</v>
      </c>
      <c r="H23" s="653">
        <v>2200</v>
      </c>
      <c r="I23" s="653">
        <v>1661.13</v>
      </c>
      <c r="J23" s="653"/>
      <c r="K23" s="653">
        <v>27808</v>
      </c>
      <c r="L23" s="653"/>
      <c r="M23" s="645">
        <f t="shared" si="0"/>
        <v>35987.74</v>
      </c>
    </row>
    <row r="24" spans="2:13" x14ac:dyDescent="0.2">
      <c r="B24" s="627">
        <v>1908</v>
      </c>
      <c r="C24" s="573" t="s">
        <v>546</v>
      </c>
      <c r="D24" s="652"/>
      <c r="E24" s="652"/>
      <c r="F24" s="653"/>
      <c r="G24" s="653"/>
      <c r="H24" s="653"/>
      <c r="I24" s="653"/>
      <c r="J24" s="653"/>
      <c r="K24" s="653"/>
      <c r="L24" s="653"/>
      <c r="M24" s="645">
        <f t="shared" si="0"/>
        <v>0</v>
      </c>
    </row>
    <row r="25" spans="2:13" x14ac:dyDescent="0.2">
      <c r="B25" s="627">
        <v>1915</v>
      </c>
      <c r="C25" s="573" t="s">
        <v>750</v>
      </c>
      <c r="D25" s="652"/>
      <c r="E25" s="652"/>
      <c r="F25" s="653"/>
      <c r="G25" s="653"/>
      <c r="H25" s="653"/>
      <c r="I25" s="653"/>
      <c r="J25" s="653"/>
      <c r="K25" s="653">
        <v>5323</v>
      </c>
      <c r="L25" s="653"/>
      <c r="M25" s="645">
        <f t="shared" si="0"/>
        <v>5323</v>
      </c>
    </row>
    <row r="26" spans="2:13" x14ac:dyDescent="0.2">
      <c r="B26" s="627">
        <v>1920</v>
      </c>
      <c r="C26" s="573" t="s">
        <v>730</v>
      </c>
      <c r="D26" s="652"/>
      <c r="E26" s="652"/>
      <c r="F26" s="653"/>
      <c r="G26" s="653"/>
      <c r="H26" s="653"/>
      <c r="I26" s="653"/>
      <c r="J26" s="653"/>
      <c r="K26" s="653">
        <v>8228</v>
      </c>
      <c r="L26" s="653"/>
      <c r="M26" s="645">
        <f t="shared" si="0"/>
        <v>8228</v>
      </c>
    </row>
    <row r="27" spans="2:13" x14ac:dyDescent="0.2">
      <c r="B27" s="627">
        <v>1925</v>
      </c>
      <c r="C27" s="573" t="s">
        <v>563</v>
      </c>
      <c r="D27" s="652"/>
      <c r="E27" s="652"/>
      <c r="F27" s="653"/>
      <c r="G27" s="653"/>
      <c r="H27" s="653"/>
      <c r="I27" s="653"/>
      <c r="J27" s="653"/>
      <c r="K27" s="653">
        <v>5387</v>
      </c>
      <c r="L27" s="653"/>
      <c r="M27" s="645">
        <f t="shared" si="0"/>
        <v>5387</v>
      </c>
    </row>
    <row r="28" spans="2:13" x14ac:dyDescent="0.2">
      <c r="B28" s="627">
        <v>1930</v>
      </c>
      <c r="C28" s="573" t="s">
        <v>721</v>
      </c>
      <c r="D28" s="159"/>
      <c r="E28" s="628">
        <v>73521</v>
      </c>
      <c r="F28" s="654"/>
      <c r="G28" s="654"/>
      <c r="H28" s="654"/>
      <c r="I28" s="654"/>
      <c r="J28" s="654"/>
      <c r="K28" s="654"/>
      <c r="L28" s="654"/>
      <c r="M28" s="645">
        <f t="shared" si="0"/>
        <v>73521</v>
      </c>
    </row>
    <row r="29" spans="2:13" x14ac:dyDescent="0.2">
      <c r="B29" s="627">
        <v>1940</v>
      </c>
      <c r="C29" s="573" t="s">
        <v>722</v>
      </c>
      <c r="D29" s="159"/>
      <c r="E29" s="159"/>
      <c r="F29" s="654"/>
      <c r="G29" s="654"/>
      <c r="H29" s="654"/>
      <c r="I29" s="654"/>
      <c r="J29" s="654"/>
      <c r="K29" s="654">
        <v>6257</v>
      </c>
      <c r="L29" s="654"/>
      <c r="M29" s="645">
        <f t="shared" si="0"/>
        <v>6257</v>
      </c>
    </row>
    <row r="30" spans="2:13" ht="26.25" thickBot="1" x14ac:dyDescent="0.25">
      <c r="B30" s="631">
        <v>1995</v>
      </c>
      <c r="C30" s="633" t="s">
        <v>29</v>
      </c>
      <c r="D30" s="159"/>
      <c r="E30" s="159"/>
      <c r="F30" s="654"/>
      <c r="G30" s="654"/>
      <c r="H30" s="654">
        <v>-47565</v>
      </c>
      <c r="I30" s="654">
        <v>-8639</v>
      </c>
      <c r="J30" s="654"/>
      <c r="K30" s="654">
        <v>-133507</v>
      </c>
      <c r="L30" s="654"/>
      <c r="M30" s="645">
        <f>SUM(E30:L30)</f>
        <v>-189711</v>
      </c>
    </row>
    <row r="31" spans="2:13" ht="14.25" thickTop="1" thickBot="1" x14ac:dyDescent="0.25">
      <c r="B31" s="631"/>
      <c r="C31" s="634"/>
      <c r="D31" s="171"/>
      <c r="E31" s="647"/>
      <c r="F31" s="648"/>
      <c r="G31" s="649"/>
      <c r="H31" s="648"/>
      <c r="I31" s="648"/>
      <c r="J31" s="648"/>
      <c r="K31" s="648"/>
      <c r="L31" s="648"/>
      <c r="M31" s="655">
        <f>SUM(F31:L31)</f>
        <v>0</v>
      </c>
    </row>
    <row r="32" spans="2:13" ht="14.25" thickTop="1" thickBot="1" x14ac:dyDescent="0.25">
      <c r="B32" s="638" t="s">
        <v>573</v>
      </c>
      <c r="C32" s="639"/>
      <c r="D32" s="639"/>
      <c r="E32" s="640">
        <f t="shared" ref="E32:L32" si="1">SUM(E17:E31)</f>
        <v>73521</v>
      </c>
      <c r="F32" s="640">
        <f t="shared" si="1"/>
        <v>52398.239999999998</v>
      </c>
      <c r="G32" s="640">
        <f t="shared" si="1"/>
        <v>55566.909999999996</v>
      </c>
      <c r="H32" s="640">
        <f t="shared" si="1"/>
        <v>7435</v>
      </c>
      <c r="I32" s="640">
        <f t="shared" si="1"/>
        <v>32889.17</v>
      </c>
      <c r="J32" s="640">
        <f t="shared" si="1"/>
        <v>61296</v>
      </c>
      <c r="K32" s="640">
        <f t="shared" si="1"/>
        <v>-15991</v>
      </c>
      <c r="L32" s="640">
        <f t="shared" si="1"/>
        <v>302282</v>
      </c>
      <c r="M32" s="642">
        <f>SUM(E32:L32)</f>
        <v>569397.32000000007</v>
      </c>
    </row>
    <row r="37" spans="2:2" x14ac:dyDescent="0.2">
      <c r="B37" s="52" t="s">
        <v>562</v>
      </c>
    </row>
  </sheetData>
  <mergeCells count="3">
    <mergeCell ref="B9:M9"/>
    <mergeCell ref="B10:M10"/>
    <mergeCell ref="B12:M12"/>
  </mergeCells>
  <dataValidations count="1">
    <dataValidation allowBlank="1" showInputMessage="1" showErrorMessage="1" promptTitle="Date Format" prompt="E.g:  &quot;August 1, 2011&quot;" sqref="M7"/>
  </dataValidations>
  <pageMargins left="0.75" right="0.75" top="1" bottom="1" header="0.5" footer="0.5"/>
  <pageSetup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8"/>
  <sheetViews>
    <sheetView showGridLines="0" topLeftCell="A10" zoomScaleNormal="100" workbookViewId="0">
      <selection activeCell="G16" sqref="G16"/>
    </sheetView>
  </sheetViews>
  <sheetFormatPr defaultRowHeight="12.75" x14ac:dyDescent="0.2"/>
  <cols>
    <col min="1" max="1" width="2.42578125" customWidth="1"/>
    <col min="3" max="3" width="26.7109375" customWidth="1"/>
    <col min="4" max="4" width="4.140625" customWidth="1"/>
    <col min="5" max="5" width="9.5703125" bestFit="1" customWidth="1"/>
    <col min="6" max="6" width="8.42578125" customWidth="1"/>
    <col min="7" max="7" width="10.140625" customWidth="1"/>
    <col min="8" max="8" width="10.28515625" bestFit="1" customWidth="1"/>
    <col min="9" max="9" width="8.7109375" bestFit="1" customWidth="1"/>
    <col min="10" max="11" width="9.5703125" bestFit="1" customWidth="1"/>
    <col min="12" max="12" width="9.140625" customWidth="1"/>
    <col min="13" max="13" width="10.85546875" customWidth="1"/>
    <col min="14" max="15" width="10.7109375" customWidth="1"/>
    <col min="16" max="16" width="10.28515625" customWidth="1"/>
    <col min="17" max="17" width="12.7109375" customWidth="1"/>
  </cols>
  <sheetData>
    <row r="1" spans="2:17" x14ac:dyDescent="0.2">
      <c r="P1" s="52" t="s">
        <v>581</v>
      </c>
      <c r="Q1" s="151" t="s">
        <v>170</v>
      </c>
    </row>
    <row r="2" spans="2:17" x14ac:dyDescent="0.2">
      <c r="P2" s="52" t="s">
        <v>582</v>
      </c>
      <c r="Q2" s="151" t="s">
        <v>587</v>
      </c>
    </row>
    <row r="3" spans="2:17" x14ac:dyDescent="0.2">
      <c r="P3" s="52" t="s">
        <v>583</v>
      </c>
      <c r="Q3" s="151" t="s">
        <v>588</v>
      </c>
    </row>
    <row r="4" spans="2:17" x14ac:dyDescent="0.2">
      <c r="P4" s="52" t="s">
        <v>584</v>
      </c>
      <c r="Q4" s="151" t="s">
        <v>589</v>
      </c>
    </row>
    <row r="5" spans="2:17" x14ac:dyDescent="0.2">
      <c r="P5" s="52" t="s">
        <v>585</v>
      </c>
      <c r="Q5" s="151" t="s">
        <v>590</v>
      </c>
    </row>
    <row r="6" spans="2:17" x14ac:dyDescent="0.2">
      <c r="P6" s="52"/>
    </row>
    <row r="7" spans="2:17" x14ac:dyDescent="0.2">
      <c r="P7" s="52" t="s">
        <v>586</v>
      </c>
      <c r="Q7" s="472"/>
    </row>
    <row r="9" spans="2:17" ht="18" x14ac:dyDescent="0.25">
      <c r="B9" s="659" t="s">
        <v>26</v>
      </c>
      <c r="C9" s="659"/>
      <c r="D9" s="659"/>
      <c r="E9" s="659"/>
      <c r="F9" s="659"/>
      <c r="G9" s="659"/>
      <c r="H9" s="659"/>
      <c r="I9" s="659"/>
      <c r="J9" s="659"/>
      <c r="K9" s="659"/>
      <c r="L9" s="659"/>
      <c r="M9" s="659"/>
      <c r="N9" s="659"/>
      <c r="O9" s="659"/>
      <c r="P9" s="659"/>
      <c r="Q9" s="659"/>
    </row>
    <row r="10" spans="2:17" ht="18" x14ac:dyDescent="0.25">
      <c r="B10" s="659" t="s">
        <v>25</v>
      </c>
      <c r="C10" s="659"/>
      <c r="D10" s="659"/>
      <c r="E10" s="659"/>
      <c r="F10" s="659"/>
      <c r="G10" s="659"/>
      <c r="H10" s="659"/>
      <c r="I10" s="659"/>
      <c r="J10" s="659"/>
      <c r="K10" s="659"/>
      <c r="L10" s="659"/>
      <c r="M10" s="659"/>
      <c r="N10" s="659"/>
      <c r="O10" s="659"/>
      <c r="P10" s="659"/>
      <c r="Q10" s="659"/>
    </row>
    <row r="12" spans="2:17" ht="24.75" customHeight="1" x14ac:dyDescent="0.2">
      <c r="B12" s="657" t="s">
        <v>429</v>
      </c>
      <c r="C12" s="657"/>
      <c r="D12" s="657"/>
      <c r="E12" s="657"/>
      <c r="F12" s="657"/>
      <c r="G12" s="657"/>
      <c r="H12" s="657"/>
      <c r="I12" s="657"/>
      <c r="J12" s="657"/>
      <c r="K12" s="657"/>
      <c r="L12" s="657"/>
      <c r="M12" s="657"/>
      <c r="N12" s="657"/>
      <c r="O12" s="657"/>
      <c r="P12" s="657"/>
      <c r="Q12" s="657"/>
    </row>
    <row r="14" spans="2:17" x14ac:dyDescent="0.2">
      <c r="E14" s="52" t="s">
        <v>27</v>
      </c>
      <c r="F14" s="151">
        <v>2010</v>
      </c>
      <c r="G14" s="623" t="s">
        <v>30</v>
      </c>
    </row>
    <row r="15" spans="2:17" ht="13.5" thickBot="1" x14ac:dyDescent="0.25"/>
    <row r="16" spans="2:17" ht="51" x14ac:dyDescent="0.2">
      <c r="B16" s="155" t="s">
        <v>28</v>
      </c>
      <c r="C16" s="156" t="s">
        <v>528</v>
      </c>
      <c r="D16" s="156" t="s">
        <v>526</v>
      </c>
      <c r="E16" s="625" t="s">
        <v>788</v>
      </c>
      <c r="F16" s="625" t="s">
        <v>745</v>
      </c>
      <c r="G16" s="625" t="s">
        <v>789</v>
      </c>
      <c r="H16" s="625" t="s">
        <v>746</v>
      </c>
      <c r="I16" s="625" t="s">
        <v>790</v>
      </c>
      <c r="J16" s="625" t="s">
        <v>791</v>
      </c>
      <c r="K16" s="625" t="s">
        <v>792</v>
      </c>
      <c r="L16" s="625" t="s">
        <v>723</v>
      </c>
      <c r="M16" s="625" t="s">
        <v>724</v>
      </c>
      <c r="N16" s="625" t="s">
        <v>793</v>
      </c>
      <c r="O16" s="160" t="s">
        <v>737</v>
      </c>
      <c r="P16" s="160" t="s">
        <v>738</v>
      </c>
      <c r="Q16" s="626" t="s">
        <v>573</v>
      </c>
    </row>
    <row r="17" spans="2:17" x14ac:dyDescent="0.2">
      <c r="B17" s="627">
        <v>1830</v>
      </c>
      <c r="C17" s="622" t="s">
        <v>719</v>
      </c>
      <c r="D17" s="652"/>
      <c r="E17" s="653"/>
      <c r="F17" s="653"/>
      <c r="G17" s="653"/>
      <c r="H17" s="653"/>
      <c r="I17" s="653"/>
      <c r="J17" s="653"/>
      <c r="K17" s="653"/>
      <c r="L17" s="653">
        <v>32352</v>
      </c>
      <c r="M17" s="653"/>
      <c r="N17" s="653"/>
      <c r="O17" s="653"/>
      <c r="P17" s="653">
        <v>73410</v>
      </c>
      <c r="Q17" s="656">
        <f>SUM(E17:P17)</f>
        <v>105762</v>
      </c>
    </row>
    <row r="18" spans="2:17" ht="25.5" x14ac:dyDescent="0.2">
      <c r="B18" s="627">
        <v>1835</v>
      </c>
      <c r="C18" s="622" t="s">
        <v>463</v>
      </c>
      <c r="D18" s="652"/>
      <c r="E18" s="653"/>
      <c r="F18" s="653"/>
      <c r="G18" s="653"/>
      <c r="H18" s="653"/>
      <c r="I18" s="653"/>
      <c r="J18" s="653"/>
      <c r="K18" s="653"/>
      <c r="L18" s="653">
        <v>40275</v>
      </c>
      <c r="M18" s="653">
        <v>14592</v>
      </c>
      <c r="N18" s="653"/>
      <c r="O18" s="653"/>
      <c r="P18" s="653">
        <v>104298</v>
      </c>
      <c r="Q18" s="656">
        <f t="shared" ref="Q18:Q32" si="0">SUM(E18:P18)</f>
        <v>159165</v>
      </c>
    </row>
    <row r="19" spans="2:17" x14ac:dyDescent="0.2">
      <c r="B19" s="627">
        <v>1840</v>
      </c>
      <c r="C19" s="622" t="s">
        <v>464</v>
      </c>
      <c r="D19" s="652"/>
      <c r="E19" s="653">
        <v>13204.76</v>
      </c>
      <c r="F19" s="653">
        <v>8223.59</v>
      </c>
      <c r="G19" s="653">
        <v>21722.5</v>
      </c>
      <c r="H19" s="653">
        <v>41834.81</v>
      </c>
      <c r="I19" s="653">
        <v>10431.77</v>
      </c>
      <c r="J19" s="653">
        <v>10304.299999999999</v>
      </c>
      <c r="K19" s="653">
        <v>16251.76</v>
      </c>
      <c r="L19" s="653"/>
      <c r="M19" s="653">
        <v>36156</v>
      </c>
      <c r="N19" s="653">
        <v>6897.16</v>
      </c>
      <c r="O19" s="653"/>
      <c r="P19" s="653">
        <v>-5777</v>
      </c>
      <c r="Q19" s="656">
        <f t="shared" si="0"/>
        <v>159249.65</v>
      </c>
    </row>
    <row r="20" spans="2:17" ht="25.5" x14ac:dyDescent="0.2">
      <c r="B20" s="627">
        <v>1845</v>
      </c>
      <c r="C20" s="622" t="s">
        <v>465</v>
      </c>
      <c r="D20" s="652"/>
      <c r="E20" s="653">
        <v>17606.34</v>
      </c>
      <c r="F20" s="653">
        <v>10964.78</v>
      </c>
      <c r="G20" s="653">
        <v>28963.33</v>
      </c>
      <c r="H20" s="653">
        <v>55779.74</v>
      </c>
      <c r="I20" s="653">
        <v>13909.03</v>
      </c>
      <c r="J20" s="653">
        <v>13739.07</v>
      </c>
      <c r="K20" s="653">
        <v>21669.01</v>
      </c>
      <c r="L20" s="653">
        <v>6303</v>
      </c>
      <c r="M20" s="653">
        <v>20870</v>
      </c>
      <c r="N20" s="653">
        <v>9196.2099999999991</v>
      </c>
      <c r="O20" s="653"/>
      <c r="P20" s="653">
        <v>1964</v>
      </c>
      <c r="Q20" s="656">
        <f t="shared" si="0"/>
        <v>200964.51</v>
      </c>
    </row>
    <row r="21" spans="2:17" x14ac:dyDescent="0.2">
      <c r="B21" s="627">
        <v>1850</v>
      </c>
      <c r="C21" s="622" t="s">
        <v>541</v>
      </c>
      <c r="D21" s="652"/>
      <c r="E21" s="653">
        <v>8363.01</v>
      </c>
      <c r="F21" s="653">
        <v>5208.2700000000004</v>
      </c>
      <c r="G21" s="653">
        <v>13757.58</v>
      </c>
      <c r="H21" s="653">
        <v>26495.38</v>
      </c>
      <c r="I21" s="653">
        <v>6606.79</v>
      </c>
      <c r="J21" s="653">
        <v>6526.06</v>
      </c>
      <c r="K21" s="653">
        <v>10292.780000000001</v>
      </c>
      <c r="L21" s="653">
        <v>5302</v>
      </c>
      <c r="M21" s="653"/>
      <c r="N21" s="653">
        <v>4368.2</v>
      </c>
      <c r="O21" s="653"/>
      <c r="P21" s="653"/>
      <c r="Q21" s="656">
        <f t="shared" si="0"/>
        <v>86920.07</v>
      </c>
    </row>
    <row r="22" spans="2:17" x14ac:dyDescent="0.2">
      <c r="B22" s="627">
        <v>1855</v>
      </c>
      <c r="C22" s="622" t="s">
        <v>720</v>
      </c>
      <c r="D22" s="652"/>
      <c r="E22" s="653">
        <v>3081.11</v>
      </c>
      <c r="F22" s="653">
        <v>1918.84</v>
      </c>
      <c r="G22" s="653">
        <v>5068.58</v>
      </c>
      <c r="H22" s="653">
        <v>9761.4599999999991</v>
      </c>
      <c r="I22" s="653">
        <v>2434.08</v>
      </c>
      <c r="J22" s="653">
        <v>2404.34</v>
      </c>
      <c r="K22" s="653">
        <v>3792.08</v>
      </c>
      <c r="L22" s="653"/>
      <c r="M22" s="653"/>
      <c r="N22" s="653">
        <v>1609.34</v>
      </c>
      <c r="O22" s="653"/>
      <c r="P22" s="653">
        <v>37247</v>
      </c>
      <c r="Q22" s="656">
        <f t="shared" si="0"/>
        <v>67316.83</v>
      </c>
    </row>
    <row r="23" spans="2:17" x14ac:dyDescent="0.2">
      <c r="B23" s="627">
        <v>1860</v>
      </c>
      <c r="C23" s="573" t="s">
        <v>542</v>
      </c>
      <c r="D23" s="652"/>
      <c r="E23" s="653">
        <v>1760.63</v>
      </c>
      <c r="F23" s="653">
        <v>1096.48</v>
      </c>
      <c r="G23" s="653">
        <v>2896.33</v>
      </c>
      <c r="H23" s="653">
        <v>5577.97</v>
      </c>
      <c r="I23" s="653">
        <v>1390.9</v>
      </c>
      <c r="J23" s="653">
        <v>1373.91</v>
      </c>
      <c r="K23" s="653">
        <v>2166.9</v>
      </c>
      <c r="L23" s="653"/>
      <c r="M23" s="653"/>
      <c r="N23" s="653">
        <v>919.62</v>
      </c>
      <c r="O23" s="653">
        <v>8937</v>
      </c>
      <c r="P23" s="653"/>
      <c r="Q23" s="656">
        <f t="shared" si="0"/>
        <v>26119.739999999998</v>
      </c>
    </row>
    <row r="24" spans="2:17" x14ac:dyDescent="0.2">
      <c r="B24" s="627">
        <v>1908</v>
      </c>
      <c r="C24" s="573" t="s">
        <v>546</v>
      </c>
      <c r="D24" s="652"/>
      <c r="E24" s="653"/>
      <c r="F24" s="653"/>
      <c r="G24" s="653"/>
      <c r="H24" s="653"/>
      <c r="I24" s="653"/>
      <c r="J24" s="653"/>
      <c r="K24" s="653"/>
      <c r="L24" s="653"/>
      <c r="M24" s="653"/>
      <c r="N24" s="653"/>
      <c r="O24" s="653">
        <v>319</v>
      </c>
      <c r="P24" s="653"/>
      <c r="Q24" s="656">
        <f t="shared" si="0"/>
        <v>319</v>
      </c>
    </row>
    <row r="25" spans="2:17" x14ac:dyDescent="0.2">
      <c r="B25" s="627">
        <v>1915</v>
      </c>
      <c r="C25" s="573" t="s">
        <v>750</v>
      </c>
      <c r="D25" s="652"/>
      <c r="E25" s="653"/>
      <c r="F25" s="653"/>
      <c r="G25" s="653"/>
      <c r="H25" s="653"/>
      <c r="I25" s="653"/>
      <c r="J25" s="653"/>
      <c r="K25" s="653"/>
      <c r="L25" s="653"/>
      <c r="M25" s="653"/>
      <c r="N25" s="653"/>
      <c r="O25" s="653">
        <v>20593</v>
      </c>
      <c r="P25" s="653"/>
      <c r="Q25" s="656">
        <f t="shared" si="0"/>
        <v>20593</v>
      </c>
    </row>
    <row r="26" spans="2:17" x14ac:dyDescent="0.2">
      <c r="B26" s="627">
        <v>1920</v>
      </c>
      <c r="C26" s="573" t="s">
        <v>730</v>
      </c>
      <c r="D26" s="652"/>
      <c r="E26" s="653"/>
      <c r="F26" s="653"/>
      <c r="G26" s="653"/>
      <c r="H26" s="653"/>
      <c r="I26" s="653"/>
      <c r="J26" s="653"/>
      <c r="K26" s="653"/>
      <c r="L26" s="653"/>
      <c r="M26" s="653"/>
      <c r="N26" s="653"/>
      <c r="O26" s="653">
        <v>3385</v>
      </c>
      <c r="P26" s="653"/>
      <c r="Q26" s="656">
        <f t="shared" si="0"/>
        <v>3385</v>
      </c>
    </row>
    <row r="27" spans="2:17" x14ac:dyDescent="0.2">
      <c r="B27" s="627">
        <v>1925</v>
      </c>
      <c r="C27" s="573" t="s">
        <v>563</v>
      </c>
      <c r="D27" s="652"/>
      <c r="E27" s="653"/>
      <c r="F27" s="653"/>
      <c r="G27" s="653"/>
      <c r="H27" s="653"/>
      <c r="I27" s="653"/>
      <c r="J27" s="653"/>
      <c r="K27" s="653"/>
      <c r="L27" s="653"/>
      <c r="M27" s="653"/>
      <c r="N27" s="653"/>
      <c r="O27" s="653">
        <v>895</v>
      </c>
      <c r="P27" s="653"/>
      <c r="Q27" s="656">
        <f t="shared" si="0"/>
        <v>895</v>
      </c>
    </row>
    <row r="28" spans="2:17" x14ac:dyDescent="0.2">
      <c r="B28" s="627">
        <v>1930</v>
      </c>
      <c r="C28" s="573" t="s">
        <v>721</v>
      </c>
      <c r="D28" s="629"/>
      <c r="E28" s="654"/>
      <c r="F28" s="654"/>
      <c r="G28" s="654"/>
      <c r="H28" s="654"/>
      <c r="I28" s="654"/>
      <c r="J28" s="654"/>
      <c r="K28" s="654"/>
      <c r="L28" s="654"/>
      <c r="M28" s="654"/>
      <c r="N28" s="654"/>
      <c r="O28" s="654"/>
      <c r="P28" s="654"/>
      <c r="Q28" s="656">
        <f t="shared" si="0"/>
        <v>0</v>
      </c>
    </row>
    <row r="29" spans="2:17" x14ac:dyDescent="0.2">
      <c r="B29" s="627">
        <v>1940</v>
      </c>
      <c r="C29" s="573" t="s">
        <v>722</v>
      </c>
      <c r="D29" s="159"/>
      <c r="E29" s="654"/>
      <c r="F29" s="654"/>
      <c r="G29" s="654"/>
      <c r="H29" s="654"/>
      <c r="I29" s="654"/>
      <c r="J29" s="654"/>
      <c r="K29" s="654"/>
      <c r="L29" s="654"/>
      <c r="M29" s="654"/>
      <c r="N29" s="654"/>
      <c r="O29" s="654">
        <v>2828</v>
      </c>
      <c r="P29" s="654"/>
      <c r="Q29" s="656">
        <f t="shared" si="0"/>
        <v>2828</v>
      </c>
    </row>
    <row r="30" spans="2:17" x14ac:dyDescent="0.2">
      <c r="B30" s="631">
        <v>1955</v>
      </c>
      <c r="C30" s="651" t="s">
        <v>749</v>
      </c>
      <c r="D30" s="159"/>
      <c r="E30" s="654"/>
      <c r="F30" s="654"/>
      <c r="G30" s="654"/>
      <c r="H30" s="654"/>
      <c r="I30" s="654"/>
      <c r="J30" s="654"/>
      <c r="K30" s="654"/>
      <c r="L30" s="654"/>
      <c r="M30" s="654"/>
      <c r="N30" s="654"/>
      <c r="O30" s="654">
        <v>11227</v>
      </c>
      <c r="P30" s="654"/>
      <c r="Q30" s="656">
        <f t="shared" si="0"/>
        <v>11227</v>
      </c>
    </row>
    <row r="31" spans="2:17" ht="26.25" thickBot="1" x14ac:dyDescent="0.25">
      <c r="B31" s="631">
        <v>1995</v>
      </c>
      <c r="C31" s="633" t="s">
        <v>29</v>
      </c>
      <c r="D31" s="159"/>
      <c r="E31" s="648">
        <v>-8096</v>
      </c>
      <c r="F31" s="649">
        <v>-21895</v>
      </c>
      <c r="G31" s="648">
        <v>-30183</v>
      </c>
      <c r="H31" s="648">
        <v>-71887</v>
      </c>
      <c r="I31" s="648">
        <v>-28502</v>
      </c>
      <c r="J31" s="648">
        <v>-39822.33</v>
      </c>
      <c r="K31" s="648">
        <v>0</v>
      </c>
      <c r="L31" s="648"/>
      <c r="M31" s="648"/>
      <c r="N31" s="648">
        <v>-21870</v>
      </c>
      <c r="O31" s="648">
        <v>187820</v>
      </c>
      <c r="P31" s="654"/>
      <c r="Q31" s="656">
        <f t="shared" si="0"/>
        <v>-34435.330000000016</v>
      </c>
    </row>
    <row r="32" spans="2:17" ht="14.25" thickTop="1" thickBot="1" x14ac:dyDescent="0.25">
      <c r="B32" s="631"/>
      <c r="C32" s="634"/>
      <c r="D32" s="171"/>
      <c r="E32" s="648"/>
      <c r="F32" s="649"/>
      <c r="G32" s="648"/>
      <c r="H32" s="648"/>
      <c r="I32" s="648"/>
      <c r="J32" s="648"/>
      <c r="K32" s="648"/>
      <c r="L32" s="648"/>
      <c r="M32" s="648"/>
      <c r="N32" s="648"/>
      <c r="O32" s="648"/>
      <c r="P32" s="649"/>
      <c r="Q32" s="656">
        <f t="shared" si="0"/>
        <v>0</v>
      </c>
    </row>
    <row r="33" spans="2:17" ht="14.25" thickTop="1" thickBot="1" x14ac:dyDescent="0.25">
      <c r="B33" s="638" t="s">
        <v>573</v>
      </c>
      <c r="C33" s="639"/>
      <c r="D33" s="639"/>
      <c r="E33" s="640">
        <f>SUM(E17:E32)</f>
        <v>35919.85</v>
      </c>
      <c r="F33" s="640">
        <f t="shared" ref="F33:P33" si="1">SUM(F17:F32)</f>
        <v>5516.9600000000028</v>
      </c>
      <c r="G33" s="640">
        <f t="shared" si="1"/>
        <v>42225.320000000007</v>
      </c>
      <c r="H33" s="640">
        <f t="shared" si="1"/>
        <v>67562.359999999986</v>
      </c>
      <c r="I33" s="640">
        <f t="shared" si="1"/>
        <v>6270.570000000007</v>
      </c>
      <c r="J33" s="640">
        <f t="shared" si="1"/>
        <v>-5474.6499999999942</v>
      </c>
      <c r="K33" s="640">
        <f t="shared" si="1"/>
        <v>54172.53</v>
      </c>
      <c r="L33" s="640">
        <f t="shared" si="1"/>
        <v>84232</v>
      </c>
      <c r="M33" s="640">
        <f t="shared" si="1"/>
        <v>71618</v>
      </c>
      <c r="N33" s="640">
        <f t="shared" si="1"/>
        <v>1120.5299999999988</v>
      </c>
      <c r="O33" s="640">
        <f t="shared" si="1"/>
        <v>236004</v>
      </c>
      <c r="P33" s="640">
        <f t="shared" si="1"/>
        <v>211142</v>
      </c>
      <c r="Q33" s="642">
        <f>SUM(E33:P33)+2</f>
        <v>810311.47</v>
      </c>
    </row>
    <row r="38" spans="2:17" x14ac:dyDescent="0.2">
      <c r="B38" s="52" t="s">
        <v>562</v>
      </c>
    </row>
  </sheetData>
  <mergeCells count="3">
    <mergeCell ref="B9:Q9"/>
    <mergeCell ref="B10:Q10"/>
    <mergeCell ref="B12:Q12"/>
  </mergeCells>
  <dataValidations count="1">
    <dataValidation allowBlank="1" showInputMessage="1" showErrorMessage="1" promptTitle="Date Format" prompt="E.g:  &quot;August 1, 2011&quot;" sqref="Q7"/>
  </dataValidations>
  <pageMargins left="0.75" right="0.75" top="1" bottom="1" header="0.5" footer="0.5"/>
  <pageSetup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topLeftCell="A6" zoomScaleNormal="100" workbookViewId="0">
      <selection activeCell="F16" sqref="F16"/>
    </sheetView>
  </sheetViews>
  <sheetFormatPr defaultRowHeight="12.75" x14ac:dyDescent="0.2"/>
  <cols>
    <col min="1" max="1" width="2.42578125" customWidth="1"/>
    <col min="3" max="3" width="26.7109375" customWidth="1"/>
    <col min="4" max="4" width="10.5703125" customWidth="1"/>
    <col min="5" max="7" width="12.7109375" customWidth="1"/>
    <col min="8" max="10" width="14.42578125" customWidth="1"/>
    <col min="11" max="13" width="12.7109375" customWidth="1"/>
  </cols>
  <sheetData>
    <row r="1" spans="2:13" x14ac:dyDescent="0.2">
      <c r="M1" s="151" t="s">
        <v>170</v>
      </c>
    </row>
    <row r="2" spans="2:13" x14ac:dyDescent="0.2">
      <c r="M2" s="151" t="s">
        <v>587</v>
      </c>
    </row>
    <row r="3" spans="2:13" x14ac:dyDescent="0.2">
      <c r="M3" s="151" t="s">
        <v>588</v>
      </c>
    </row>
    <row r="4" spans="2:13" x14ac:dyDescent="0.2">
      <c r="M4" s="151" t="s">
        <v>589</v>
      </c>
    </row>
    <row r="5" spans="2:13" x14ac:dyDescent="0.2">
      <c r="M5" s="151" t="s">
        <v>590</v>
      </c>
    </row>
    <row r="7" spans="2:13" x14ac:dyDescent="0.2">
      <c r="M7" s="472"/>
    </row>
    <row r="9" spans="2:13" ht="18" x14ac:dyDescent="0.25">
      <c r="B9" s="659" t="s">
        <v>26</v>
      </c>
      <c r="C9" s="659"/>
      <c r="D9" s="659"/>
      <c r="E9" s="659"/>
      <c r="F9" s="659"/>
      <c r="G9" s="659"/>
      <c r="H9" s="659"/>
      <c r="I9" s="659"/>
      <c r="J9" s="659"/>
      <c r="K9" s="659"/>
      <c r="L9" s="659"/>
      <c r="M9" s="659"/>
    </row>
    <row r="10" spans="2:13" ht="18" x14ac:dyDescent="0.25">
      <c r="B10" s="659" t="s">
        <v>25</v>
      </c>
      <c r="C10" s="659"/>
      <c r="D10" s="659"/>
      <c r="E10" s="659"/>
      <c r="F10" s="659"/>
      <c r="G10" s="659"/>
      <c r="H10" s="659"/>
      <c r="I10" s="659"/>
      <c r="J10" s="659"/>
      <c r="K10" s="659"/>
      <c r="L10" s="659"/>
      <c r="M10" s="659"/>
    </row>
    <row r="12" spans="2:13" ht="24.75" customHeight="1" x14ac:dyDescent="0.2">
      <c r="B12" s="657" t="s">
        <v>429</v>
      </c>
      <c r="C12" s="657"/>
      <c r="D12" s="657"/>
      <c r="E12" s="657"/>
      <c r="F12" s="657"/>
      <c r="G12" s="657"/>
      <c r="H12" s="657"/>
      <c r="I12" s="657"/>
      <c r="J12" s="657"/>
      <c r="K12" s="657"/>
      <c r="L12" s="657"/>
      <c r="M12" s="657"/>
    </row>
    <row r="14" spans="2:13" x14ac:dyDescent="0.2">
      <c r="E14" s="52" t="s">
        <v>27</v>
      </c>
      <c r="F14" s="151">
        <v>2011</v>
      </c>
      <c r="G14" s="623" t="s">
        <v>30</v>
      </c>
    </row>
    <row r="15" spans="2:13" ht="13.5" thickBot="1" x14ac:dyDescent="0.25"/>
    <row r="16" spans="2:13" ht="51" x14ac:dyDescent="0.2">
      <c r="B16" s="155" t="s">
        <v>28</v>
      </c>
      <c r="C16" s="156" t="s">
        <v>528</v>
      </c>
      <c r="D16" s="156" t="s">
        <v>526</v>
      </c>
      <c r="E16" s="625" t="s">
        <v>788</v>
      </c>
      <c r="F16" s="625" t="s">
        <v>789</v>
      </c>
      <c r="G16" s="625" t="s">
        <v>748</v>
      </c>
      <c r="H16" s="160" t="s">
        <v>747</v>
      </c>
      <c r="I16" s="625" t="s">
        <v>723</v>
      </c>
      <c r="J16" s="625" t="s">
        <v>724</v>
      </c>
      <c r="K16" s="160" t="s">
        <v>737</v>
      </c>
      <c r="L16" s="160" t="s">
        <v>738</v>
      </c>
      <c r="M16" s="626" t="s">
        <v>573</v>
      </c>
    </row>
    <row r="17" spans="2:13" x14ac:dyDescent="0.2">
      <c r="B17" s="627">
        <v>1830</v>
      </c>
      <c r="C17" s="622" t="s">
        <v>719</v>
      </c>
      <c r="D17" s="159"/>
      <c r="E17" s="644"/>
      <c r="F17" s="644"/>
      <c r="G17" s="644"/>
      <c r="H17" s="644"/>
      <c r="I17" s="644">
        <v>2132</v>
      </c>
      <c r="J17" s="644"/>
      <c r="K17" s="644"/>
      <c r="L17" s="644">
        <v>48999</v>
      </c>
      <c r="M17" s="645">
        <f t="shared" ref="M17:M27" si="0">SUM(E17:L17)</f>
        <v>51131</v>
      </c>
    </row>
    <row r="18" spans="2:13" ht="25.5" x14ac:dyDescent="0.2">
      <c r="B18" s="627">
        <v>1835</v>
      </c>
      <c r="C18" s="622" t="s">
        <v>463</v>
      </c>
      <c r="D18" s="159"/>
      <c r="E18" s="644"/>
      <c r="F18" s="644"/>
      <c r="G18" s="644"/>
      <c r="H18" s="644"/>
      <c r="I18" s="644">
        <v>29346</v>
      </c>
      <c r="J18" s="644">
        <v>13181</v>
      </c>
      <c r="K18" s="644"/>
      <c r="L18" s="644">
        <v>143640</v>
      </c>
      <c r="M18" s="645">
        <f t="shared" si="0"/>
        <v>186167</v>
      </c>
    </row>
    <row r="19" spans="2:13" x14ac:dyDescent="0.2">
      <c r="B19" s="627">
        <v>1840</v>
      </c>
      <c r="C19" s="622" t="s">
        <v>464</v>
      </c>
      <c r="D19" s="159"/>
      <c r="E19" s="644">
        <v>15532.09</v>
      </c>
      <c r="F19" s="644">
        <v>47699.13</v>
      </c>
      <c r="G19" s="644">
        <v>14002.37</v>
      </c>
      <c r="H19" s="644">
        <v>4425.5600000000004</v>
      </c>
      <c r="I19" s="644"/>
      <c r="J19" s="644"/>
      <c r="K19" s="644"/>
      <c r="L19" s="644">
        <v>974</v>
      </c>
      <c r="M19" s="645">
        <f t="shared" si="0"/>
        <v>82633.149999999994</v>
      </c>
    </row>
    <row r="20" spans="2:13" ht="25.5" x14ac:dyDescent="0.2">
      <c r="B20" s="627">
        <v>1845</v>
      </c>
      <c r="C20" s="622" t="s">
        <v>465</v>
      </c>
      <c r="D20" s="159"/>
      <c r="E20" s="644">
        <v>20709.46</v>
      </c>
      <c r="F20" s="644">
        <v>63598.84</v>
      </c>
      <c r="G20" s="644">
        <v>18669.830000000002</v>
      </c>
      <c r="H20" s="644">
        <v>5900.75</v>
      </c>
      <c r="I20" s="644"/>
      <c r="J20" s="644">
        <v>9848</v>
      </c>
      <c r="K20" s="644"/>
      <c r="L20" s="644">
        <v>51936</v>
      </c>
      <c r="M20" s="645">
        <f t="shared" si="0"/>
        <v>170662.88</v>
      </c>
    </row>
    <row r="21" spans="2:13" x14ac:dyDescent="0.2">
      <c r="B21" s="627">
        <v>1850</v>
      </c>
      <c r="C21" s="622" t="s">
        <v>541</v>
      </c>
      <c r="D21" s="159"/>
      <c r="E21" s="644">
        <v>9836.99</v>
      </c>
      <c r="F21" s="644">
        <v>30209.45</v>
      </c>
      <c r="G21" s="644">
        <v>8868.17</v>
      </c>
      <c r="H21" s="644">
        <v>2802.86</v>
      </c>
      <c r="I21" s="644">
        <v>18400</v>
      </c>
      <c r="J21" s="644">
        <v>15699</v>
      </c>
      <c r="K21" s="644"/>
      <c r="L21" s="644"/>
      <c r="M21" s="645">
        <f t="shared" si="0"/>
        <v>85816.47</v>
      </c>
    </row>
    <row r="22" spans="2:13" x14ac:dyDescent="0.2">
      <c r="B22" s="627">
        <v>1855</v>
      </c>
      <c r="C22" s="622" t="s">
        <v>720</v>
      </c>
      <c r="D22" s="159"/>
      <c r="E22" s="644">
        <v>3624.15</v>
      </c>
      <c r="F22" s="644">
        <v>11129.8</v>
      </c>
      <c r="G22" s="644">
        <v>3267.22</v>
      </c>
      <c r="H22" s="644">
        <v>1032.6300000000001</v>
      </c>
      <c r="I22" s="644"/>
      <c r="J22" s="644"/>
      <c r="K22" s="644"/>
      <c r="L22" s="644">
        <v>50997</v>
      </c>
      <c r="M22" s="645">
        <f t="shared" si="0"/>
        <v>70050.8</v>
      </c>
    </row>
    <row r="23" spans="2:13" x14ac:dyDescent="0.2">
      <c r="B23" s="627">
        <v>1860</v>
      </c>
      <c r="C23" s="573" t="s">
        <v>542</v>
      </c>
      <c r="D23" s="159"/>
      <c r="E23" s="644">
        <v>2070.9499999999998</v>
      </c>
      <c r="F23" s="644">
        <v>6359.88</v>
      </c>
      <c r="G23" s="644">
        <v>1866.98</v>
      </c>
      <c r="H23" s="644">
        <v>590.07000000000005</v>
      </c>
      <c r="I23" s="644"/>
      <c r="J23" s="644"/>
      <c r="K23" s="644">
        <v>-6429</v>
      </c>
      <c r="L23" s="644"/>
      <c r="M23" s="645">
        <f t="shared" si="0"/>
        <v>4458.8799999999992</v>
      </c>
    </row>
    <row r="24" spans="2:13" x14ac:dyDescent="0.2">
      <c r="B24" s="627">
        <v>1908</v>
      </c>
      <c r="C24" s="573" t="s">
        <v>546</v>
      </c>
      <c r="D24" s="159"/>
      <c r="E24" s="644"/>
      <c r="F24" s="644"/>
      <c r="G24" s="644"/>
      <c r="H24" s="644"/>
      <c r="I24" s="644"/>
      <c r="J24" s="644"/>
      <c r="K24" s="644">
        <v>2880</v>
      </c>
      <c r="L24" s="644"/>
      <c r="M24" s="645">
        <f t="shared" si="0"/>
        <v>2880</v>
      </c>
    </row>
    <row r="25" spans="2:13" x14ac:dyDescent="0.2">
      <c r="B25" s="627">
        <v>1915</v>
      </c>
      <c r="C25" s="573" t="s">
        <v>750</v>
      </c>
      <c r="D25" s="159"/>
      <c r="E25" s="644"/>
      <c r="F25" s="644"/>
      <c r="G25" s="644"/>
      <c r="H25" s="644"/>
      <c r="I25" s="644"/>
      <c r="J25" s="644"/>
      <c r="K25" s="644"/>
      <c r="L25" s="644"/>
      <c r="M25" s="645">
        <f t="shared" si="0"/>
        <v>0</v>
      </c>
    </row>
    <row r="26" spans="2:13" x14ac:dyDescent="0.2">
      <c r="B26" s="627">
        <v>1920</v>
      </c>
      <c r="C26" s="573" t="s">
        <v>730</v>
      </c>
      <c r="D26" s="159"/>
      <c r="E26" s="644"/>
      <c r="F26" s="644"/>
      <c r="G26" s="644"/>
      <c r="H26" s="644"/>
      <c r="I26" s="644"/>
      <c r="J26" s="644"/>
      <c r="K26" s="644">
        <v>2992</v>
      </c>
      <c r="L26" s="644"/>
      <c r="M26" s="645">
        <f t="shared" si="0"/>
        <v>2992</v>
      </c>
    </row>
    <row r="27" spans="2:13" x14ac:dyDescent="0.2">
      <c r="B27" s="627">
        <v>1925</v>
      </c>
      <c r="C27" s="573" t="s">
        <v>563</v>
      </c>
      <c r="D27" s="159"/>
      <c r="E27" s="644"/>
      <c r="F27" s="644"/>
      <c r="G27" s="644"/>
      <c r="H27" s="644"/>
      <c r="I27" s="644"/>
      <c r="J27" s="644"/>
      <c r="K27" s="644"/>
      <c r="L27" s="644"/>
      <c r="M27" s="645">
        <f t="shared" si="0"/>
        <v>0</v>
      </c>
    </row>
    <row r="28" spans="2:13" x14ac:dyDescent="0.2">
      <c r="B28" s="627">
        <v>1930</v>
      </c>
      <c r="C28" s="573" t="s">
        <v>721</v>
      </c>
      <c r="D28" s="159"/>
      <c r="E28" s="644"/>
      <c r="F28" s="644"/>
      <c r="G28" s="644"/>
      <c r="H28" s="644"/>
      <c r="I28" s="644"/>
      <c r="J28" s="644"/>
      <c r="K28" s="644">
        <v>14618</v>
      </c>
      <c r="L28" s="644"/>
      <c r="M28" s="645">
        <f>SUM(E28:L28)</f>
        <v>14618</v>
      </c>
    </row>
    <row r="29" spans="2:13" x14ac:dyDescent="0.2">
      <c r="B29" s="627">
        <v>1940</v>
      </c>
      <c r="C29" s="573" t="s">
        <v>722</v>
      </c>
      <c r="D29" s="159"/>
      <c r="E29" s="644"/>
      <c r="F29" s="644"/>
      <c r="G29" s="644"/>
      <c r="H29" s="644"/>
      <c r="I29" s="644"/>
      <c r="J29" s="644"/>
      <c r="K29" s="644">
        <v>564</v>
      </c>
      <c r="L29" s="644"/>
      <c r="M29" s="645">
        <f>SUM(E29:L29)</f>
        <v>564</v>
      </c>
    </row>
    <row r="30" spans="2:13" ht="26.25" thickBot="1" x14ac:dyDescent="0.25">
      <c r="B30" s="631">
        <v>1995</v>
      </c>
      <c r="C30" s="633" t="s">
        <v>29</v>
      </c>
      <c r="D30" s="159"/>
      <c r="E30" s="644">
        <v>-16613.259999999998</v>
      </c>
      <c r="F30" s="644">
        <v>-91333.38</v>
      </c>
      <c r="G30" s="644">
        <v>-44719.75</v>
      </c>
      <c r="H30" s="644"/>
      <c r="I30" s="644"/>
      <c r="J30" s="644"/>
      <c r="K30" s="644">
        <v>-38978</v>
      </c>
      <c r="L30" s="644"/>
      <c r="M30" s="645">
        <f>SUM(E30:L30)</f>
        <v>-191644.39</v>
      </c>
    </row>
    <row r="31" spans="2:13" ht="14.25" thickTop="1" thickBot="1" x14ac:dyDescent="0.25">
      <c r="B31" s="631"/>
      <c r="C31" s="634"/>
      <c r="D31" s="171"/>
      <c r="E31" s="648"/>
      <c r="F31" s="649"/>
      <c r="G31" s="648"/>
      <c r="H31" s="648"/>
      <c r="I31" s="648"/>
      <c r="J31" s="648"/>
      <c r="K31" s="648"/>
      <c r="L31" s="648"/>
      <c r="M31" s="655">
        <f>SUM(E31:L31)</f>
        <v>0</v>
      </c>
    </row>
    <row r="32" spans="2:13" ht="14.25" thickTop="1" thickBot="1" x14ac:dyDescent="0.25">
      <c r="B32" s="638" t="s">
        <v>573</v>
      </c>
      <c r="C32" s="639"/>
      <c r="D32" s="639"/>
      <c r="E32" s="640">
        <f t="shared" ref="E32:L32" si="1">SUM(E17:E31)</f>
        <v>35160.380000000005</v>
      </c>
      <c r="F32" s="641">
        <f t="shared" si="1"/>
        <v>67663.72</v>
      </c>
      <c r="G32" s="640">
        <f t="shared" si="1"/>
        <v>1954.820000000007</v>
      </c>
      <c r="H32" s="640">
        <f t="shared" si="1"/>
        <v>14751.870000000003</v>
      </c>
      <c r="I32" s="640">
        <f t="shared" si="1"/>
        <v>49878</v>
      </c>
      <c r="J32" s="640">
        <f t="shared" si="1"/>
        <v>38728</v>
      </c>
      <c r="K32" s="640">
        <f t="shared" si="1"/>
        <v>-24353</v>
      </c>
      <c r="L32" s="640">
        <f t="shared" si="1"/>
        <v>296546</v>
      </c>
      <c r="M32" s="642">
        <f>SUM(E32:L32)+1</f>
        <v>480330.79000000004</v>
      </c>
    </row>
    <row r="37" spans="2:2" x14ac:dyDescent="0.2">
      <c r="B37" s="52" t="s">
        <v>562</v>
      </c>
    </row>
  </sheetData>
  <mergeCells count="3">
    <mergeCell ref="B9:M9"/>
    <mergeCell ref="B10:M10"/>
    <mergeCell ref="B12:M12"/>
  </mergeCells>
  <dataValidations count="1">
    <dataValidation allowBlank="1" showInputMessage="1" showErrorMessage="1" promptTitle="Date Format" prompt="E.g:  &quot;August 1, 2011&quot;" sqref="M7"/>
  </dataValidations>
  <pageMargins left="0.75" right="0.75" top="1" bottom="1" header="0.5" footer="0.5"/>
  <pageSetup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6"/>
  <sheetViews>
    <sheetView showGridLines="0" zoomScaleNormal="100" workbookViewId="0">
      <selection activeCell="T16" sqref="T16"/>
    </sheetView>
  </sheetViews>
  <sheetFormatPr defaultRowHeight="12.75" x14ac:dyDescent="0.2"/>
  <cols>
    <col min="1" max="1" width="2.42578125" customWidth="1"/>
    <col min="3" max="3" width="26.7109375" customWidth="1"/>
    <col min="4" max="4" width="6.28515625" customWidth="1"/>
    <col min="5" max="6" width="11.140625" bestFit="1" customWidth="1"/>
    <col min="7" max="7" width="10.140625" customWidth="1"/>
    <col min="8" max="8" width="9.7109375" customWidth="1"/>
    <col min="9" max="9" width="9.28515625" customWidth="1"/>
    <col min="10" max="10" width="10.42578125" customWidth="1"/>
    <col min="11" max="11" width="11.5703125" customWidth="1"/>
    <col min="12" max="12" width="10.85546875" customWidth="1"/>
    <col min="13" max="13" width="9.5703125" bestFit="1" customWidth="1"/>
    <col min="14" max="14" width="12.7109375" customWidth="1"/>
    <col min="15" max="15" width="9.28515625" customWidth="1"/>
    <col min="16" max="16" width="12.7109375" customWidth="1"/>
    <col min="17" max="17" width="10.7109375" bestFit="1" customWidth="1"/>
    <col min="18" max="18" width="9.7109375" customWidth="1"/>
    <col min="19" max="19" width="9.85546875" customWidth="1"/>
    <col min="20" max="20" width="12.7109375" customWidth="1"/>
  </cols>
  <sheetData>
    <row r="1" spans="2:20" x14ac:dyDescent="0.2">
      <c r="S1" s="52" t="s">
        <v>581</v>
      </c>
      <c r="T1" s="151" t="s">
        <v>170</v>
      </c>
    </row>
    <row r="2" spans="2:20" x14ac:dyDescent="0.2">
      <c r="S2" s="52" t="s">
        <v>582</v>
      </c>
      <c r="T2" s="151" t="s">
        <v>587</v>
      </c>
    </row>
    <row r="3" spans="2:20" x14ac:dyDescent="0.2">
      <c r="S3" s="52" t="s">
        <v>583</v>
      </c>
      <c r="T3" s="151" t="s">
        <v>588</v>
      </c>
    </row>
    <row r="4" spans="2:20" x14ac:dyDescent="0.2">
      <c r="S4" s="52" t="s">
        <v>584</v>
      </c>
      <c r="T4" s="151" t="s">
        <v>589</v>
      </c>
    </row>
    <row r="5" spans="2:20" x14ac:dyDescent="0.2">
      <c r="S5" s="52" t="s">
        <v>585</v>
      </c>
      <c r="T5" s="151" t="s">
        <v>590</v>
      </c>
    </row>
    <row r="6" spans="2:20" x14ac:dyDescent="0.2">
      <c r="S6" s="52"/>
    </row>
    <row r="7" spans="2:20" x14ac:dyDescent="0.2">
      <c r="S7" s="52" t="s">
        <v>586</v>
      </c>
      <c r="T7" s="472"/>
    </row>
    <row r="9" spans="2:20" ht="18" x14ac:dyDescent="0.25">
      <c r="B9" s="659" t="s">
        <v>26</v>
      </c>
      <c r="C9" s="659"/>
      <c r="D9" s="659"/>
      <c r="E9" s="659"/>
      <c r="F9" s="659"/>
      <c r="G9" s="659"/>
      <c r="H9" s="659"/>
      <c r="I9" s="659"/>
      <c r="J9" s="659"/>
      <c r="K9" s="659"/>
      <c r="L9" s="659"/>
      <c r="M9" s="659"/>
      <c r="N9" s="659"/>
      <c r="O9" s="659"/>
      <c r="P9" s="659"/>
      <c r="Q9" s="659"/>
      <c r="R9" s="659"/>
      <c r="S9" s="659"/>
      <c r="T9" s="659"/>
    </row>
    <row r="10" spans="2:20" ht="18" x14ac:dyDescent="0.25">
      <c r="B10" s="659" t="s">
        <v>25</v>
      </c>
      <c r="C10" s="659"/>
      <c r="D10" s="659"/>
      <c r="E10" s="659"/>
      <c r="F10" s="659"/>
      <c r="G10" s="659"/>
      <c r="H10" s="659"/>
      <c r="I10" s="659"/>
      <c r="J10" s="659"/>
      <c r="K10" s="659"/>
      <c r="L10" s="659"/>
      <c r="M10" s="659"/>
      <c r="N10" s="659"/>
      <c r="O10" s="659"/>
      <c r="P10" s="659"/>
      <c r="Q10" s="659"/>
      <c r="R10" s="659"/>
      <c r="S10" s="659"/>
      <c r="T10" s="659"/>
    </row>
    <row r="12" spans="2:20" ht="24.75" customHeight="1" x14ac:dyDescent="0.2">
      <c r="B12" s="657" t="s">
        <v>429</v>
      </c>
      <c r="C12" s="657"/>
      <c r="D12" s="657"/>
      <c r="E12" s="657"/>
      <c r="F12" s="657"/>
      <c r="G12" s="657"/>
      <c r="H12" s="657"/>
      <c r="I12" s="657"/>
      <c r="J12" s="657"/>
      <c r="K12" s="657"/>
      <c r="L12" s="657"/>
      <c r="M12" s="657"/>
      <c r="N12" s="657"/>
      <c r="O12" s="657"/>
      <c r="P12" s="657"/>
      <c r="Q12" s="657"/>
      <c r="R12" s="657"/>
      <c r="S12" s="657"/>
      <c r="T12" s="657"/>
    </row>
    <row r="14" spans="2:20" x14ac:dyDescent="0.2">
      <c r="E14" s="52" t="s">
        <v>27</v>
      </c>
      <c r="F14" s="151">
        <v>2012</v>
      </c>
      <c r="G14" s="623" t="s">
        <v>30</v>
      </c>
    </row>
    <row r="15" spans="2:20" ht="13.5" thickBot="1" x14ac:dyDescent="0.25"/>
    <row r="16" spans="2:20" ht="63.75" x14ac:dyDescent="0.2">
      <c r="B16" s="155" t="s">
        <v>28</v>
      </c>
      <c r="C16" s="156" t="s">
        <v>528</v>
      </c>
      <c r="D16" s="156" t="s">
        <v>526</v>
      </c>
      <c r="E16" s="625" t="s">
        <v>723</v>
      </c>
      <c r="F16" s="625" t="s">
        <v>724</v>
      </c>
      <c r="G16" s="625" t="s">
        <v>725</v>
      </c>
      <c r="H16" s="625" t="s">
        <v>794</v>
      </c>
      <c r="I16" s="625" t="s">
        <v>728</v>
      </c>
      <c r="J16" s="625" t="s">
        <v>788</v>
      </c>
      <c r="K16" s="625" t="s">
        <v>726</v>
      </c>
      <c r="L16" s="625" t="s">
        <v>727</v>
      </c>
      <c r="M16" s="625" t="s">
        <v>789</v>
      </c>
      <c r="N16" s="625" t="s">
        <v>795</v>
      </c>
      <c r="O16" s="625" t="s">
        <v>796</v>
      </c>
      <c r="P16" s="625" t="s">
        <v>797</v>
      </c>
      <c r="Q16" s="625" t="s">
        <v>798</v>
      </c>
      <c r="R16" s="625" t="s">
        <v>729</v>
      </c>
      <c r="S16" s="625" t="s">
        <v>799</v>
      </c>
      <c r="T16" s="626" t="s">
        <v>573</v>
      </c>
    </row>
    <row r="17" spans="2:20" x14ac:dyDescent="0.2">
      <c r="B17" s="627">
        <v>1830</v>
      </c>
      <c r="C17" s="622" t="s">
        <v>719</v>
      </c>
      <c r="D17" s="159"/>
      <c r="E17" s="644"/>
      <c r="F17" s="644"/>
      <c r="G17" s="644"/>
      <c r="H17" s="644"/>
      <c r="I17" s="644"/>
      <c r="J17" s="644"/>
      <c r="K17" s="644"/>
      <c r="L17" s="644"/>
      <c r="M17" s="644"/>
      <c r="N17" s="644"/>
      <c r="O17" s="644"/>
      <c r="P17" s="644"/>
      <c r="Q17" s="644"/>
      <c r="R17" s="644"/>
      <c r="S17" s="644">
        <v>21000</v>
      </c>
      <c r="T17" s="645">
        <f t="shared" ref="T17:T31" si="0">SUM(E17:S17)</f>
        <v>21000</v>
      </c>
    </row>
    <row r="18" spans="2:20" ht="25.5" x14ac:dyDescent="0.2">
      <c r="B18" s="627">
        <v>1835</v>
      </c>
      <c r="C18" s="622" t="s">
        <v>463</v>
      </c>
      <c r="D18" s="159"/>
      <c r="E18" s="644">
        <v>14587</v>
      </c>
      <c r="F18" s="644">
        <v>8367</v>
      </c>
      <c r="G18" s="644"/>
      <c r="H18" s="644"/>
      <c r="I18" s="644"/>
      <c r="J18" s="644"/>
      <c r="K18" s="644"/>
      <c r="L18" s="644"/>
      <c r="M18" s="644"/>
      <c r="N18" s="644"/>
      <c r="O18" s="644"/>
      <c r="P18" s="644"/>
      <c r="Q18" s="644"/>
      <c r="R18" s="644"/>
      <c r="S18" s="644">
        <v>24046</v>
      </c>
      <c r="T18" s="645">
        <f t="shared" si="0"/>
        <v>47000</v>
      </c>
    </row>
    <row r="19" spans="2:20" x14ac:dyDescent="0.2">
      <c r="B19" s="627">
        <v>1840</v>
      </c>
      <c r="C19" s="622" t="s">
        <v>464</v>
      </c>
      <c r="D19" s="159"/>
      <c r="E19" s="644"/>
      <c r="F19" s="644"/>
      <c r="G19" s="644"/>
      <c r="H19" s="644"/>
      <c r="I19" s="644"/>
      <c r="J19" s="644">
        <v>30100</v>
      </c>
      <c r="K19" s="644">
        <v>18655</v>
      </c>
      <c r="L19" s="644">
        <v>21000</v>
      </c>
      <c r="M19" s="644"/>
      <c r="N19" s="644">
        <v>19425</v>
      </c>
      <c r="O19" s="644"/>
      <c r="P19" s="644">
        <v>10920</v>
      </c>
      <c r="Q19" s="644">
        <v>100000</v>
      </c>
      <c r="R19" s="644"/>
      <c r="S19" s="644"/>
      <c r="T19" s="645">
        <f t="shared" si="0"/>
        <v>200100</v>
      </c>
    </row>
    <row r="20" spans="2:20" ht="25.5" x14ac:dyDescent="0.2">
      <c r="B20" s="627">
        <v>1845</v>
      </c>
      <c r="C20" s="622" t="s">
        <v>465</v>
      </c>
      <c r="D20" s="159"/>
      <c r="E20" s="644"/>
      <c r="F20" s="644">
        <v>30000</v>
      </c>
      <c r="G20" s="644">
        <v>135817</v>
      </c>
      <c r="H20" s="644"/>
      <c r="I20" s="644"/>
      <c r="J20" s="644">
        <f>30100+9142.86</f>
        <v>39242.86</v>
      </c>
      <c r="K20" s="644">
        <f>18655+8228.57</f>
        <v>26883.57</v>
      </c>
      <c r="L20" s="644">
        <f>21000+10000</f>
        <v>31000</v>
      </c>
      <c r="M20" s="644">
        <v>571.42999999999995</v>
      </c>
      <c r="N20" s="644">
        <f>19425+18285.71</f>
        <v>37710.71</v>
      </c>
      <c r="O20" s="644">
        <v>571.42999999999995</v>
      </c>
      <c r="P20" s="628">
        <f>10920+3200</f>
        <v>14120</v>
      </c>
      <c r="Q20" s="644">
        <v>150000</v>
      </c>
      <c r="R20" s="644"/>
      <c r="S20" s="644">
        <v>51183</v>
      </c>
      <c r="T20" s="645">
        <f t="shared" si="0"/>
        <v>517100</v>
      </c>
    </row>
    <row r="21" spans="2:20" x14ac:dyDescent="0.2">
      <c r="B21" s="627">
        <v>1850</v>
      </c>
      <c r="C21" s="622" t="s">
        <v>541</v>
      </c>
      <c r="D21" s="159"/>
      <c r="E21" s="644"/>
      <c r="F21" s="644">
        <f>7000+7050.06</f>
        <v>14050.060000000001</v>
      </c>
      <c r="G21" s="644">
        <v>84886</v>
      </c>
      <c r="H21" s="644">
        <v>36500</v>
      </c>
      <c r="I21" s="644"/>
      <c r="J21" s="644">
        <f>16340+5942.86</f>
        <v>22282.86</v>
      </c>
      <c r="K21" s="644">
        <f>10127+5348.57</f>
        <v>15475.57</v>
      </c>
      <c r="L21" s="644">
        <f>11400+6500</f>
        <v>17900</v>
      </c>
      <c r="M21" s="644">
        <f>8250+371.43</f>
        <v>8621.43</v>
      </c>
      <c r="N21" s="644">
        <f>10545+11855.71</f>
        <v>22400.71</v>
      </c>
      <c r="O21" s="644">
        <f>9000+371.43</f>
        <v>9371.43</v>
      </c>
      <c r="P21" s="644">
        <f>5928+2080</f>
        <v>8008</v>
      </c>
      <c r="Q21" s="644">
        <v>125000</v>
      </c>
      <c r="R21" s="644"/>
      <c r="S21" s="644">
        <v>35094</v>
      </c>
      <c r="T21" s="645">
        <f t="shared" si="0"/>
        <v>399590.05999999994</v>
      </c>
    </row>
    <row r="22" spans="2:20" x14ac:dyDescent="0.2">
      <c r="B22" s="627">
        <v>1855</v>
      </c>
      <c r="C22" s="622" t="s">
        <v>720</v>
      </c>
      <c r="D22" s="159"/>
      <c r="E22" s="644"/>
      <c r="F22" s="644"/>
      <c r="G22" s="644"/>
      <c r="H22" s="644"/>
      <c r="I22" s="644"/>
      <c r="J22" s="644">
        <f>6020+914.29</f>
        <v>6934.29</v>
      </c>
      <c r="K22" s="644">
        <f>3731+822.86</f>
        <v>4553.8599999999997</v>
      </c>
      <c r="L22" s="644">
        <f>4200+1000</f>
        <v>5200</v>
      </c>
      <c r="M22" s="644">
        <v>57.14</v>
      </c>
      <c r="N22" s="644">
        <f>3885+1828.57</f>
        <v>5713.57</v>
      </c>
      <c r="O22" s="644">
        <v>57.14</v>
      </c>
      <c r="P22" s="644">
        <f>2184+320</f>
        <v>2504</v>
      </c>
      <c r="Q22" s="644">
        <v>25000</v>
      </c>
      <c r="R22" s="644"/>
      <c r="S22" s="644">
        <f>37569+611</f>
        <v>38180</v>
      </c>
      <c r="T22" s="645">
        <f t="shared" si="0"/>
        <v>88200</v>
      </c>
    </row>
    <row r="23" spans="2:20" x14ac:dyDescent="0.2">
      <c r="B23" s="627">
        <v>1860</v>
      </c>
      <c r="C23" s="159" t="s">
        <v>542</v>
      </c>
      <c r="D23" s="159"/>
      <c r="E23" s="644"/>
      <c r="F23" s="644"/>
      <c r="G23" s="644"/>
      <c r="H23" s="644"/>
      <c r="I23" s="644"/>
      <c r="J23" s="644">
        <v>3440</v>
      </c>
      <c r="K23" s="644">
        <v>2132</v>
      </c>
      <c r="L23" s="644">
        <v>2400</v>
      </c>
      <c r="M23" s="644"/>
      <c r="N23" s="644">
        <v>2220</v>
      </c>
      <c r="O23" s="644"/>
      <c r="P23" s="644">
        <v>1248</v>
      </c>
      <c r="Q23" s="644"/>
      <c r="R23" s="644">
        <v>7703.21</v>
      </c>
      <c r="S23" s="644">
        <f>2683.5-567</f>
        <v>2116.5</v>
      </c>
      <c r="T23" s="645">
        <f t="shared" si="0"/>
        <v>21259.71</v>
      </c>
    </row>
    <row r="24" spans="2:20" x14ac:dyDescent="0.2">
      <c r="B24" s="627">
        <v>1908</v>
      </c>
      <c r="C24" s="159" t="s">
        <v>546</v>
      </c>
      <c r="D24" s="159"/>
      <c r="E24" s="644"/>
      <c r="F24" s="644"/>
      <c r="G24" s="644"/>
      <c r="H24" s="644"/>
      <c r="I24" s="644"/>
      <c r="J24" s="644"/>
      <c r="K24" s="644"/>
      <c r="L24" s="644"/>
      <c r="M24" s="644"/>
      <c r="N24" s="644"/>
      <c r="O24" s="644"/>
      <c r="P24" s="644"/>
      <c r="Q24" s="644"/>
      <c r="R24" s="644">
        <f>12000+2500</f>
        <v>14500</v>
      </c>
      <c r="S24" s="644"/>
      <c r="T24" s="645">
        <f t="shared" si="0"/>
        <v>14500</v>
      </c>
    </row>
    <row r="25" spans="2:20" x14ac:dyDescent="0.2">
      <c r="B25" s="627">
        <v>1915</v>
      </c>
      <c r="C25" s="629" t="s">
        <v>750</v>
      </c>
      <c r="D25" s="159"/>
      <c r="E25" s="644"/>
      <c r="F25" s="644"/>
      <c r="G25" s="644"/>
      <c r="H25" s="644"/>
      <c r="I25" s="644"/>
      <c r="J25" s="644"/>
      <c r="K25" s="644"/>
      <c r="L25" s="644"/>
      <c r="M25" s="644"/>
      <c r="N25" s="644"/>
      <c r="O25" s="644"/>
      <c r="P25" s="644"/>
      <c r="Q25" s="644"/>
      <c r="R25" s="644">
        <v>2500</v>
      </c>
      <c r="S25" s="644"/>
      <c r="T25" s="645">
        <f t="shared" si="0"/>
        <v>2500</v>
      </c>
    </row>
    <row r="26" spans="2:20" x14ac:dyDescent="0.2">
      <c r="B26" s="627">
        <v>1920</v>
      </c>
      <c r="C26" s="159" t="s">
        <v>730</v>
      </c>
      <c r="D26" s="159"/>
      <c r="E26" s="644"/>
      <c r="F26" s="644"/>
      <c r="G26" s="644"/>
      <c r="H26" s="644"/>
      <c r="I26" s="644"/>
      <c r="J26" s="644"/>
      <c r="K26" s="644"/>
      <c r="L26" s="644"/>
      <c r="M26" s="644"/>
      <c r="N26" s="644"/>
      <c r="O26" s="644"/>
      <c r="P26" s="644"/>
      <c r="Q26" s="644"/>
      <c r="R26" s="644">
        <v>5000</v>
      </c>
      <c r="S26" s="644"/>
      <c r="T26" s="645">
        <f t="shared" si="0"/>
        <v>5000</v>
      </c>
    </row>
    <row r="27" spans="2:20" x14ac:dyDescent="0.2">
      <c r="B27" s="627">
        <v>1925</v>
      </c>
      <c r="C27" s="159" t="s">
        <v>563</v>
      </c>
      <c r="D27" s="159"/>
      <c r="E27" s="644"/>
      <c r="F27" s="644"/>
      <c r="G27" s="644"/>
      <c r="H27" s="644"/>
      <c r="I27" s="644"/>
      <c r="J27" s="644"/>
      <c r="K27" s="644"/>
      <c r="L27" s="644"/>
      <c r="M27" s="644"/>
      <c r="N27" s="644"/>
      <c r="O27" s="644"/>
      <c r="P27" s="644"/>
      <c r="Q27" s="644"/>
      <c r="R27" s="644">
        <v>19000</v>
      </c>
      <c r="S27" s="644"/>
      <c r="T27" s="645">
        <f t="shared" si="0"/>
        <v>19000</v>
      </c>
    </row>
    <row r="28" spans="2:20" x14ac:dyDescent="0.2">
      <c r="B28" s="627">
        <v>1930</v>
      </c>
      <c r="C28" s="159" t="s">
        <v>721</v>
      </c>
      <c r="D28" s="159"/>
      <c r="E28" s="644"/>
      <c r="F28" s="644"/>
      <c r="G28" s="644"/>
      <c r="H28" s="644"/>
      <c r="I28" s="644">
        <f>90000+1750-2500</f>
        <v>89250</v>
      </c>
      <c r="J28" s="644"/>
      <c r="K28" s="644"/>
      <c r="L28" s="644"/>
      <c r="M28" s="644"/>
      <c r="N28" s="644"/>
      <c r="O28" s="644"/>
      <c r="P28" s="644"/>
      <c r="Q28" s="644"/>
      <c r="R28" s="644"/>
      <c r="S28" s="644"/>
      <c r="T28" s="645">
        <f t="shared" si="0"/>
        <v>89250</v>
      </c>
    </row>
    <row r="29" spans="2:20" x14ac:dyDescent="0.2">
      <c r="B29" s="627">
        <v>1940</v>
      </c>
      <c r="C29" s="159" t="s">
        <v>722</v>
      </c>
      <c r="D29" s="159"/>
      <c r="E29" s="644"/>
      <c r="F29" s="644"/>
      <c r="G29" s="644"/>
      <c r="H29" s="644"/>
      <c r="I29" s="644"/>
      <c r="J29" s="644"/>
      <c r="K29" s="644"/>
      <c r="L29" s="644"/>
      <c r="M29" s="644"/>
      <c r="N29" s="644"/>
      <c r="O29" s="644"/>
      <c r="P29" s="644"/>
      <c r="Q29" s="644"/>
      <c r="R29" s="644">
        <v>25000</v>
      </c>
      <c r="S29" s="644"/>
      <c r="T29" s="645">
        <f t="shared" si="0"/>
        <v>25000</v>
      </c>
    </row>
    <row r="30" spans="2:20" ht="26.25" thickBot="1" x14ac:dyDescent="0.25">
      <c r="B30" s="631">
        <v>1995</v>
      </c>
      <c r="C30" s="634" t="s">
        <v>29</v>
      </c>
      <c r="D30" s="171"/>
      <c r="E30" s="648"/>
      <c r="F30" s="649"/>
      <c r="G30" s="648"/>
      <c r="H30" s="648"/>
      <c r="I30" s="648"/>
      <c r="J30" s="648">
        <v>-86000</v>
      </c>
      <c r="K30" s="648">
        <v>-53300</v>
      </c>
      <c r="L30" s="648">
        <v>-60000</v>
      </c>
      <c r="M30" s="648">
        <v>-8250</v>
      </c>
      <c r="N30" s="648">
        <v>-55500</v>
      </c>
      <c r="O30" s="648">
        <v>-9000</v>
      </c>
      <c r="P30" s="648">
        <v>-31200</v>
      </c>
      <c r="Q30" s="648">
        <v>-400000</v>
      </c>
      <c r="R30" s="648"/>
      <c r="S30" s="649"/>
      <c r="T30" s="645">
        <f t="shared" si="0"/>
        <v>-703250</v>
      </c>
    </row>
    <row r="31" spans="2:20" ht="14.25" thickTop="1" thickBot="1" x14ac:dyDescent="0.25">
      <c r="B31" s="638" t="s">
        <v>573</v>
      </c>
      <c r="C31" s="639"/>
      <c r="D31" s="639"/>
      <c r="E31" s="640">
        <f t="shared" ref="E31:S31" si="1">SUM(E17:E30)</f>
        <v>14587</v>
      </c>
      <c r="F31" s="641">
        <f t="shared" si="1"/>
        <v>52417.06</v>
      </c>
      <c r="G31" s="640">
        <f t="shared" si="1"/>
        <v>220703</v>
      </c>
      <c r="H31" s="640">
        <f t="shared" si="1"/>
        <v>36500</v>
      </c>
      <c r="I31" s="640">
        <f t="shared" si="1"/>
        <v>89250</v>
      </c>
      <c r="J31" s="640">
        <f t="shared" si="1"/>
        <v>16000.009999999995</v>
      </c>
      <c r="K31" s="640">
        <f t="shared" si="1"/>
        <v>14400</v>
      </c>
      <c r="L31" s="640">
        <f t="shared" si="1"/>
        <v>17500</v>
      </c>
      <c r="M31" s="640">
        <f t="shared" si="1"/>
        <v>1000</v>
      </c>
      <c r="N31" s="640">
        <f t="shared" si="1"/>
        <v>31969.989999999991</v>
      </c>
      <c r="O31" s="640">
        <f t="shared" si="1"/>
        <v>1000</v>
      </c>
      <c r="P31" s="640">
        <f t="shared" si="1"/>
        <v>5600</v>
      </c>
      <c r="Q31" s="640">
        <f t="shared" si="1"/>
        <v>0</v>
      </c>
      <c r="R31" s="640">
        <f t="shared" si="1"/>
        <v>73703.209999999992</v>
      </c>
      <c r="S31" s="641">
        <f t="shared" si="1"/>
        <v>171619.5</v>
      </c>
      <c r="T31" s="642">
        <f t="shared" si="0"/>
        <v>746249.77</v>
      </c>
    </row>
    <row r="36" spans="2:2" x14ac:dyDescent="0.2">
      <c r="B36" s="52" t="s">
        <v>562</v>
      </c>
    </row>
  </sheetData>
  <mergeCells count="3">
    <mergeCell ref="B9:T9"/>
    <mergeCell ref="B10:T10"/>
    <mergeCell ref="B12:T12"/>
  </mergeCells>
  <dataValidations count="1">
    <dataValidation allowBlank="1" showInputMessage="1" showErrorMessage="1" promptTitle="Date Format" prompt="E.g:  &quot;August 1, 2011&quot;" sqref="T7"/>
  </dataValidations>
  <pageMargins left="0.75" right="0.75" top="1" bottom="1" header="0.5" footer="0.5"/>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B6:E56"/>
  <sheetViews>
    <sheetView showGridLines="0" tabSelected="1" topLeftCell="A23" zoomScaleNormal="100" workbookViewId="0">
      <selection activeCell="E35" sqref="E35"/>
    </sheetView>
  </sheetViews>
  <sheetFormatPr defaultRowHeight="12.75" x14ac:dyDescent="0.2"/>
  <cols>
    <col min="1" max="1" width="2.85546875" customWidth="1"/>
    <col min="2" max="2" width="7.7109375" style="1" customWidth="1"/>
    <col min="3" max="3" width="6.42578125" style="1" customWidth="1"/>
    <col min="4" max="4" width="37.85546875" customWidth="1"/>
    <col min="5" max="5" width="12.7109375" style="1" customWidth="1"/>
  </cols>
  <sheetData>
    <row r="6" spans="2:5" ht="9" customHeight="1" x14ac:dyDescent="0.2"/>
    <row r="8" spans="2:5" ht="9" customHeight="1" x14ac:dyDescent="0.2"/>
    <row r="9" spans="2:5" ht="20.25" customHeight="1" x14ac:dyDescent="0.2"/>
    <row r="14" spans="2:5" x14ac:dyDescent="0.2">
      <c r="E14" s="577"/>
    </row>
    <row r="15" spans="2:5" ht="25.5" x14ac:dyDescent="0.2">
      <c r="B15" s="488" t="s">
        <v>526</v>
      </c>
      <c r="C15" s="489" t="s">
        <v>527</v>
      </c>
      <c r="D15" s="490" t="s">
        <v>528</v>
      </c>
      <c r="E15" s="488" t="s">
        <v>755</v>
      </c>
    </row>
    <row r="16" spans="2:5" x14ac:dyDescent="0.2">
      <c r="B16" s="7" t="s">
        <v>535</v>
      </c>
      <c r="C16" s="7">
        <v>1805</v>
      </c>
      <c r="D16" s="2" t="s">
        <v>536</v>
      </c>
      <c r="E16" s="578">
        <v>0</v>
      </c>
    </row>
    <row r="17" spans="2:5" x14ac:dyDescent="0.2">
      <c r="B17" s="7">
        <v>47</v>
      </c>
      <c r="C17" s="7">
        <v>1808</v>
      </c>
      <c r="D17" s="2" t="s">
        <v>537</v>
      </c>
      <c r="E17" s="579"/>
    </row>
    <row r="18" spans="2:5" x14ac:dyDescent="0.2">
      <c r="B18" s="7">
        <v>13</v>
      </c>
      <c r="C18" s="7">
        <v>1810</v>
      </c>
      <c r="D18" s="2" t="s">
        <v>579</v>
      </c>
      <c r="E18" s="579"/>
    </row>
    <row r="19" spans="2:5" x14ac:dyDescent="0.2">
      <c r="B19" s="7">
        <v>47</v>
      </c>
      <c r="C19" s="7">
        <v>1815</v>
      </c>
      <c r="D19" s="2" t="s">
        <v>538</v>
      </c>
      <c r="E19" s="579"/>
    </row>
    <row r="20" spans="2:5" x14ac:dyDescent="0.2">
      <c r="B20" s="7">
        <v>47</v>
      </c>
      <c r="C20" s="7">
        <v>1820</v>
      </c>
      <c r="D20" s="456" t="s">
        <v>462</v>
      </c>
      <c r="E20" s="578">
        <f>100%/25</f>
        <v>0.04</v>
      </c>
    </row>
    <row r="21" spans="2:5" x14ac:dyDescent="0.2">
      <c r="B21" s="7">
        <v>47</v>
      </c>
      <c r="C21" s="7">
        <v>1825</v>
      </c>
      <c r="D21" s="2" t="s">
        <v>539</v>
      </c>
      <c r="E21" s="579"/>
    </row>
    <row r="22" spans="2:5" x14ac:dyDescent="0.2">
      <c r="B22" s="7">
        <v>47</v>
      </c>
      <c r="C22" s="7">
        <v>1830</v>
      </c>
      <c r="D22" s="2" t="s">
        <v>540</v>
      </c>
      <c r="E22" s="578">
        <f>100%/25</f>
        <v>0.04</v>
      </c>
    </row>
    <row r="23" spans="2:5" x14ac:dyDescent="0.2">
      <c r="B23" s="7">
        <v>47</v>
      </c>
      <c r="C23" s="7">
        <v>1835</v>
      </c>
      <c r="D23" s="2" t="s">
        <v>463</v>
      </c>
      <c r="E23" s="578">
        <f t="shared" ref="E23:E28" si="0">100%/25</f>
        <v>0.04</v>
      </c>
    </row>
    <row r="24" spans="2:5" x14ac:dyDescent="0.2">
      <c r="B24" s="7">
        <v>47</v>
      </c>
      <c r="C24" s="7">
        <v>1840</v>
      </c>
      <c r="D24" s="2" t="s">
        <v>464</v>
      </c>
      <c r="E24" s="578">
        <f t="shared" si="0"/>
        <v>0.04</v>
      </c>
    </row>
    <row r="25" spans="2:5" x14ac:dyDescent="0.2">
      <c r="B25" s="7">
        <v>47</v>
      </c>
      <c r="C25" s="7">
        <v>1845</v>
      </c>
      <c r="D25" s="2" t="s">
        <v>465</v>
      </c>
      <c r="E25" s="578">
        <f t="shared" si="0"/>
        <v>0.04</v>
      </c>
    </row>
    <row r="26" spans="2:5" x14ac:dyDescent="0.2">
      <c r="B26" s="7">
        <v>47</v>
      </c>
      <c r="C26" s="7">
        <v>1850</v>
      </c>
      <c r="D26" s="2" t="s">
        <v>541</v>
      </c>
      <c r="E26" s="578">
        <f t="shared" si="0"/>
        <v>0.04</v>
      </c>
    </row>
    <row r="27" spans="2:5" x14ac:dyDescent="0.2">
      <c r="B27" s="7">
        <v>47</v>
      </c>
      <c r="C27" s="7">
        <v>1855</v>
      </c>
      <c r="D27" s="2" t="s">
        <v>466</v>
      </c>
      <c r="E27" s="578">
        <f t="shared" si="0"/>
        <v>0.04</v>
      </c>
    </row>
    <row r="28" spans="2:5" x14ac:dyDescent="0.2">
      <c r="B28" s="7">
        <v>47</v>
      </c>
      <c r="C28" s="7">
        <v>1860</v>
      </c>
      <c r="D28" s="2" t="s">
        <v>542</v>
      </c>
      <c r="E28" s="578">
        <f t="shared" si="0"/>
        <v>0.04</v>
      </c>
    </row>
    <row r="29" spans="2:5" x14ac:dyDescent="0.2">
      <c r="B29" s="7">
        <v>47</v>
      </c>
      <c r="C29" s="7">
        <v>1860</v>
      </c>
      <c r="D29" s="2" t="s">
        <v>467</v>
      </c>
      <c r="E29" s="579"/>
    </row>
    <row r="30" spans="2:5" x14ac:dyDescent="0.2">
      <c r="B30" s="7" t="s">
        <v>535</v>
      </c>
      <c r="C30" s="7">
        <v>1905</v>
      </c>
      <c r="D30" s="2" t="s">
        <v>536</v>
      </c>
      <c r="E30" s="578">
        <v>0</v>
      </c>
    </row>
    <row r="31" spans="2:5" x14ac:dyDescent="0.2">
      <c r="B31" s="7" t="s">
        <v>544</v>
      </c>
      <c r="C31" s="7">
        <v>1906</v>
      </c>
      <c r="D31" s="2" t="s">
        <v>545</v>
      </c>
      <c r="E31" s="578">
        <v>0.02</v>
      </c>
    </row>
    <row r="32" spans="2:5" x14ac:dyDescent="0.2">
      <c r="B32" s="7">
        <v>47</v>
      </c>
      <c r="C32" s="7">
        <v>1908</v>
      </c>
      <c r="D32" s="2" t="s">
        <v>546</v>
      </c>
      <c r="E32" s="578">
        <v>0.1</v>
      </c>
    </row>
    <row r="33" spans="2:5" x14ac:dyDescent="0.2">
      <c r="B33" s="7">
        <v>13</v>
      </c>
      <c r="C33" s="7">
        <v>1910</v>
      </c>
      <c r="D33" s="2" t="s">
        <v>579</v>
      </c>
      <c r="E33" s="579"/>
    </row>
    <row r="34" spans="2:5" x14ac:dyDescent="0.2">
      <c r="B34" s="7">
        <v>8</v>
      </c>
      <c r="C34" s="7">
        <v>1915</v>
      </c>
      <c r="D34" s="2" t="s">
        <v>468</v>
      </c>
      <c r="E34" s="578">
        <v>0.1</v>
      </c>
    </row>
    <row r="35" spans="2:5" x14ac:dyDescent="0.2">
      <c r="B35" s="7">
        <v>8</v>
      </c>
      <c r="C35" s="7">
        <v>1915</v>
      </c>
      <c r="D35" s="2" t="s">
        <v>469</v>
      </c>
      <c r="E35" s="578"/>
    </row>
    <row r="36" spans="2:5" x14ac:dyDescent="0.2">
      <c r="B36" s="7">
        <v>10</v>
      </c>
      <c r="C36" s="7">
        <v>1920</v>
      </c>
      <c r="D36" s="2" t="s">
        <v>470</v>
      </c>
      <c r="E36" s="578">
        <f>100%/5</f>
        <v>0.2</v>
      </c>
    </row>
    <row r="37" spans="2:5" x14ac:dyDescent="0.2">
      <c r="B37" s="7">
        <v>45</v>
      </c>
      <c r="C37" s="457">
        <v>1920</v>
      </c>
      <c r="D37" s="456" t="s">
        <v>472</v>
      </c>
      <c r="E37" s="578">
        <f>100%/5</f>
        <v>0.2</v>
      </c>
    </row>
    <row r="38" spans="2:5" x14ac:dyDescent="0.2">
      <c r="B38" s="7">
        <v>45.1</v>
      </c>
      <c r="C38" s="457">
        <v>1920</v>
      </c>
      <c r="D38" s="456" t="s">
        <v>471</v>
      </c>
      <c r="E38" s="578">
        <f>100%/5</f>
        <v>0.2</v>
      </c>
    </row>
    <row r="39" spans="2:5" x14ac:dyDescent="0.2">
      <c r="B39" s="7">
        <v>12</v>
      </c>
      <c r="C39" s="7">
        <v>1925</v>
      </c>
      <c r="D39" s="2" t="s">
        <v>563</v>
      </c>
      <c r="E39" s="578">
        <f>100%/5</f>
        <v>0.2</v>
      </c>
    </row>
    <row r="40" spans="2:5" x14ac:dyDescent="0.2">
      <c r="B40" s="7">
        <v>10</v>
      </c>
      <c r="C40" s="7">
        <v>1930</v>
      </c>
      <c r="D40" s="2" t="s">
        <v>564</v>
      </c>
      <c r="E40" s="578">
        <f>100%/8</f>
        <v>0.125</v>
      </c>
    </row>
    <row r="41" spans="2:5" x14ac:dyDescent="0.2">
      <c r="B41" s="7">
        <v>8</v>
      </c>
      <c r="C41" s="7">
        <v>1935</v>
      </c>
      <c r="D41" s="2" t="s">
        <v>565</v>
      </c>
      <c r="E41" s="579"/>
    </row>
    <row r="42" spans="2:5" x14ac:dyDescent="0.2">
      <c r="B42" s="7">
        <v>8</v>
      </c>
      <c r="C42" s="7">
        <v>1940</v>
      </c>
      <c r="D42" s="2" t="s">
        <v>566</v>
      </c>
      <c r="E42" s="578">
        <v>0.1</v>
      </c>
    </row>
    <row r="43" spans="2:5" x14ac:dyDescent="0.2">
      <c r="B43" s="7">
        <v>8</v>
      </c>
      <c r="C43" s="7">
        <v>1945</v>
      </c>
      <c r="D43" s="2" t="s">
        <v>567</v>
      </c>
      <c r="E43" s="579"/>
    </row>
    <row r="44" spans="2:5" x14ac:dyDescent="0.2">
      <c r="B44" s="7">
        <v>8</v>
      </c>
      <c r="C44" s="7">
        <v>1950</v>
      </c>
      <c r="D44" s="2" t="s">
        <v>473</v>
      </c>
      <c r="E44" s="579"/>
    </row>
    <row r="45" spans="2:5" x14ac:dyDescent="0.2">
      <c r="B45" s="7">
        <v>8</v>
      </c>
      <c r="C45" s="7">
        <v>1955</v>
      </c>
      <c r="D45" s="2" t="s">
        <v>568</v>
      </c>
      <c r="E45" s="578">
        <v>0.1</v>
      </c>
    </row>
    <row r="46" spans="2:5" x14ac:dyDescent="0.2">
      <c r="B46" s="458">
        <v>8</v>
      </c>
      <c r="C46" s="458">
        <v>1955</v>
      </c>
      <c r="D46" s="459" t="s">
        <v>474</v>
      </c>
      <c r="E46" s="579">
        <f>E45</f>
        <v>0.1</v>
      </c>
    </row>
    <row r="47" spans="2:5" x14ac:dyDescent="0.2">
      <c r="B47" s="457">
        <v>8</v>
      </c>
      <c r="C47" s="457">
        <v>1960</v>
      </c>
      <c r="D47" s="456" t="s">
        <v>475</v>
      </c>
      <c r="E47" s="579"/>
    </row>
    <row r="48" spans="2:5" x14ac:dyDescent="0.2">
      <c r="B48" s="7">
        <v>47</v>
      </c>
      <c r="C48" s="7">
        <v>1975</v>
      </c>
      <c r="D48" s="2" t="s">
        <v>569</v>
      </c>
      <c r="E48" s="579"/>
    </row>
    <row r="49" spans="2:5" x14ac:dyDescent="0.2">
      <c r="B49" s="7">
        <v>47</v>
      </c>
      <c r="C49" s="7">
        <v>1980</v>
      </c>
      <c r="D49" s="2" t="s">
        <v>570</v>
      </c>
      <c r="E49" s="579"/>
    </row>
    <row r="50" spans="2:5" x14ac:dyDescent="0.2">
      <c r="B50" s="7">
        <v>47</v>
      </c>
      <c r="C50" s="7">
        <v>1985</v>
      </c>
      <c r="D50" s="2" t="s">
        <v>571</v>
      </c>
      <c r="E50" s="578">
        <v>0.1</v>
      </c>
    </row>
    <row r="51" spans="2:5" x14ac:dyDescent="0.2">
      <c r="B51" s="7">
        <v>47</v>
      </c>
      <c r="C51" s="7">
        <v>1995</v>
      </c>
      <c r="D51" s="2" t="s">
        <v>572</v>
      </c>
      <c r="E51" s="578">
        <v>0.04</v>
      </c>
    </row>
    <row r="52" spans="2:5" x14ac:dyDescent="0.2">
      <c r="B52" s="7"/>
      <c r="C52" s="7" t="s">
        <v>636</v>
      </c>
      <c r="D52" s="2"/>
      <c r="E52" s="579"/>
    </row>
    <row r="53" spans="2:5" x14ac:dyDescent="0.2">
      <c r="B53" s="7"/>
      <c r="C53" s="7"/>
      <c r="D53" s="2"/>
      <c r="E53" s="579"/>
    </row>
    <row r="54" spans="2:5" x14ac:dyDescent="0.2">
      <c r="B54" s="7"/>
      <c r="C54" s="7"/>
      <c r="D54" s="26" t="s">
        <v>573</v>
      </c>
      <c r="E54" s="142"/>
    </row>
    <row r="56" spans="2:5" x14ac:dyDescent="0.2">
      <c r="E56" s="241"/>
    </row>
  </sheetData>
  <phoneticPr fontId="3" type="noConversion"/>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50</vt:i4>
      </vt:variant>
    </vt:vector>
  </HeadingPairs>
  <TitlesOfParts>
    <vt:vector size="99" baseType="lpstr">
      <vt:lpstr>Index</vt:lpstr>
      <vt:lpstr>App.2-A_Capital Projects - 2006</vt:lpstr>
      <vt:lpstr>App.2-A_Capital Projects - 2007</vt:lpstr>
      <vt:lpstr>App.2-A_Capital Projects - 2008</vt:lpstr>
      <vt:lpstr>App.2-A_Capital Projects - 2009</vt:lpstr>
      <vt:lpstr>App.2-A_Capital Projects - 2010</vt:lpstr>
      <vt:lpstr>App.2-A_Capital Projects - 2011</vt:lpstr>
      <vt:lpstr>App.2-A_Capital Projects - 2012</vt:lpstr>
      <vt:lpstr>App.2-B1_Depr Rates</vt:lpstr>
      <vt:lpstr>App.2-B_Fixed Asset Cont - 2006</vt:lpstr>
      <vt:lpstr>App.2-B_Fixed Asset Cont - 2007</vt:lpstr>
      <vt:lpstr>App.2-B_Fixed Asset Cont - 2008</vt:lpstr>
      <vt:lpstr>App.2-B_Fixed Asset Cont - 2009</vt:lpstr>
      <vt:lpstr>App.2-B_Fixed Asset Cont - 2010</vt:lpstr>
      <vt:lpstr>App.2-B_Fixed Asset Cont - 2011</vt:lpstr>
      <vt:lpstr>App.2-B_Fixed Asset Cont - 2012</vt:lpstr>
      <vt:lpstr>App.2-C_Other_Oper_Rev</vt:lpstr>
      <vt:lpstr>App.2-D_OM&amp;A_Accts</vt:lpstr>
      <vt:lpstr>App.2-E_OM&amp;A_Exp_Summary</vt:lpstr>
      <vt:lpstr>App.2-F_Detailed_OM&amp;A_Expenses</vt:lpstr>
      <vt:lpstr>App.2-G_OM&amp;A_Cost _Drivers</vt:lpstr>
      <vt:lpstr>App.2-H_Regulatory_Costs</vt:lpstr>
      <vt:lpstr>App.2-I_OM&amp;A_per_Cust_FTEE</vt:lpstr>
      <vt:lpstr>App.2-J_OM&amp;A_Variance_Analysis</vt:lpstr>
      <vt:lpstr>App.2-K Employee Costs</vt:lpstr>
      <vt:lpstr>App.2-L_Corp_Cost_Allocat-2006</vt:lpstr>
      <vt:lpstr>App.2-L_Corp_Cost_Allocat-2007</vt:lpstr>
      <vt:lpstr>App.2-L_Corp_Cost_Allocat-2008</vt:lpstr>
      <vt:lpstr>App.2-L_Corp_Cost_Allocat-2009</vt:lpstr>
      <vt:lpstr>App.2-L_Corp_Cost_Allocat-2010</vt:lpstr>
      <vt:lpstr>App.2-L_Corp_Cost_Allocat-2011</vt:lpstr>
      <vt:lpstr>App.2-L_Corp_Cost_Allocat-2012</vt:lpstr>
      <vt:lpstr>App.2-M_Deprec Expense - 2006</vt:lpstr>
      <vt:lpstr>App.2-M_Deprec Expense - 2007</vt:lpstr>
      <vt:lpstr>App.2-M_Deprec Expense - 2008</vt:lpstr>
      <vt:lpstr>App.2-M_Deprec Expense - 2009</vt:lpstr>
      <vt:lpstr>App.2-M_Deprec Expense - 2010</vt:lpstr>
      <vt:lpstr>App.2-M_Deprec Expense - 2011</vt:lpstr>
      <vt:lpstr>App.2-M_Deprec Expense - 2012</vt:lpstr>
      <vt:lpstr>App.2-N Capitalization</vt:lpstr>
      <vt:lpstr>App.2-O_Cost_Allocation</vt:lpstr>
      <vt:lpstr>App.2-P_Loss Factors</vt:lpstr>
      <vt:lpstr>App.2-Q_Smart_Meters</vt:lpstr>
      <vt:lpstr>App.2-R_Stranded Meters</vt:lpstr>
      <vt:lpstr>App.2-S_Embedded_Dx_LV_rate</vt:lpstr>
      <vt:lpstr>App.2-T_1592_Defer_PILs</vt:lpstr>
      <vt:lpstr>App.2-U_Rev_Reconciliation</vt:lpstr>
      <vt:lpstr>App.2-V Bill Impacts</vt:lpstr>
      <vt:lpstr>App.2-W_CoS_Flowchart</vt:lpstr>
      <vt:lpstr>'App.2-A_Capital Projects - 2006'!Print_Area</vt:lpstr>
      <vt:lpstr>'App.2-A_Capital Projects - 2007'!Print_Area</vt:lpstr>
      <vt:lpstr>'App.2-A_Capital Projects - 2008'!Print_Area</vt:lpstr>
      <vt:lpstr>'App.2-A_Capital Projects - 2009'!Print_Area</vt:lpstr>
      <vt:lpstr>'App.2-A_Capital Projects - 2010'!Print_Area</vt:lpstr>
      <vt:lpstr>'App.2-A_Capital Projects - 2011'!Print_Area</vt:lpstr>
      <vt:lpstr>'App.2-A_Capital Projects - 2012'!Print_Area</vt:lpstr>
      <vt:lpstr>'App.2-B_Fixed Asset Cont - 2006'!Print_Area</vt:lpstr>
      <vt:lpstr>'App.2-B_Fixed Asset Cont - 2007'!Print_Area</vt:lpstr>
      <vt:lpstr>'App.2-B_Fixed Asset Cont - 2008'!Print_Area</vt:lpstr>
      <vt:lpstr>'App.2-B_Fixed Asset Cont - 2009'!Print_Area</vt:lpstr>
      <vt:lpstr>'App.2-B_Fixed Asset Cont - 2010'!Print_Area</vt:lpstr>
      <vt:lpstr>'App.2-B_Fixed Asset Cont - 2011'!Print_Area</vt:lpstr>
      <vt:lpstr>'App.2-B_Fixed Asset Cont - 2012'!Print_Area</vt:lpstr>
      <vt:lpstr>'App.2-B1_Depr Rates'!Print_Area</vt:lpstr>
      <vt:lpstr>'App.2-C_Other_Oper_Rev'!Print_Area</vt:lpstr>
      <vt:lpstr>'App.2-D_OM&amp;A_Accts'!Print_Area</vt:lpstr>
      <vt:lpstr>'App.2-E_OM&amp;A_Exp_Summary'!Print_Area</vt:lpstr>
      <vt:lpstr>'App.2-F_Detailed_OM&amp;A_Expenses'!Print_Area</vt:lpstr>
      <vt:lpstr>'App.2-G_OM&amp;A_Cost _Drivers'!Print_Area</vt:lpstr>
      <vt:lpstr>'App.2-H_Regulatory_Costs'!Print_Area</vt:lpstr>
      <vt:lpstr>'App.2-I_OM&amp;A_per_Cust_FTEE'!Print_Area</vt:lpstr>
      <vt:lpstr>'App.2-J_OM&amp;A_Variance_Analysis'!Print_Area</vt:lpstr>
      <vt:lpstr>'App.2-K Employee Costs'!Print_Area</vt:lpstr>
      <vt:lpstr>'App.2-L_Corp_Cost_Allocat-2006'!Print_Area</vt:lpstr>
      <vt:lpstr>'App.2-L_Corp_Cost_Allocat-2007'!Print_Area</vt:lpstr>
      <vt:lpstr>'App.2-L_Corp_Cost_Allocat-2008'!Print_Area</vt:lpstr>
      <vt:lpstr>'App.2-L_Corp_Cost_Allocat-2009'!Print_Area</vt:lpstr>
      <vt:lpstr>'App.2-L_Corp_Cost_Allocat-2010'!Print_Area</vt:lpstr>
      <vt:lpstr>'App.2-L_Corp_Cost_Allocat-2011'!Print_Area</vt:lpstr>
      <vt:lpstr>'App.2-L_Corp_Cost_Allocat-2012'!Print_Area</vt:lpstr>
      <vt:lpstr>'App.2-M_Deprec Expense - 2006'!Print_Area</vt:lpstr>
      <vt:lpstr>'App.2-M_Deprec Expense - 2007'!Print_Area</vt:lpstr>
      <vt:lpstr>'App.2-M_Deprec Expense - 2008'!Print_Area</vt:lpstr>
      <vt:lpstr>'App.2-M_Deprec Expense - 2009'!Print_Area</vt:lpstr>
      <vt:lpstr>'App.2-M_Deprec Expense - 2010'!Print_Area</vt:lpstr>
      <vt:lpstr>'App.2-M_Deprec Expense - 2011'!Print_Area</vt:lpstr>
      <vt:lpstr>'App.2-M_Deprec Expense - 2012'!Print_Area</vt:lpstr>
      <vt:lpstr>'App.2-N Capitalization'!Print_Area</vt:lpstr>
      <vt:lpstr>'App.2-O_Cost_Allocation'!Print_Area</vt:lpstr>
      <vt:lpstr>'App.2-P_Loss Factors'!Print_Area</vt:lpstr>
      <vt:lpstr>'App.2-Q_Smart_Meters'!Print_Area</vt:lpstr>
      <vt:lpstr>'App.2-R_Stranded Meters'!Print_Area</vt:lpstr>
      <vt:lpstr>'App.2-S_Embedded_Dx_LV_rate'!Print_Area</vt:lpstr>
      <vt:lpstr>'App.2-T_1592_Defer_PILs'!Print_Area</vt:lpstr>
      <vt:lpstr>'App.2-U_Rev_Reconciliation'!Print_Area</vt:lpstr>
      <vt:lpstr>'App.2-V Bill Impacts'!Print_Area</vt:lpstr>
      <vt:lpstr>'App.2-W_CoS_Flowchart'!Print_Area</vt:lpstr>
      <vt:lpstr>Index!Print_Area</vt:lpstr>
      <vt:lpstr>'App.2-D_OM&amp;A_Accts'!Print_Titles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ArmstrBi</dc:creator>
  <cp:lastModifiedBy>Bacon, Bruce</cp:lastModifiedBy>
  <cp:lastPrinted>2012-09-10T16:23:07Z</cp:lastPrinted>
  <dcterms:created xsi:type="dcterms:W3CDTF">2009-03-26T15:32:04Z</dcterms:created>
  <dcterms:modified xsi:type="dcterms:W3CDTF">2012-10-05T16:27:03Z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