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15570" windowHeight="9810"/>
  </bookViews>
  <sheets>
    <sheet name="SMDR" sheetId="1" r:id="rId1"/>
  </sheets>
  <externalReferences>
    <externalReference r:id="rId2"/>
    <externalReference r:id="rId3"/>
    <externalReference r:id="rId4"/>
  </externalReferences>
  <definedNames>
    <definedName name="_xlnm.Print_Area" localSheetId="0">SMDR!$D$1:$G$26</definedName>
  </definedNames>
  <calcPr calcId="145621" iterate="1"/>
</workbook>
</file>

<file path=xl/calcChain.xml><?xml version="1.0" encoding="utf-8"?>
<calcChain xmlns="http://schemas.openxmlformats.org/spreadsheetml/2006/main">
  <c r="F6" i="1" l="1"/>
  <c r="G6" i="1"/>
  <c r="G7" i="1"/>
  <c r="E7" i="1" s="1"/>
  <c r="G5" i="1"/>
  <c r="F5" i="1"/>
  <c r="G24" i="1"/>
  <c r="F24" i="1"/>
  <c r="E24" i="1"/>
  <c r="F7" i="1"/>
  <c r="E20" i="1"/>
  <c r="E13" i="1"/>
  <c r="E12" i="1"/>
  <c r="E16" i="1"/>
  <c r="E11" i="1"/>
  <c r="E15" i="1"/>
  <c r="E21" i="1"/>
  <c r="E14" i="1" l="1"/>
  <c r="E17" i="1" s="1"/>
  <c r="E22" i="1" s="1"/>
  <c r="E26" i="1" s="1"/>
  <c r="G9" i="1"/>
  <c r="G21" i="1" s="1"/>
  <c r="E6" i="1"/>
  <c r="F9" i="1" s="1"/>
  <c r="G13" i="1"/>
  <c r="F8" i="1"/>
  <c r="F11" i="1"/>
  <c r="F12" i="1"/>
  <c r="G8" i="1"/>
  <c r="G11" i="1" s="1"/>
  <c r="F21" i="1" l="1"/>
  <c r="F13" i="1"/>
  <c r="F16" i="1" s="1"/>
  <c r="G16" i="1" s="1"/>
  <c r="F20" i="1"/>
  <c r="E9" i="1"/>
  <c r="G20" i="1"/>
  <c r="F14" i="1"/>
  <c r="F15" i="1"/>
  <c r="E8" i="1"/>
  <c r="G12" i="1"/>
  <c r="G14" i="1" s="1"/>
  <c r="F17" i="1" l="1"/>
  <c r="F22" i="1" s="1"/>
  <c r="F26" i="1" s="1"/>
  <c r="G15" i="1"/>
  <c r="G17" i="1"/>
  <c r="G22" i="1" s="1"/>
  <c r="G26" i="1" s="1"/>
</calcChain>
</file>

<file path=xl/sharedStrings.xml><?xml version="1.0" encoding="utf-8"?>
<sst xmlns="http://schemas.openxmlformats.org/spreadsheetml/2006/main" count="22" uniqueCount="22">
  <si>
    <t>Total</t>
  </si>
  <si>
    <t>Residential</t>
  </si>
  <si>
    <t>GS &lt; 50</t>
  </si>
  <si>
    <t>Smart Meter True-up</t>
  </si>
  <si>
    <t>Metered Customers</t>
  </si>
  <si>
    <t>Calculated by Rate Class</t>
  </si>
  <si>
    <t xml:space="preserve">    Amortization</t>
  </si>
  <si>
    <t xml:space="preserve">    OM&amp;A</t>
  </si>
  <si>
    <t xml:space="preserve">    PILs</t>
  </si>
  <si>
    <t>Smart Meter Rate Adder Revenues</t>
  </si>
  <si>
    <t>Smart Meter Actual Cost Recovery Rate Rider - SMDR</t>
  </si>
  <si>
    <t xml:space="preserve">    Total Before PILs</t>
  </si>
  <si>
    <t xml:space="preserve">    Allocaiton of Smart Meter Costs</t>
  </si>
  <si>
    <t xml:space="preserve">    Allocation of Number of meters installed</t>
  </si>
  <si>
    <t xml:space="preserve">    Smart Meter Cost</t>
  </si>
  <si>
    <t xml:space="preserve">    Total Return (deemed interest plus 
     return on equity)</t>
  </si>
  <si>
    <t xml:space="preserve">    Total Revenue Requirement</t>
  </si>
  <si>
    <t xml:space="preserve">Total Carrying Charge </t>
  </si>
  <si>
    <t xml:space="preserve">    Total number of meters installed</t>
  </si>
  <si>
    <t xml:space="preserve">  ELK Smart Meter Unit Cost</t>
  </si>
  <si>
    <t xml:space="preserve">    Carry Charge - Amort and OM&amp;A</t>
  </si>
  <si>
    <t xml:space="preserve">Rate Rider to Recover Smart Meter Costs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</si>
</sst>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&quot;$&quot;* #,##0_-;\-&quot;$&quot;* #,##0_-;_-&quot;$&quot;* &quot;-&quot;??_-;_-@_-"/>
    <numFmt numFmtId="166" formatCode="_-* #,##0_-;\-* #,##0_-;_-* &quot;-&quot;??_-;_-@_-"/>
    <numFmt numFmtId="167" formatCode="&quot;$&quot;#,##0;\(&quot;$&quot;#,##0\)"/>
    <numFmt numFmtId="168" formatCode="&quot;$&quot;#,##0.00;\(&quot;$&quot;0.00\)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Arial"/>
      <family val="2"/>
    </font>
    <font>
      <sz val="8"/>
      <name val="Calibri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64" fontId="2" fillId="0" borderId="0" xfId="2" applyNumberFormat="1" applyFont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166" fontId="2" fillId="0" borderId="0" xfId="1" applyNumberFormat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165" fontId="4" fillId="0" borderId="0" xfId="0" applyNumberFormat="1" applyFont="1"/>
    <xf numFmtId="10" fontId="4" fillId="0" borderId="0" xfId="3" applyNumberFormat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" xfId="2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/>
    <xf numFmtId="10" fontId="2" fillId="0" borderId="2" xfId="0" applyNumberFormat="1" applyFont="1" applyBorder="1" applyAlignment="1">
      <alignment horizontal="right"/>
    </xf>
    <xf numFmtId="166" fontId="2" fillId="0" borderId="2" xfId="1" applyNumberFormat="1" applyFont="1" applyBorder="1" applyAlignment="1">
      <alignment horizontal="right"/>
    </xf>
    <xf numFmtId="0" fontId="2" fillId="0" borderId="2" xfId="0" applyFont="1" applyBorder="1"/>
    <xf numFmtId="165" fontId="2" fillId="0" borderId="3" xfId="0" applyNumberFormat="1" applyFont="1" applyBorder="1"/>
    <xf numFmtId="165" fontId="2" fillId="0" borderId="4" xfId="0" applyNumberFormat="1" applyFont="1" applyBorder="1"/>
    <xf numFmtId="10" fontId="2" fillId="0" borderId="1" xfId="3" applyNumberFormat="1" applyFont="1" applyBorder="1"/>
    <xf numFmtId="167" fontId="2" fillId="0" borderId="2" xfId="2" applyNumberFormat="1" applyFont="1" applyFill="1" applyBorder="1"/>
    <xf numFmtId="167" fontId="2" fillId="0" borderId="3" xfId="0" applyNumberFormat="1" applyFont="1" applyFill="1" applyBorder="1"/>
    <xf numFmtId="0" fontId="2" fillId="0" borderId="1" xfId="0" applyFont="1" applyBorder="1"/>
    <xf numFmtId="166" fontId="2" fillId="0" borderId="2" xfId="3" applyNumberFormat="1" applyFont="1" applyBorder="1" applyAlignment="1">
      <alignment horizontal="center"/>
    </xf>
    <xf numFmtId="0" fontId="2" fillId="0" borderId="3" xfId="0" applyFont="1" applyBorder="1"/>
    <xf numFmtId="0" fontId="4" fillId="0" borderId="5" xfId="0" applyFont="1" applyBorder="1"/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4" fillId="0" borderId="0" xfId="0" applyFont="1" applyBorder="1"/>
    <xf numFmtId="0" fontId="2" fillId="0" borderId="7" xfId="0" applyFont="1" applyBorder="1" applyAlignment="1">
      <alignment wrapText="1"/>
    </xf>
    <xf numFmtId="165" fontId="2" fillId="0" borderId="8" xfId="0" applyNumberFormat="1" applyFont="1" applyBorder="1"/>
    <xf numFmtId="168" fontId="2" fillId="0" borderId="9" xfId="2" applyNumberFormat="1" applyFont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ELK/2012%20Rate%20Application/Filed%20Models%20-%20September%2019,%202012/Smart%20Meter%20Breakdown%20Residential%20versus%20general%20service%20and%20costs%20for%20Bru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ELK/2012%20Rate%20Application/Filed%20Models%20-%20September%2019,%202012/ELK_2012_smart_meter_modelV4%20FINAL%20FIN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ELK/2012%20Rate%20Application/Filed%20Models%20-%20September%2019,%202012/ELK%20Energy%202012%20Load%20Forecast%20May%2023,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3">
          <cell r="O13">
            <v>77.134545248065464</v>
          </cell>
          <cell r="P13">
            <v>150.76510364070387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Utility_Info"/>
      <sheetName val="2. Smart_Meter_Costs"/>
      <sheetName val="3. Cost_of_Service_Parameters"/>
      <sheetName val="4. SM_Assets_and_Rate_Base"/>
      <sheetName val="5. SM_Rev_Reqt"/>
      <sheetName val="6. UCC_Calculation"/>
      <sheetName val="7_Taxes_PILs"/>
      <sheetName val="8. Funding_Adder_Revs"/>
      <sheetName val="8A. Opex_Interest_monthly"/>
      <sheetName val="8B. Opex_Interest_annual"/>
      <sheetName val="9. SMFA_SMDR_SMIRR"/>
      <sheetName val="Sheet1"/>
    </sheetNames>
    <sheetDataSet>
      <sheetData sheetId="0"/>
      <sheetData sheetId="1">
        <row r="25">
          <cell r="U25">
            <v>9834</v>
          </cell>
        </row>
        <row r="27">
          <cell r="U27">
            <v>968</v>
          </cell>
        </row>
      </sheetData>
      <sheetData sheetId="2"/>
      <sheetData sheetId="3"/>
      <sheetData sheetId="4">
        <row r="47">
          <cell r="M47">
            <v>444.65853272250001</v>
          </cell>
          <cell r="O47">
            <v>50348.50631425</v>
          </cell>
          <cell r="Q47">
            <v>108047.06377174999</v>
          </cell>
        </row>
        <row r="50">
          <cell r="O50">
            <v>19135.21</v>
          </cell>
          <cell r="Q50">
            <v>46368.66</v>
          </cell>
        </row>
        <row r="58">
          <cell r="M58">
            <v>382.95533333333333</v>
          </cell>
          <cell r="O58">
            <v>45292.842666666671</v>
          </cell>
          <cell r="Q58">
            <v>99975.245666666669</v>
          </cell>
        </row>
        <row r="68">
          <cell r="M68">
            <v>94.251973315600935</v>
          </cell>
          <cell r="O68">
            <v>4757.441134695533</v>
          </cell>
          <cell r="Q68">
            <v>8898.2061248545397</v>
          </cell>
        </row>
      </sheetData>
      <sheetData sheetId="5"/>
      <sheetData sheetId="6"/>
      <sheetData sheetId="7"/>
      <sheetData sheetId="8"/>
      <sheetData sheetId="9"/>
      <sheetData sheetId="10">
        <row r="32">
          <cell r="U32">
            <v>2290.4885114999997</v>
          </cell>
        </row>
        <row r="40">
          <cell r="U40">
            <v>471572.41000000003</v>
          </cell>
        </row>
        <row r="42">
          <cell r="U42">
            <v>14168.36</v>
          </cell>
        </row>
      </sheetData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Exibit 3 Tables"/>
      <sheetName val="Summary"/>
      <sheetName val="Purchased Power Model "/>
      <sheetName val="Rate Class Energy Model"/>
      <sheetName val="Rate Class Customer Model"/>
      <sheetName val="Rate Class Load Model"/>
      <sheetName val="Weather Analysis"/>
      <sheetName val="CDM Activity"/>
    </sheetNames>
    <sheetDataSet>
      <sheetData sheetId="0" refreshError="1"/>
      <sheetData sheetId="1"/>
      <sheetData sheetId="2">
        <row r="12">
          <cell r="I12">
            <v>10023.425678689409</v>
          </cell>
        </row>
        <row r="16">
          <cell r="I16">
            <v>1214.4801246521154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H31"/>
  <sheetViews>
    <sheetView tabSelected="1" zoomScaleNormal="100" workbookViewId="0">
      <selection activeCell="I9" sqref="I9"/>
    </sheetView>
  </sheetViews>
  <sheetFormatPr defaultRowHeight="14.25" x14ac:dyDescent="0.2"/>
  <cols>
    <col min="1" max="2" width="9.140625" style="4"/>
    <col min="3" max="3" width="5.42578125" style="4" customWidth="1"/>
    <col min="4" max="4" width="45" style="4" customWidth="1"/>
    <col min="5" max="6" width="12.7109375" style="4" bestFit="1" customWidth="1"/>
    <col min="7" max="7" width="12.7109375" style="4" customWidth="1"/>
    <col min="8" max="8" width="14.28515625" style="4" bestFit="1" customWidth="1"/>
    <col min="9" max="9" width="13.42578125" style="4" customWidth="1"/>
    <col min="10" max="10" width="15.85546875" style="4" customWidth="1"/>
    <col min="11" max="11" width="16.85546875" style="4" customWidth="1"/>
    <col min="12" max="16384" width="9.140625" style="4"/>
  </cols>
  <sheetData>
    <row r="1" spans="4:8" ht="15" thickBot="1" x14ac:dyDescent="0.25"/>
    <row r="2" spans="4:8" ht="15" x14ac:dyDescent="0.25">
      <c r="D2" s="34" t="s">
        <v>10</v>
      </c>
      <c r="E2" s="35"/>
      <c r="F2" s="35"/>
      <c r="G2" s="35"/>
    </row>
    <row r="3" spans="4:8" ht="15.75" thickBot="1" x14ac:dyDescent="0.3">
      <c r="D3" s="36" t="s">
        <v>5</v>
      </c>
      <c r="E3" s="37"/>
      <c r="F3" s="37"/>
      <c r="G3" s="37"/>
    </row>
    <row r="4" spans="4:8" ht="15" x14ac:dyDescent="0.25">
      <c r="D4" s="25"/>
      <c r="E4" s="9" t="s">
        <v>0</v>
      </c>
      <c r="F4" s="9" t="s">
        <v>1</v>
      </c>
      <c r="G4" s="9" t="s">
        <v>2</v>
      </c>
      <c r="H4" s="3"/>
    </row>
    <row r="5" spans="4:8" ht="15" x14ac:dyDescent="0.25">
      <c r="D5" s="26" t="s">
        <v>19</v>
      </c>
      <c r="E5" s="10"/>
      <c r="F5" s="11">
        <f>[1]Sheet1!$O$13</f>
        <v>77.134545248065464</v>
      </c>
      <c r="G5" s="11">
        <f>[1]Sheet1!$P$13</f>
        <v>150.76510364070387</v>
      </c>
    </row>
    <row r="6" spans="4:8" ht="15" x14ac:dyDescent="0.25">
      <c r="D6" s="27" t="s">
        <v>18</v>
      </c>
      <c r="E6" s="12">
        <f>SUM(F6:G6)</f>
        <v>10802</v>
      </c>
      <c r="F6" s="15">
        <f>'[2]2. Smart_Meter_Costs'!$U$25</f>
        <v>9834</v>
      </c>
      <c r="G6" s="15">
        <f>'[2]2. Smart_Meter_Costs'!$U$27</f>
        <v>968</v>
      </c>
    </row>
    <row r="7" spans="4:8" ht="15" x14ac:dyDescent="0.25">
      <c r="D7" s="27" t="s">
        <v>14</v>
      </c>
      <c r="E7" s="13">
        <f>SUM(F7:G7)</f>
        <v>904481.7382936771</v>
      </c>
      <c r="F7" s="13">
        <f>F5*F6</f>
        <v>758541.1179694758</v>
      </c>
      <c r="G7" s="13">
        <f>G5*G6</f>
        <v>145940.62032420136</v>
      </c>
      <c r="H7" s="5"/>
    </row>
    <row r="8" spans="4:8" ht="15" x14ac:dyDescent="0.25">
      <c r="D8" s="27" t="s">
        <v>12</v>
      </c>
      <c r="E8" s="14">
        <f>SUM(F8:G8)</f>
        <v>1</v>
      </c>
      <c r="F8" s="14">
        <f>F7/$E$7</f>
        <v>0.83864724499632115</v>
      </c>
      <c r="G8" s="14">
        <f>G7/$E$7</f>
        <v>0.16135275500367896</v>
      </c>
      <c r="H8" s="5"/>
    </row>
    <row r="9" spans="4:8" ht="15" x14ac:dyDescent="0.25">
      <c r="D9" s="27" t="s">
        <v>13</v>
      </c>
      <c r="E9" s="14">
        <f>SUM(F9:G9)</f>
        <v>1</v>
      </c>
      <c r="F9" s="14">
        <f>F6/$E$6</f>
        <v>0.9103869653767821</v>
      </c>
      <c r="G9" s="14">
        <f>G6/$E$6</f>
        <v>8.9613034623217916E-2</v>
      </c>
      <c r="H9" s="6"/>
    </row>
    <row r="10" spans="4:8" ht="15" x14ac:dyDescent="0.25">
      <c r="D10" s="28"/>
      <c r="E10" s="16"/>
      <c r="F10" s="16"/>
      <c r="G10" s="16"/>
    </row>
    <row r="11" spans="4:8" ht="30" x14ac:dyDescent="0.25">
      <c r="D11" s="26" t="s">
        <v>15</v>
      </c>
      <c r="E11" s="13">
        <f>SUM('[2]5. SM_Rev_Reqt'!$M$47:$Q$47)</f>
        <v>158840.2286187225</v>
      </c>
      <c r="F11" s="13">
        <f>$E$11*F8</f>
        <v>133210.92012567742</v>
      </c>
      <c r="G11" s="13">
        <f>$E$11*G8</f>
        <v>25629.308493045086</v>
      </c>
      <c r="H11" s="7"/>
    </row>
    <row r="12" spans="4:8" ht="15" x14ac:dyDescent="0.25">
      <c r="D12" s="28" t="s">
        <v>6</v>
      </c>
      <c r="E12" s="13">
        <f>SUM('[2]5. SM_Rev_Reqt'!$M$58:$Q$58)</f>
        <v>145651.04366666666</v>
      </c>
      <c r="F12" s="13">
        <f>E12*F8</f>
        <v>122149.84650188887</v>
      </c>
      <c r="G12" s="13">
        <f>E12*G8</f>
        <v>23501.197164777812</v>
      </c>
      <c r="H12" s="7"/>
    </row>
    <row r="13" spans="4:8" ht="15" x14ac:dyDescent="0.25">
      <c r="D13" s="28" t="s">
        <v>7</v>
      </c>
      <c r="E13" s="13">
        <f>SUM('[2]5. SM_Rev_Reqt'!$N$50:$Q$50)</f>
        <v>65503.87</v>
      </c>
      <c r="F13" s="13">
        <f>E13*F9</f>
        <v>59633.869429735241</v>
      </c>
      <c r="G13" s="13">
        <f>E13*G9</f>
        <v>5870.0005702647659</v>
      </c>
      <c r="H13" s="7"/>
    </row>
    <row r="14" spans="4:8" ht="15" x14ac:dyDescent="0.25">
      <c r="D14" s="28" t="s">
        <v>11</v>
      </c>
      <c r="E14" s="17">
        <f>SUM(E11:E13)</f>
        <v>369995.14228538913</v>
      </c>
      <c r="F14" s="17">
        <f>SUM(F11:F13)</f>
        <v>314994.63605730154</v>
      </c>
      <c r="G14" s="17">
        <f>SUM(G11:G13)</f>
        <v>55000.506228087666</v>
      </c>
      <c r="H14" s="7"/>
    </row>
    <row r="15" spans="4:8" ht="15" x14ac:dyDescent="0.25">
      <c r="D15" s="28" t="s">
        <v>8</v>
      </c>
      <c r="E15" s="13">
        <f>SUM('[2]5. SM_Rev_Reqt'!$M$68:$Q$68)</f>
        <v>13749.899232865673</v>
      </c>
      <c r="F15" s="17">
        <f>F14/E14*E15</f>
        <v>11705.949645523566</v>
      </c>
      <c r="G15" s="17">
        <f>G14/E14*E15</f>
        <v>2043.9495873421097</v>
      </c>
      <c r="H15" s="7"/>
    </row>
    <row r="16" spans="4:8" ht="15.75" thickBot="1" x14ac:dyDescent="0.3">
      <c r="D16" s="28" t="s">
        <v>20</v>
      </c>
      <c r="E16" s="32">
        <f>'[2]9. SMFA_SMDR_SMIRR'!$U$32</f>
        <v>2290.4885114999997</v>
      </c>
      <c r="F16" s="32">
        <f>(F12+F13)/(E12+E13)*E16</f>
        <v>1971.8864490951889</v>
      </c>
      <c r="G16" s="32">
        <f>E16-F16</f>
        <v>318.60206240481079</v>
      </c>
      <c r="H16" s="7"/>
    </row>
    <row r="17" spans="4:8" ht="16.5" thickTop="1" thickBot="1" x14ac:dyDescent="0.3">
      <c r="D17" s="29" t="s">
        <v>16</v>
      </c>
      <c r="E17" s="18">
        <f>SUM(E14:E16)</f>
        <v>386035.53002975479</v>
      </c>
      <c r="F17" s="18">
        <f>SUM(F14:F16)</f>
        <v>328672.47215192032</v>
      </c>
      <c r="G17" s="18">
        <f>SUM(G14:G16)</f>
        <v>57363.057877834588</v>
      </c>
      <c r="H17" s="7"/>
    </row>
    <row r="18" spans="4:8" ht="15.75" thickTop="1" x14ac:dyDescent="0.25">
      <c r="D18" s="28"/>
      <c r="E18" s="14"/>
      <c r="F18" s="19"/>
      <c r="G18" s="19"/>
      <c r="H18" s="7"/>
    </row>
    <row r="19" spans="4:8" ht="15" x14ac:dyDescent="0.25">
      <c r="D19" s="28"/>
      <c r="E19" s="30"/>
      <c r="F19" s="30"/>
      <c r="G19" s="30"/>
      <c r="H19" s="8"/>
    </row>
    <row r="20" spans="4:8" ht="15" x14ac:dyDescent="0.25">
      <c r="D20" s="28" t="s">
        <v>9</v>
      </c>
      <c r="E20" s="20">
        <f>-'[2]9. SMFA_SMDR_SMIRR'!$U$40</f>
        <v>-471572.41000000003</v>
      </c>
      <c r="F20" s="20">
        <f>E20*$F$9</f>
        <v>-429313.37529531569</v>
      </c>
      <c r="G20" s="20">
        <f>E20*$G$9</f>
        <v>-42259.034704684316</v>
      </c>
      <c r="H20" s="7"/>
    </row>
    <row r="21" spans="4:8" ht="15" x14ac:dyDescent="0.25">
      <c r="D21" s="28" t="s">
        <v>17</v>
      </c>
      <c r="E21" s="21">
        <f>-'[2]9. SMFA_SMDR_SMIRR'!$U$42</f>
        <v>-14168.36</v>
      </c>
      <c r="F21" s="20">
        <f>E21*$F$9</f>
        <v>-12898.690264765784</v>
      </c>
      <c r="G21" s="20">
        <f>E21*$G$9</f>
        <v>-1269.6697352342158</v>
      </c>
      <c r="H21" s="7"/>
    </row>
    <row r="22" spans="4:8" ht="15" x14ac:dyDescent="0.25">
      <c r="D22" s="28" t="s">
        <v>3</v>
      </c>
      <c r="E22" s="21">
        <f>E17+E20+E21</f>
        <v>-99705.239970245239</v>
      </c>
      <c r="F22" s="20">
        <f>F17+F20+F21</f>
        <v>-113539.59340816116</v>
      </c>
      <c r="G22" s="20">
        <f>G17+G20+G21</f>
        <v>13834.353437916056</v>
      </c>
      <c r="H22" s="7"/>
    </row>
    <row r="23" spans="4:8" ht="15" x14ac:dyDescent="0.25">
      <c r="D23" s="28"/>
      <c r="E23" s="22"/>
      <c r="F23" s="22"/>
      <c r="G23" s="22"/>
      <c r="H23" s="7"/>
    </row>
    <row r="24" spans="4:8" ht="15" x14ac:dyDescent="0.25">
      <c r="D24" s="28" t="s">
        <v>4</v>
      </c>
      <c r="E24" s="12">
        <f>SUM(F24:G24)</f>
        <v>11237.905803341524</v>
      </c>
      <c r="F24" s="23">
        <f>[3]Summary!$I$12</f>
        <v>10023.425678689409</v>
      </c>
      <c r="G24" s="23">
        <f>[3]Summary!$I$16</f>
        <v>1214.4801246521154</v>
      </c>
      <c r="H24" s="7"/>
    </row>
    <row r="25" spans="4:8" ht="15.75" thickBot="1" x14ac:dyDescent="0.3">
      <c r="D25" s="28"/>
      <c r="E25" s="24"/>
      <c r="F25" s="24"/>
      <c r="G25" s="24"/>
      <c r="H25" s="7"/>
    </row>
    <row r="26" spans="4:8" ht="16.5" thickTop="1" thickBot="1" x14ac:dyDescent="0.3">
      <c r="D26" s="31" t="s">
        <v>21</v>
      </c>
      <c r="E26" s="33">
        <f>E22/E24/12</f>
        <v>-0.73935216604590803</v>
      </c>
      <c r="F26" s="33">
        <f>F22/F24/12</f>
        <v>-0.94395200676048363</v>
      </c>
      <c r="G26" s="33">
        <f>G22/G24/12</f>
        <v>0.94926443265034022</v>
      </c>
      <c r="H26" s="7"/>
    </row>
    <row r="27" spans="4:8" ht="15" x14ac:dyDescent="0.25">
      <c r="D27" s="1"/>
      <c r="E27" s="2"/>
      <c r="F27" s="2"/>
      <c r="G27" s="2"/>
    </row>
    <row r="31" spans="4:8" x14ac:dyDescent="0.2">
      <c r="F31" s="7"/>
      <c r="G31" s="7"/>
    </row>
  </sheetData>
  <mergeCells count="2">
    <mergeCell ref="D2:G2"/>
    <mergeCell ref="D3:G3"/>
  </mergeCells>
  <phoneticPr fontId="3" type="noConversion"/>
  <pageMargins left="0.19" right="0.2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SMDR</vt:lpstr>
      <vt:lpstr>SMDR!Print_Area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Kelly</dc:creator>
  <cp:lastModifiedBy>Bacon, Bruce</cp:lastModifiedBy>
  <cp:lastPrinted>2011-12-12T15:51:19Z</cp:lastPrinted>
  <dcterms:created xsi:type="dcterms:W3CDTF">2011-11-17T20:53:16Z</dcterms:created>
  <dcterms:modified xsi:type="dcterms:W3CDTF">2012-10-05T16:31:47Z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