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12" windowHeight="8268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<sst xmlns="http://schemas.openxmlformats.org/spreadsheetml/2006/main" count="839" uniqueCount="492">
  <si>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</si>
  <si>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</si>
  <si>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</si>
  <si>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</si>
  <si>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</si>
  <si>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</si>
  <si>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</si>
  <si>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</si>
  <si>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</si>
  <si>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</si>
  <si>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</si>
  <si>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</si>
  <si>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</si>
  <si>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</si>
  <si>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</si>
  <si>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</si>
  <si>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</si>
  <si>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</si>
  <si>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</si>
  <si>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</si>
  <si>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</si>
  <si>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</si>
  <si>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</si>
  <si>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</si>
  <si>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</si>
  <si>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</si>
  <si>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</si>
  <si>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</si>
  <si>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</si>
  <si>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</si>
  <si>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</si>
  <si>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</si>
  <si>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</si>
  <si>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</si>
  <si>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</si>
  <si>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</si>
  <si>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</si>
  <si>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</si>
  <si>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</si>
  <si>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</si>
  <si>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</si>
  <si>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</si>
  <si>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</si>
  <si>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</si>
  <si>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</si>
  <si>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</si>
  <si>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</si>
  <si>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</si>
  <si>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</si>
  <si>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</si>
  <si>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</si>
  <si>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</si>
  <si>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</si>
  <si>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</si>
  <si>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</si>
  <si>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</si>
  <si>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</si>
  <si>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</si>
  <si>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</si>
  <si>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</si>
  <si>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</si>
  <si>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</si>
  <si>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</si>
  <si>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</si>
  <si>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</si>
  <si>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</si>
  <si>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</si>
  <si>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</si>
  <si>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</si>
  <si>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</si>
  <si>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</si>
  <si>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</si>
  <si>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</si>
  <si>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</si>
  <si>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</si>
  <si>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</si>
  <si>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</si>
  <si>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</si>
  <si>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</si>
  <si>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</si>
  <si>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</si>
  <si>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</si>
  <si>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</si>
  <si>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</si>
  <si>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</si>
  <si>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</si>
  <si>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</si>
  <si>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</si>
  <si>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</si>
  <si>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</si>
  <si>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</si>
  <si>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</si>
  <si>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</si>
  <si>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</si>
  <si>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</si>
  <si>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</si>
  <si>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</si>
  <si>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</si>
  <si>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</si>
  <si>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</si>
  <si>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</si>
  <si>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</si>
  <si>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</si>
  <si>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</si>
  <si>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</si>
  <si>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</si>
  <si>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</si>
  <si>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</si>
  <si>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</si>
  <si>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</si>
  <si>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</si>
  <si>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</si>
  <si>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</si>
  <si>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</si>
  <si>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</si>
  <si>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</si>
  <si>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</si>
  <si>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</si>
  <si>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</si>
  <si>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</si>
  <si>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</si>
  <si>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</si>
  <si>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</si>
  <si>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</si>
  <si>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</si>
  <si>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</si>
  <si>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</si>
  <si>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</si>
  <si>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</si>
  <si>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</si>
  <si>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</si>
  <si>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</si>
  <si>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</si>
  <si>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</si>
  <si>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</si>
  <si>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</si>
  <si>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</si>
  <si>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</si>
  <si>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</si>
  <si>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</si>
  <si>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</si>
  <si>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</si>
  <si>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</si>
  <si>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</si>
  <si>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</si>
  <si>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</si>
  <si>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</si>
  <si>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</si>
  <si>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</si>
  <si>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</si>
  <si>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</si>
  <si>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</si>
  <si>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</si>
  <si>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</si>
  <si>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</si>
  <si>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</si>
  <si>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</si>
  <si>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</si>
  <si>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</si>
  <si>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</si>
  <si>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</si>
  <si>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</si>
  <si>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</si>
  <si>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</si>
  <si>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</si>
  <si>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</si>
  <si>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</si>
  <si>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</si>
  <si>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</si>
  <si>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</si>
  <si>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</si>
  <si>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</si>
  <si>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</si>
  <si>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</si>
  <si>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</si>
  <si>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</si>
  <si>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</si>
  <si>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</si>
  <si>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</si>
  <si>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</si>
  <si>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</si>
  <si>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</si>
  <si>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</si>
  <si>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</si>
  <si>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</si>
  <si>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</si>
  <si>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</si>
  <si>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</si>
  <si>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</si>
  <si>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</si>
  <si>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</si>
  <si>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</si>
  <si>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</si>
  <si>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</si>
  <si>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</si>
  <si>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</si>
  <si>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</si>
  <si>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</si>
  <si>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</si>
  <si>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</si>
  <si>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</si>
  <si>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</si>
  <si>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</si>
  <si>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</si>
  <si>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</si>
  <si>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</si>
  <si>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</si>
  <si>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</si>
  <si>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</si>
  <si>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</si>
  <si>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</si>
  <si>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</si>
  <si>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</si>
  <si>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</si>
  <si>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</si>
  <si>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</si>
  <si>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</si>
  <si>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</si>
  <si>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</si>
  <si>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</si>
  <si>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</si>
  <si>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</si>
  <si>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</si>
  <si>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</si>
  <si>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</si>
  <si>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</si>
  <si>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</si>
  <si>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</si>
  <si>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</si>
  <si>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</si>
  <si>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</si>
  <si>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</si>
  <si>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</si>
  <si>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</si>
  <si>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</si>
  <si>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</si>
  <si>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</si>
  <si>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</si>
  <si>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</si>
  <si>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</si>
  <si>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</si>
  <si>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</si>
  <si>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</si>
  <si>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</si>
  <si>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</si>
  <si>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</si>
  <si>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</si>
  <si>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</si>
  <si>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</si>
  <si>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</si>
  <si>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</si>
  <si>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</si>
  <si>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</si>
  <si>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</si>
  <si>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</si>
  <si>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</si>
  <si>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</si>
  <si>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</si>
  <si>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</si>
  <si>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</si>
  <si>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</si>
  <si>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</si>
  <si>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</si>
  <si>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</si>
  <si>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</si>
  <si>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</si>
  <si>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</si>
  <si>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</si>
  <si>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</si>
  <si>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</si>
  <si>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</si>
  <si>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</si>
  <si>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</si>
  <si>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</si>
  <si>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</si>
  <si>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</si>
  <si>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</si>
  <si>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</si>
  <si>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</si>
  <si>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</si>
  <si>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</si>
  <si>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</si>
  <si>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</si>
  <si>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</si>
  <si>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</si>
  <si>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</si>
  <si>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</si>
  <si>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</si>
  <si>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</si>
  <si>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</si>
  <si>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</si>
  <si>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</si>
  <si>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</si>
  <si>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</si>
  <si>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</si>
  <si>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</si>
  <si>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</si>
  <si>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</si>
  <si>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</si>
  <si>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</si>
  <si>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</si>
  <si>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</si>
  <si>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</si>
  <si>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</si>
  <si>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</si>
  <si>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</si>
  <si>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</si>
  <si>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</si>
  <si>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</si>
  <si>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</si>
  <si>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</si>
  <si>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</si>
  <si>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</si>
  <si>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</si>
  <si>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</si>
  <si>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</si>
  <si>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</si>
  <si>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</si>
  <si>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</si>
  <si>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</si>
  <si>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</si>
  <si>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</si>
  <si>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</si>
  <si>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</si>
  <si>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</si>
  <si>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</si>
  <si>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</si>
  <si>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</si>
  <si>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</si>
  <si>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</si>
  <si>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</si>
  <si>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</si>
  <si>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</si>
  <si>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</si>
  <si>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</si>
  <si>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</si>
  <si>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</si>
  <si>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</si>
  <si>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</si>
  <si>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</si>
  <si>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</si>
  <si>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</si>
  <si>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</si>
  <si>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</si>
  <si>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</si>
  <si>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</si>
  <si>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</si>
  <si>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</si>
  <si>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</si>
  <si>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</si>
  <si>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</si>
  <si>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</si>
  <si>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</si>
  <si>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</si>
  <si>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</si>
  <si>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</si>
  <si>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</si>
  <si>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</si>
  <si>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</si>
  <si>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</si>
  <si>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</si>
  <si>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</si>
  <si>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</si>
  <si>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</si>
  <si>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</si>
  <si>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</si>
  <si>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</si>
  <si>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</si>
  <si>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</si>
  <si>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</si>
  <si>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</si>
  <si>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</si>
  <si>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</si>
  <si>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</si>
  <si>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</si>
  <si>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</si>
  <si>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</si>
  <si>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</si>
  <si>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</si>
  <si>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</si>
  <si>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</si>
  <si>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</si>
  <si>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</si>
  <si>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</si>
  <si>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</si>
  <si>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</si>
  <si>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</si>
  <si>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</si>
  <si>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</si>
  <si>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</si>
  <si>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</si>
  <si>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</si>
  <si>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</si>
  <si>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</si>
  <si>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</si>
  <si>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</si>
  <si>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</si>
  <si>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</si>
  <si>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</si>
  <si>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</si>
  <si>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</si>
  <si>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</si>
  <si>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</si>
  <si>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</si>
  <si>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</si>
  <si>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</si>
  <si>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</si>
  <si>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</si>
  <si>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</si>
  <si>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</si>
  <si>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</si>
  <si>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</si>
  <si>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</si>
  <si>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</si>
  <si>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</si>
  <si>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</si>
  <si>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</si>
  <si>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</si>
  <si>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</si>
  <si>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</si>
  <si>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</si>
  <si>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</si>
  <si>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</si>
  <si>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</si>
  <si>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</si>
  <si>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</si>
  <si>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</si>
  <si>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</si>
  <si>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</si>
  <si>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</si>
  <si>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</si>
  <si>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</si>
  <si>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</si>
  <si>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</si>
  <si>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</si>
  <si>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</si>
  <si>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</si>
  <si>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</si>
  <si>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</si>
  <si>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</si>
  <si>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</si>
  <si>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</si>
  <si>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</si>
  <si>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</si>
  <si>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</si>
  <si>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</si>
  <si>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</si>
  <si>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</si>
  <si>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</si>
  <si>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</si>
  <si>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</si>
  <si>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</si>
  <si>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</si>
  <si>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</si>
  <si>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</si>
  <si>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</si>
  <si>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</si>
  <si>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</si>
  <si>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</si>
  <si>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</si>
  <si>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</si>
  <si>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</si>
  <si>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</si>
  <si>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</si>
  <si>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</si>
  <si>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</si>
  <si>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</si>
  <si>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</si>
  <si>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</si>
  <si>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</si>
  <si>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</si>
  <si>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</si>
  <si>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</si>
  <si>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</si>
  <si>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</si>
  <si>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CDM Incremental OM&amp;A per CDM plan</t>
  </si>
  <si>
    <t>Total deemed interest (REGINFO  D62)</t>
  </si>
  <si>
    <t>Interest phased-in  (REGINFO  D70)</t>
  </si>
  <si>
    <t>Total Deemed Interest (REGINFO D62)</t>
  </si>
  <si>
    <t xml:space="preserve">Interest deducted on MoF filing  </t>
  </si>
  <si>
    <t xml:space="preserve">     Rounding adjustment re: depreciation </t>
  </si>
  <si>
    <t>Income Tax Rate used for gross-up</t>
  </si>
  <si>
    <t xml:space="preserve">Income Tax Rate </t>
  </si>
  <si>
    <t xml:space="preserve">    Other</t>
  </si>
  <si>
    <t xml:space="preserve">Employee Future Benefits </t>
  </si>
  <si>
    <t>Ontario Specified Tax Credits</t>
  </si>
  <si>
    <t>OITC/BCITC from prior year</t>
  </si>
  <si>
    <t>Taxable</t>
  </si>
  <si>
    <t xml:space="preserve">Income </t>
  </si>
  <si>
    <t xml:space="preserve">Provincial Capital Taxes </t>
  </si>
  <si>
    <t>Utility Name: Parry Sound Power Corporation</t>
  </si>
  <si>
    <t>Transition Cost writedown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</si>
</sst>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6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3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3" borderId="14" xfId="0" applyNumberFormat="1" applyFill="1" applyBorder="1" applyAlignment="1" applyProtection="1">
      <alignment horizontal="right" vertical="top"/>
      <protection/>
    </xf>
    <xf numFmtId="3" fontId="0" fillId="36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2" applyFont="1" applyAlignment="1" applyProtection="1">
      <alignment vertical="top"/>
      <protection locked="0"/>
    </xf>
    <xf numFmtId="10" fontId="0" fillId="0" borderId="0" xfId="62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right" vertical="top"/>
    </xf>
    <xf numFmtId="37" fontId="62" fillId="0" borderId="0" xfId="0" applyNumberFormat="1" applyFont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0" xfId="0" applyFont="1" applyFill="1" applyAlignment="1">
      <alignment vertical="top"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3" fontId="4" fillId="43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3" fontId="63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6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4" fillId="0" borderId="0" xfId="0" applyFont="1" applyAlignment="1">
      <alignment vertical="top" wrapText="1"/>
    </xf>
    <xf numFmtId="10" fontId="0" fillId="37" borderId="14" xfId="62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75" zoomScaleNormal="75" zoomScalePageLayoutView="0" workbookViewId="0" topLeftCell="A33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488" t="s">
        <v>490</v>
      </c>
      <c r="C3" s="8"/>
      <c r="D3" s="434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3" t="s">
        <v>427</v>
      </c>
      <c r="E4" s="408"/>
      <c r="H4" s="8"/>
    </row>
    <row r="5" spans="1:8" ht="12.75">
      <c r="A5" s="51"/>
      <c r="C5" s="8"/>
      <c r="D5" s="432" t="s">
        <v>428</v>
      </c>
      <c r="E5" s="379"/>
      <c r="H5" s="8"/>
    </row>
    <row r="6" spans="1:8" ht="12.75">
      <c r="A6" s="2" t="s">
        <v>125</v>
      </c>
      <c r="B6" s="369">
        <v>365</v>
      </c>
      <c r="C6" s="8" t="s">
        <v>126</v>
      </c>
      <c r="D6" s="21"/>
      <c r="H6" s="8"/>
    </row>
    <row r="7" spans="1:8" ht="13.5" thickBot="1">
      <c r="A7" s="51" t="s">
        <v>250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6"/>
    </row>
    <row r="18" spans="1:4" ht="15" customHeight="1">
      <c r="A18" s="370" t="s">
        <v>307</v>
      </c>
      <c r="C18" s="8"/>
      <c r="D18" s="8"/>
    </row>
    <row r="19" spans="1:4" ht="15" customHeight="1">
      <c r="A19" s="495" t="s">
        <v>308</v>
      </c>
      <c r="B19" s="8" t="s">
        <v>305</v>
      </c>
      <c r="C19" s="8" t="s">
        <v>63</v>
      </c>
      <c r="D19" s="369"/>
    </row>
    <row r="20" spans="1:4" ht="13.5" thickBot="1">
      <c r="A20" s="496"/>
      <c r="B20" s="8" t="s">
        <v>306</v>
      </c>
      <c r="C20" s="8" t="s">
        <v>63</v>
      </c>
      <c r="D20" s="256"/>
    </row>
    <row r="21" spans="1:4" ht="12.75">
      <c r="A21" s="495" t="s">
        <v>304</v>
      </c>
      <c r="B21" s="8" t="s">
        <v>305</v>
      </c>
      <c r="C21" s="8"/>
      <c r="D21" s="403">
        <v>1</v>
      </c>
    </row>
    <row r="22" spans="1:4" ht="12.75">
      <c r="A22" s="495"/>
      <c r="B22" s="8" t="s">
        <v>306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209</v>
      </c>
      <c r="C24" s="8" t="s">
        <v>210</v>
      </c>
      <c r="D24" s="404" t="s">
        <v>464</v>
      </c>
    </row>
    <row r="25" ht="6.75" customHeight="1" thickBot="1">
      <c r="A25" s="12"/>
    </row>
    <row r="26" spans="1:5" ht="12.75">
      <c r="A26" s="253" t="s">
        <v>66</v>
      </c>
      <c r="C26" s="8"/>
      <c r="E26" s="423" t="s">
        <v>291</v>
      </c>
    </row>
    <row r="27" spans="1:5" ht="12.75">
      <c r="A27" s="254" t="s">
        <v>67</v>
      </c>
      <c r="C27" s="8"/>
      <c r="E27" s="424" t="s">
        <v>292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281</v>
      </c>
      <c r="D31" s="401">
        <v>6561667</v>
      </c>
      <c r="H31" s="5"/>
    </row>
    <row r="32" ht="6" customHeight="1"/>
    <row r="33" spans="1:8" ht="12.75">
      <c r="A33" t="s">
        <v>70</v>
      </c>
      <c r="D33" s="40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2">
        <v>0.0988</v>
      </c>
      <c r="H37" s="41"/>
    </row>
    <row r="38" ht="4.5" customHeight="1">
      <c r="H38" s="34"/>
    </row>
    <row r="39" spans="1:8" ht="12.75">
      <c r="A39" t="s">
        <v>73</v>
      </c>
      <c r="D39" s="402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5">
        <v>21594</v>
      </c>
      <c r="E43" s="368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540412.77855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06">
        <v>180138</v>
      </c>
      <c r="E47" s="368">
        <f aca="true" t="shared" si="0" ref="E47:E53">D47</f>
        <v>180138</v>
      </c>
      <c r="H47" s="40"/>
      <c r="J47" s="5"/>
      <c r="K47" s="5"/>
    </row>
    <row r="48" spans="1:11" ht="12.75">
      <c r="A48" t="s">
        <v>284</v>
      </c>
      <c r="D48" s="406">
        <v>180138</v>
      </c>
      <c r="E48" s="368">
        <f>D48</f>
        <v>180138</v>
      </c>
      <c r="F48" s="22"/>
      <c r="H48" s="40"/>
      <c r="J48" s="5"/>
      <c r="K48" s="5"/>
    </row>
    <row r="49" spans="1:11" ht="12.75">
      <c r="A49" t="s">
        <v>285</v>
      </c>
      <c r="D49" s="407"/>
      <c r="E49" s="368">
        <f>D49</f>
        <v>0</v>
      </c>
      <c r="F49" s="22"/>
      <c r="H49" s="40"/>
      <c r="J49" s="5"/>
      <c r="K49" s="5"/>
    </row>
    <row r="50" spans="1:11" ht="12.75">
      <c r="A50" t="s">
        <v>286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424</v>
      </c>
      <c r="C51" s="470"/>
      <c r="D51" s="408">
        <v>180138</v>
      </c>
      <c r="E51" s="368">
        <f>D51</f>
        <v>180138</v>
      </c>
      <c r="G51" s="3"/>
      <c r="H51" s="40"/>
      <c r="J51" s="5"/>
      <c r="K51" s="5"/>
    </row>
    <row r="52" spans="1:11" ht="12.75">
      <c r="A52" t="s">
        <v>446</v>
      </c>
      <c r="D52" s="408">
        <v>34630</v>
      </c>
      <c r="E52" s="368">
        <f>D52</f>
        <v>34630</v>
      </c>
      <c r="G52" s="468"/>
      <c r="H52" s="40"/>
      <c r="J52" s="5"/>
      <c r="K52" s="5"/>
    </row>
    <row r="53" spans="4:11" ht="12.75">
      <c r="D53" s="408"/>
      <c r="E53" s="368">
        <f t="shared" si="0"/>
        <v>0</v>
      </c>
      <c r="G53" s="3"/>
      <c r="H53" s="40"/>
      <c r="J53" s="5"/>
      <c r="K53" s="5"/>
    </row>
    <row r="54" spans="1:11" ht="12.75">
      <c r="A54" s="2" t="s">
        <v>287</v>
      </c>
      <c r="E54" s="252">
        <f>SUM(E43:E53)</f>
        <v>596638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1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1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1">
        <f>IF(D41&gt;0,(((D43+D47+D48)/D41)*D62),0)</f>
        <v>161620.40280210154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1">
        <f>D62</f>
        <v>237860.42875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zoomScale="90" zoomScaleNormal="90" zoomScalePageLayoutView="0" workbookViewId="0" topLeftCell="B135">
      <selection activeCell="E138" sqref="E13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281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127</v>
      </c>
      <c r="C1" s="203" t="s">
        <v>34</v>
      </c>
      <c r="D1" s="204"/>
      <c r="E1" s="205" t="s">
        <v>23</v>
      </c>
      <c r="F1" s="206" t="s">
        <v>23</v>
      </c>
      <c r="G1" s="207" t="s">
        <v>448</v>
      </c>
      <c r="H1" s="208"/>
    </row>
    <row r="2" spans="1:8" ht="12.75">
      <c r="A2" s="209" t="s">
        <v>447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449</v>
      </c>
      <c r="H2" s="215"/>
    </row>
    <row r="3" spans="1:8" ht="12.75">
      <c r="A3" s="209"/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246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Parry Sound Power Corporation</v>
      </c>
      <c r="B6" s="114"/>
      <c r="D6" s="136"/>
      <c r="E6" s="114"/>
      <c r="G6" s="114"/>
      <c r="H6" s="44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44"/>
    </row>
    <row r="8" spans="2:12" ht="12.75">
      <c r="B8" s="220"/>
      <c r="C8" s="228"/>
      <c r="D8" s="212"/>
      <c r="E8" s="136"/>
      <c r="F8" s="218"/>
      <c r="G8" s="181" t="s">
        <v>86</v>
      </c>
      <c r="H8" s="215"/>
      <c r="J8" s="47" t="s">
        <v>128</v>
      </c>
      <c r="K8" s="47"/>
      <c r="L8" s="47"/>
    </row>
    <row r="9" spans="1:8" ht="12.75">
      <c r="A9" s="209" t="s">
        <v>125</v>
      </c>
      <c r="B9" s="409">
        <f>REGINFO!B6</f>
        <v>365</v>
      </c>
      <c r="C9" s="229" t="s">
        <v>126</v>
      </c>
      <c r="D9" s="212"/>
      <c r="E9" s="136"/>
      <c r="F9" s="218"/>
      <c r="G9" s="181" t="s">
        <v>89</v>
      </c>
      <c r="H9" s="215"/>
    </row>
    <row r="10" spans="1:8" ht="12.75">
      <c r="A10" s="209" t="s">
        <v>250</v>
      </c>
      <c r="B10" s="409">
        <f>REGINFO!B7</f>
        <v>365</v>
      </c>
      <c r="C10" s="229" t="s">
        <v>126</v>
      </c>
      <c r="D10" s="212"/>
      <c r="E10" s="230"/>
      <c r="F10" s="218"/>
      <c r="G10" s="231" t="s">
        <v>87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332</v>
      </c>
      <c r="B16" s="124">
        <v>1</v>
      </c>
      <c r="C16" s="257">
        <f>REGINFO!E54</f>
        <v>596638</v>
      </c>
      <c r="D16" s="17"/>
      <c r="E16" s="265">
        <f>G16-C16</f>
        <v>-376935</v>
      </c>
      <c r="F16" s="3"/>
      <c r="G16" s="265">
        <f>TAXREC!E50</f>
        <v>219703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205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408012</v>
      </c>
      <c r="D20" s="18"/>
      <c r="E20" s="265">
        <f>G20-C20</f>
        <v>-27065</v>
      </c>
      <c r="F20" s="6"/>
      <c r="G20" s="265">
        <f>TAXREC!E61</f>
        <v>380947</v>
      </c>
      <c r="H20" s="150"/>
    </row>
    <row r="21" spans="1:8" ht="12.75">
      <c r="A21" s="157" t="s">
        <v>55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258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257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259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4"/>
      <c r="F25" s="33"/>
      <c r="G25" s="184"/>
      <c r="H25" s="150"/>
    </row>
    <row r="26" spans="1:8" ht="12.75">
      <c r="A26" s="157" t="s">
        <v>154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157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156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155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59" t="s">
        <v>380</v>
      </c>
      <c r="B30" s="126"/>
      <c r="C30" s="257"/>
      <c r="D30" s="18"/>
      <c r="E30" s="265">
        <f>G30-C30</f>
        <v>7168</v>
      </c>
      <c r="F30" s="6"/>
      <c r="G30" s="265">
        <f>TAXREC!E66</f>
        <v>7168</v>
      </c>
      <c r="H30" s="150"/>
    </row>
    <row r="31" spans="1:8" ht="12.75">
      <c r="A31" s="157"/>
      <c r="B31" s="126"/>
      <c r="C31" s="104"/>
      <c r="D31" s="18">
        <v>28259071</v>
      </c>
      <c r="E31" s="138"/>
      <c r="F31" s="6"/>
      <c r="G31" s="138"/>
      <c r="H31" s="150"/>
    </row>
    <row r="32" spans="1:8" ht="12.75">
      <c r="A32" s="155" t="s">
        <v>333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9">
        <v>291119</v>
      </c>
      <c r="D33" s="131"/>
      <c r="E33" s="265">
        <f aca="true" t="shared" si="0" ref="E33:E42">G33-C33</f>
        <v>-30801</v>
      </c>
      <c r="F33" s="6"/>
      <c r="G33" s="265">
        <f>TAXREC!E97+TAXREC!E98</f>
        <v>260318</v>
      </c>
      <c r="H33" s="150"/>
    </row>
    <row r="34" spans="1:8" ht="12.75">
      <c r="A34" s="157" t="s">
        <v>56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260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REGINFO!D70</f>
        <v>237860.42875</v>
      </c>
      <c r="D37" s="131"/>
      <c r="E37" s="265">
        <f t="shared" si="0"/>
        <v>-237860.42875</v>
      </c>
      <c r="F37" s="6"/>
      <c r="G37" s="265">
        <f>TAXREC!E51</f>
        <v>0</v>
      </c>
      <c r="H37" s="150"/>
    </row>
    <row r="38" spans="1:8" ht="12.75">
      <c r="A38" s="154" t="s">
        <v>256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255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182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475</v>
      </c>
      <c r="B45" s="126">
        <v>12</v>
      </c>
      <c r="C45" s="259">
        <v>60000</v>
      </c>
      <c r="D45" s="131"/>
      <c r="E45" s="265">
        <f>G45-C45</f>
        <v>-60000</v>
      </c>
      <c r="F45" s="6"/>
      <c r="G45" s="249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152</v>
      </c>
      <c r="B47" s="126">
        <v>12</v>
      </c>
      <c r="C47" s="259"/>
      <c r="D47" s="131">
        <v>675060</v>
      </c>
      <c r="E47" s="265">
        <f>G47-C47</f>
        <v>0</v>
      </c>
      <c r="F47" s="6"/>
      <c r="G47" s="249">
        <f>TAXREC!E111</f>
        <v>0</v>
      </c>
      <c r="H47" s="150"/>
    </row>
    <row r="48" spans="1:8" ht="15">
      <c r="A48" s="459" t="s">
        <v>380</v>
      </c>
      <c r="B48" s="126"/>
      <c r="C48" s="257"/>
      <c r="D48" s="131">
        <v>1163553</v>
      </c>
      <c r="E48" s="265">
        <f>G48-C48</f>
        <v>0</v>
      </c>
      <c r="F48" s="6"/>
      <c r="G48" s="249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320</v>
      </c>
      <c r="B50" s="124"/>
      <c r="C50" s="261">
        <f>C16+SUM(C20:C30)-SUM(C33:C48)</f>
        <v>415670.57125000004</v>
      </c>
      <c r="D50" s="101"/>
      <c r="E50" s="261">
        <f>E16+SUM(E20:E30)-SUM(E33:E48)</f>
        <v>-68170.57125000004</v>
      </c>
      <c r="F50" s="411" t="s">
        <v>355</v>
      </c>
      <c r="G50" s="261">
        <f>G16+SUM(G20:G30)-SUM(G33:G48)</f>
        <v>347500</v>
      </c>
      <c r="H50" s="159"/>
    </row>
    <row r="51" spans="1:9" ht="12.75">
      <c r="A51" s="158"/>
      <c r="B51" s="124"/>
      <c r="C51" s="106"/>
      <c r="D51" s="131">
        <v>581776</v>
      </c>
      <c r="E51" s="106">
        <f>D51</f>
        <v>581776</v>
      </c>
      <c r="F51" s="6"/>
      <c r="G51" s="106"/>
      <c r="H51" s="150"/>
      <c r="I51" s="115"/>
    </row>
    <row r="52" spans="1:8" ht="12.75">
      <c r="A52" s="157" t="s">
        <v>328</v>
      </c>
      <c r="B52" s="126"/>
      <c r="C52" s="107"/>
      <c r="D52" s="131">
        <v>101113</v>
      </c>
      <c r="E52" s="138">
        <f>D52</f>
        <v>101113</v>
      </c>
      <c r="F52" s="6"/>
      <c r="G52" s="138"/>
      <c r="H52" s="150"/>
    </row>
    <row r="53" spans="1:9" ht="12.75">
      <c r="A53" s="157" t="s">
        <v>331</v>
      </c>
      <c r="B53" s="126">
        <v>13</v>
      </c>
      <c r="C53" s="260">
        <f>'Tax Rates'!E16</f>
        <v>0.275</v>
      </c>
      <c r="D53" s="101"/>
      <c r="E53" s="266">
        <f>+G53-C53</f>
        <v>-0.275</v>
      </c>
      <c r="F53" s="113"/>
      <c r="G53" s="451">
        <f>+'Tax Rates'!F52</f>
        <v>0</v>
      </c>
      <c r="H53" s="150"/>
      <c r="I53" s="448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114309.40709375002</v>
      </c>
      <c r="D55" s="101"/>
      <c r="E55" s="265">
        <f>G55-C55</f>
        <v>-84587.40709375002</v>
      </c>
      <c r="F55" s="411" t="s">
        <v>356</v>
      </c>
      <c r="G55" s="262">
        <f>TAXREC!E144</f>
        <v>29722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11" t="s">
        <v>356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114309.40709375002</v>
      </c>
      <c r="D60" s="132"/>
      <c r="E60" s="267">
        <f>+E55-E58</f>
        <v>-84587.40709375002</v>
      </c>
      <c r="F60" s="411" t="s">
        <v>356</v>
      </c>
      <c r="G60" s="267">
        <f>+G55-G58</f>
        <v>29722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6561667</v>
      </c>
      <c r="D66" s="101"/>
      <c r="E66" s="265">
        <f>G66-C66</f>
        <v>-65328</v>
      </c>
      <c r="F66" s="6"/>
      <c r="G66" s="453">
        <v>6496339</v>
      </c>
      <c r="H66" s="150"/>
      <c r="I66" s="454" t="s">
        <v>454</v>
      </c>
    </row>
    <row r="67" spans="1:10" ht="12.75">
      <c r="A67" s="151" t="s">
        <v>348</v>
      </c>
      <c r="B67" s="124">
        <v>16</v>
      </c>
      <c r="C67" s="258">
        <f>IF(C66&gt;0,'Tax Rates'!C21,0)</f>
        <v>7500000</v>
      </c>
      <c r="D67" s="101"/>
      <c r="E67" s="265">
        <f>G67-C67</f>
        <v>-1958557</v>
      </c>
      <c r="F67" s="6"/>
      <c r="G67" s="265">
        <v>5541443</v>
      </c>
      <c r="H67" s="150"/>
      <c r="I67" s="454" t="s">
        <v>454</v>
      </c>
      <c r="J67" s="476"/>
    </row>
    <row r="68" spans="1:8" ht="12.75">
      <c r="A68" s="151" t="s">
        <v>42</v>
      </c>
      <c r="B68" s="124"/>
      <c r="C68" s="262">
        <f>IF((C66-C67)&gt;0,C66-C67,0)</f>
        <v>0</v>
      </c>
      <c r="D68" s="101"/>
      <c r="E68" s="265">
        <f>SUM(E66:E67)</f>
        <v>-2023885</v>
      </c>
      <c r="F68" s="113"/>
      <c r="G68" s="262">
        <f>G66-G67</f>
        <v>954896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349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f>'Tax Rates'!C36</f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309</v>
      </c>
      <c r="B72" s="124"/>
      <c r="C72" s="262">
        <f>IF(C68&gt;0,C68*C70,0)*REGINFO!$B$6/REGINFO!$B$7</f>
        <v>0</v>
      </c>
      <c r="D72" s="100"/>
      <c r="E72" s="265">
        <f>+G72-C72</f>
        <v>2864.688</v>
      </c>
      <c r="F72" s="455"/>
      <c r="G72" s="262">
        <f>IF(G68&gt;0,G68*G70,0)*REGINFO!$B$6/REGINFO!$B$7</f>
        <v>2864.688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215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6561667</v>
      </c>
      <c r="D75" s="101"/>
      <c r="E75" s="265">
        <f>+G75-C75</f>
        <v>-6561667</v>
      </c>
      <c r="F75" s="6"/>
      <c r="G75" s="453"/>
      <c r="H75" s="150"/>
      <c r="I75" s="454"/>
    </row>
    <row r="76" spans="1:9" ht="12.75">
      <c r="A76" s="151" t="s">
        <v>348</v>
      </c>
      <c r="B76" s="124">
        <v>19</v>
      </c>
      <c r="C76" s="258">
        <f>IF(C75&gt;0,'Tax Rates'!C22,0)</f>
        <v>50000000</v>
      </c>
      <c r="D76" s="18"/>
      <c r="E76" s="265">
        <f>+G76-C76</f>
        <v>-50000000</v>
      </c>
      <c r="F76" s="6"/>
      <c r="G76" s="265"/>
      <c r="H76" s="150"/>
      <c r="I76" s="454"/>
    </row>
    <row r="77" spans="1:8" ht="12.75">
      <c r="A77" s="151" t="s">
        <v>42</v>
      </c>
      <c r="B77" s="124"/>
      <c r="C77" s="262">
        <f>IF((C75-C76)&gt;0,C75-C76,0)</f>
        <v>0</v>
      </c>
      <c r="D77" s="19"/>
      <c r="E77" s="265">
        <f>SUM(E75:E76)</f>
        <v>-56561667</v>
      </c>
      <c r="F77" s="113"/>
      <c r="G77" s="262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349</v>
      </c>
      <c r="B79" s="124">
        <v>20</v>
      </c>
      <c r="C79" s="299">
        <f>'Tax Rates'!C19</f>
        <v>0.00175</v>
      </c>
      <c r="D79" s="101"/>
      <c r="E79" s="266">
        <f>G79-C79</f>
        <v>0</v>
      </c>
      <c r="F79" s="6"/>
      <c r="G79" s="266">
        <f>'Tax Rates'!C37</f>
        <v>0.00175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310</v>
      </c>
      <c r="B81" s="124"/>
      <c r="C81" s="262">
        <f>IF(C77&gt;0,C77*C79,0)*REGINFO!$B$6/REGINFO!$B$7</f>
        <v>0</v>
      </c>
      <c r="D81" s="101"/>
      <c r="E81" s="265">
        <f>+G81-C81</f>
        <v>0</v>
      </c>
      <c r="F81" s="6"/>
      <c r="G81" s="262">
        <f>G77*G79*B9/B10</f>
        <v>0</v>
      </c>
      <c r="H81" s="150"/>
    </row>
    <row r="82" spans="1:8" ht="12.75">
      <c r="A82" s="151" t="s">
        <v>311</v>
      </c>
      <c r="B82" s="124">
        <v>21</v>
      </c>
      <c r="C82" s="298">
        <f>IF(C77&gt;0,IF(C60&gt;0,C50*'Tax Rates'!C20,0),0)</f>
        <v>0</v>
      </c>
      <c r="D82" s="101"/>
      <c r="E82" s="265">
        <f>+G82-C82</f>
        <v>1915.8272</v>
      </c>
      <c r="F82" s="6"/>
      <c r="G82" s="298">
        <f>'Tax Rates'!C38*TAXREC!C139</f>
        <v>1915.8272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v>0</v>
      </c>
      <c r="D84" s="16"/>
      <c r="E84" s="265">
        <f>E81-E82</f>
        <v>-1915.8272</v>
      </c>
      <c r="F84" s="102"/>
      <c r="G84" s="262"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223</v>
      </c>
      <c r="B88" s="124"/>
      <c r="C88" s="260">
        <f>'Tax Rates'!E16</f>
        <v>0.275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357</v>
      </c>
      <c r="B90" s="126">
        <v>22</v>
      </c>
      <c r="C90" s="262">
        <f>C60/(1-C88)</f>
        <v>157668.1477155173</v>
      </c>
      <c r="D90" s="20"/>
      <c r="E90" s="138"/>
      <c r="F90" s="410" t="s">
        <v>473</v>
      </c>
      <c r="G90" s="268">
        <f>TAXREC!E156</f>
        <v>29722</v>
      </c>
      <c r="H90" s="150"/>
    </row>
    <row r="91" spans="1:8" ht="12.75">
      <c r="A91" s="157" t="s">
        <v>358</v>
      </c>
      <c r="B91" s="126">
        <v>23</v>
      </c>
      <c r="C91" s="262">
        <f>C84/(1-C88)</f>
        <v>0</v>
      </c>
      <c r="D91" s="20"/>
      <c r="E91" s="138"/>
      <c r="F91" s="410" t="s">
        <v>473</v>
      </c>
      <c r="G91" s="268">
        <f>TAXREC!E158</f>
        <v>0</v>
      </c>
      <c r="H91" s="150"/>
    </row>
    <row r="92" spans="1:8" ht="12.75">
      <c r="A92" s="157" t="s">
        <v>339</v>
      </c>
      <c r="B92" s="126">
        <v>24</v>
      </c>
      <c r="C92" s="262">
        <f>C72</f>
        <v>0</v>
      </c>
      <c r="D92" s="20"/>
      <c r="E92" s="138"/>
      <c r="F92" s="410" t="s">
        <v>473</v>
      </c>
      <c r="G92" s="268">
        <f>TAXREC!E157</f>
        <v>2865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7">
        <f>SUM(C90:C93)</f>
        <v>157668.1477155173</v>
      </c>
      <c r="D95" s="6"/>
      <c r="E95" s="138"/>
      <c r="F95" s="410" t="s">
        <v>473</v>
      </c>
      <c r="G95" s="393">
        <f>SUM(G90:G94)</f>
        <v>32587</v>
      </c>
      <c r="H95" s="163"/>
    </row>
    <row r="96" spans="1:8" ht="12.75">
      <c r="A96" s="384" t="s">
        <v>300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298</v>
      </c>
      <c r="B99" s="122"/>
      <c r="C99" s="111"/>
      <c r="D99" s="3"/>
      <c r="E99" s="111"/>
      <c r="F99" s="3"/>
      <c r="G99" s="198"/>
      <c r="H99" s="163"/>
    </row>
    <row r="100" spans="1:8" ht="13.5">
      <c r="A100" s="165" t="s">
        <v>243</v>
      </c>
      <c r="B100" s="122"/>
      <c r="C100" s="111"/>
      <c r="D100" s="3"/>
      <c r="E100" s="142" t="s">
        <v>245</v>
      </c>
      <c r="F100" s="37"/>
      <c r="G100" s="198"/>
      <c r="H100" s="163"/>
    </row>
    <row r="101" spans="1:8" ht="12.75">
      <c r="A101" s="155" t="s">
        <v>337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55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99</v>
      </c>
      <c r="B104" s="126">
        <v>4</v>
      </c>
      <c r="C104" s="111"/>
      <c r="D104" s="3"/>
      <c r="E104" s="249">
        <f>E23</f>
        <v>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0</v>
      </c>
      <c r="F105" s="37"/>
      <c r="G105" s="199"/>
      <c r="H105" s="163"/>
    </row>
    <row r="106" spans="1:8" ht="12.75">
      <c r="A106" s="157" t="s">
        <v>351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352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350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56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459</v>
      </c>
      <c r="B112" s="126">
        <v>11</v>
      </c>
      <c r="C112" s="111"/>
      <c r="D112" s="3"/>
      <c r="E112" s="450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100</v>
      </c>
      <c r="B114" s="124">
        <v>4</v>
      </c>
      <c r="C114" s="111"/>
      <c r="D114" s="3"/>
      <c r="E114" s="249">
        <f>E39</f>
        <v>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353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8" ht="12.75">
      <c r="A118" s="157" t="s">
        <v>354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9" ht="12.75">
      <c r="A120" s="151" t="s">
        <v>217</v>
      </c>
      <c r="B120" s="126">
        <v>26</v>
      </c>
      <c r="C120" s="111"/>
      <c r="D120" s="116" t="s">
        <v>187</v>
      </c>
      <c r="E120" s="262">
        <f>SUM(E102:E107)-SUM(E109:E118)</f>
        <v>0</v>
      </c>
      <c r="F120" s="37"/>
      <c r="G120" s="199"/>
      <c r="H120" s="163"/>
      <c r="I120" s="486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478" t="s">
        <v>482</v>
      </c>
      <c r="B122" s="126"/>
      <c r="C122" s="111"/>
      <c r="D122" s="3" t="s">
        <v>227</v>
      </c>
      <c r="E122" s="494">
        <f>'Tax Rates'!F34</f>
        <v>0.2162</v>
      </c>
      <c r="F122" s="448"/>
      <c r="G122" s="199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101</v>
      </c>
      <c r="H123" s="163"/>
    </row>
    <row r="124" spans="1:8" ht="12.75">
      <c r="A124" s="157" t="s">
        <v>242</v>
      </c>
      <c r="B124" s="126"/>
      <c r="C124" s="111"/>
      <c r="D124" s="3" t="s">
        <v>187</v>
      </c>
      <c r="E124" s="262">
        <f>E120*E122</f>
        <v>0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2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116</v>
      </c>
      <c r="B128" s="126"/>
      <c r="C128" s="111"/>
      <c r="D128" s="3"/>
      <c r="E128" s="262">
        <f>E124-E126</f>
        <v>0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485" t="s">
        <v>481</v>
      </c>
      <c r="B130" s="126"/>
      <c r="C130" s="111"/>
      <c r="D130" s="3"/>
      <c r="E130" s="494">
        <f>'Tax Rates'!F34-'Tax Rates'!C38</f>
        <v>0.20500000000000002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340</v>
      </c>
      <c r="B132" s="129"/>
      <c r="C132" s="111"/>
      <c r="D132" s="3"/>
      <c r="E132" s="463">
        <f>E128/(1-E130)</f>
        <v>0</v>
      </c>
      <c r="F132" s="37"/>
      <c r="G132" s="199"/>
      <c r="H132" s="163"/>
      <c r="I132" s="479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27">
      <c r="A134" s="168" t="s">
        <v>343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6.25">
      <c r="A136" s="170" t="s">
        <v>231</v>
      </c>
      <c r="B136" s="129"/>
      <c r="C136" s="111"/>
      <c r="D136" s="117" t="s">
        <v>187</v>
      </c>
      <c r="E136" s="300">
        <f>C50</f>
        <v>415670.57125000004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233</v>
      </c>
      <c r="B138" s="129"/>
      <c r="C138" s="111"/>
      <c r="D138" s="118" t="s">
        <v>227</v>
      </c>
      <c r="E138" s="494">
        <f>'Tax Rates'!F34</f>
        <v>0.2162</v>
      </c>
      <c r="F138" s="195" t="s">
        <v>101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225</v>
      </c>
      <c r="B140" s="129"/>
      <c r="C140" s="111"/>
      <c r="D140" s="117" t="s">
        <v>187</v>
      </c>
      <c r="E140" s="301">
        <f>IF(E136&gt;0,E136*E138,0)</f>
        <v>89867.97750425001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234</v>
      </c>
      <c r="B142" s="129"/>
      <c r="C142" s="111"/>
      <c r="D142" s="117" t="s">
        <v>186</v>
      </c>
      <c r="E142" s="302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226</v>
      </c>
      <c r="B144" s="129"/>
      <c r="C144" s="111"/>
      <c r="D144" s="118" t="s">
        <v>187</v>
      </c>
      <c r="E144" s="300">
        <f>E140-E142</f>
        <v>89867.97750425001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6.25">
      <c r="A146" s="170" t="s">
        <v>235</v>
      </c>
      <c r="B146" s="129"/>
      <c r="C146" s="111"/>
      <c r="D146" s="117" t="s">
        <v>186</v>
      </c>
      <c r="E146" s="300">
        <f>C60</f>
        <v>114309.40709375002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228</v>
      </c>
      <c r="B148" s="129"/>
      <c r="C148" s="111"/>
      <c r="D148" s="117" t="s">
        <v>187</v>
      </c>
      <c r="E148" s="300">
        <f>E144-E146</f>
        <v>-24441.42958950001</v>
      </c>
      <c r="F148" s="37"/>
      <c r="G148" s="199"/>
      <c r="H148" s="163"/>
      <c r="I148" s="477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58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187</v>
      </c>
      <c r="E151" s="300">
        <f>C66</f>
        <v>6561667</v>
      </c>
      <c r="F151" s="37"/>
      <c r="G151" s="199"/>
      <c r="H151" s="163"/>
    </row>
    <row r="152" spans="1:8" ht="12.75">
      <c r="A152" s="170" t="s">
        <v>346</v>
      </c>
      <c r="B152" s="129"/>
      <c r="C152" s="111"/>
      <c r="D152" s="117" t="s">
        <v>186</v>
      </c>
      <c r="E152" s="303">
        <f>IF(E151&gt;0,'Tax Rates'!C39,0)</f>
        <v>7500000</v>
      </c>
      <c r="F152" s="37"/>
      <c r="G152" s="199"/>
      <c r="H152" s="163"/>
    </row>
    <row r="153" spans="1:8" ht="12.75">
      <c r="A153" s="170" t="s">
        <v>229</v>
      </c>
      <c r="B153" s="129"/>
      <c r="C153" s="111"/>
      <c r="D153" s="117" t="s">
        <v>187</v>
      </c>
      <c r="E153" s="300">
        <f>E151-E152</f>
        <v>-938333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347</v>
      </c>
      <c r="B155" s="129"/>
      <c r="C155" s="111"/>
      <c r="D155" s="118" t="s">
        <v>227</v>
      </c>
      <c r="E155" s="304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230</v>
      </c>
      <c r="B157" s="129"/>
      <c r="C157" s="111"/>
      <c r="D157" s="118" t="s">
        <v>187</v>
      </c>
      <c r="E157" s="300">
        <f>IF(E153&gt;0,E153*E155*B9/B10,0)</f>
        <v>0</v>
      </c>
      <c r="F157" s="37"/>
      <c r="G157" s="199"/>
      <c r="H157" s="163"/>
    </row>
    <row r="158" spans="1:8" ht="26.25">
      <c r="A158" s="170" t="s">
        <v>301</v>
      </c>
      <c r="B158" s="129"/>
      <c r="C158" s="111"/>
      <c r="D158" s="117" t="s">
        <v>186</v>
      </c>
      <c r="E158" s="303">
        <f>C72</f>
        <v>0</v>
      </c>
      <c r="F158" s="37"/>
      <c r="G158" s="199"/>
      <c r="H158" s="163"/>
    </row>
    <row r="159" spans="1:9" ht="12.75" customHeight="1">
      <c r="A159" s="171" t="s">
        <v>240</v>
      </c>
      <c r="B159" s="129"/>
      <c r="C159" s="111"/>
      <c r="D159" s="117" t="s">
        <v>187</v>
      </c>
      <c r="E159" s="452">
        <f>E157-E158</f>
        <v>0</v>
      </c>
      <c r="F159" s="37"/>
      <c r="G159" s="199"/>
      <c r="H159" s="163"/>
      <c r="I159" s="477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232</v>
      </c>
      <c r="B161" s="129"/>
      <c r="C161" s="111"/>
      <c r="D161" s="118"/>
      <c r="E161" s="302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6561667</v>
      </c>
      <c r="F162" s="37"/>
      <c r="G162" s="199"/>
      <c r="H162" s="163"/>
    </row>
    <row r="163" spans="1:8" ht="12.75">
      <c r="A163" s="170" t="s">
        <v>345</v>
      </c>
      <c r="B163" s="129"/>
      <c r="C163" s="111"/>
      <c r="D163" s="117" t="s">
        <v>186</v>
      </c>
      <c r="E163" s="303">
        <f>IF(E162&gt;0,'Tax Rates'!C40,0)</f>
        <v>50000000</v>
      </c>
      <c r="F163" s="37"/>
      <c r="G163" s="199"/>
      <c r="H163" s="163"/>
    </row>
    <row r="164" spans="1:8" ht="12.75">
      <c r="A164" s="170" t="s">
        <v>236</v>
      </c>
      <c r="B164" s="129"/>
      <c r="C164" s="111"/>
      <c r="D164" s="118" t="s">
        <v>187</v>
      </c>
      <c r="E164" s="300">
        <f>E162-E163</f>
        <v>-43438333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170" t="s">
        <v>302</v>
      </c>
      <c r="B166" s="129"/>
      <c r="C166" s="111"/>
      <c r="D166" s="118"/>
      <c r="E166" s="304">
        <f>'Tax Rates'!C37</f>
        <v>0.00175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237</v>
      </c>
      <c r="B168" s="129"/>
      <c r="C168" s="111"/>
      <c r="D168" s="118"/>
      <c r="E168" s="300">
        <f>IF(E164&gt;0,E164*E166*B9/B10,0)</f>
        <v>0</v>
      </c>
      <c r="F168" s="37"/>
      <c r="G168" s="199"/>
      <c r="H168" s="163"/>
    </row>
    <row r="169" spans="1:8" ht="12.75">
      <c r="A169" s="170" t="s">
        <v>312</v>
      </c>
      <c r="B169" s="129"/>
      <c r="C169" s="111"/>
      <c r="D169" s="117" t="s">
        <v>186</v>
      </c>
      <c r="E169" s="305">
        <v>0</v>
      </c>
      <c r="F169" s="37"/>
      <c r="G169" s="199"/>
      <c r="H169" s="163"/>
    </row>
    <row r="170" spans="1:8" ht="12.75">
      <c r="A170" s="170" t="s">
        <v>238</v>
      </c>
      <c r="B170" s="129"/>
      <c r="C170" s="111"/>
      <c r="D170" s="118" t="s">
        <v>187</v>
      </c>
      <c r="E170" s="300"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338</v>
      </c>
      <c r="B172" s="129"/>
      <c r="C172" s="111"/>
      <c r="D172" s="117" t="s">
        <v>186</v>
      </c>
      <c r="E172" s="303">
        <f>C84</f>
        <v>0</v>
      </c>
      <c r="F172" s="37"/>
      <c r="G172" s="199"/>
      <c r="H172" s="163"/>
    </row>
    <row r="173" spans="1:9" ht="12.75">
      <c r="A173" s="154" t="s">
        <v>241</v>
      </c>
      <c r="B173" s="129"/>
      <c r="C173" s="111"/>
      <c r="D173" s="118" t="s">
        <v>187</v>
      </c>
      <c r="E173" s="452">
        <f>E170-E172</f>
        <v>0</v>
      </c>
      <c r="F173" s="37"/>
      <c r="G173" s="199"/>
      <c r="H173" s="163"/>
      <c r="I173" s="477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336</v>
      </c>
      <c r="B175" s="129"/>
      <c r="C175" s="111"/>
      <c r="D175" s="118"/>
      <c r="E175" s="492">
        <f>'Tax Rates'!F34-'Tax Rates'!C38</f>
        <v>0.20500000000000002</v>
      </c>
      <c r="F175" s="448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239</v>
      </c>
      <c r="B177" s="129"/>
      <c r="C177" s="111"/>
      <c r="D177" s="118" t="s">
        <v>185</v>
      </c>
      <c r="E177" s="300">
        <f>E148/(1-E175)</f>
        <v>-30743.936590566052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185</v>
      </c>
      <c r="E178" s="300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185</v>
      </c>
      <c r="E179" s="300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341</v>
      </c>
      <c r="B181" s="129"/>
      <c r="C181" s="111"/>
      <c r="D181" s="118" t="s">
        <v>187</v>
      </c>
      <c r="E181" s="462">
        <f>SUM(E177:E179)</f>
        <v>-30743.936590566052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458</v>
      </c>
      <c r="B183" s="129"/>
      <c r="C183" s="111"/>
      <c r="D183" s="118" t="s">
        <v>185</v>
      </c>
      <c r="E183" s="462">
        <f>E132</f>
        <v>0</v>
      </c>
      <c r="F183" s="37" t="s">
        <v>101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3.5">
      <c r="A185" s="480" t="s">
        <v>342</v>
      </c>
      <c r="B185" s="129"/>
      <c r="C185" s="111"/>
      <c r="D185" s="118" t="s">
        <v>187</v>
      </c>
      <c r="E185" s="487">
        <f>E181+E183</f>
        <v>-30743.936590566052</v>
      </c>
      <c r="F185" s="37"/>
      <c r="G185" s="199"/>
      <c r="H185" s="163"/>
    </row>
    <row r="186" spans="1:8" ht="12.75">
      <c r="A186" s="481" t="s">
        <v>244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478" t="s">
        <v>476</v>
      </c>
      <c r="B193" s="126"/>
      <c r="C193" s="111"/>
      <c r="D193" s="119"/>
      <c r="E193" s="306">
        <f>REGINFO!D62</f>
        <v>237860.42875</v>
      </c>
      <c r="F193" s="3"/>
      <c r="G193" s="122"/>
      <c r="H193" s="163"/>
    </row>
    <row r="194" spans="1:8" ht="12.75">
      <c r="A194" s="478" t="s">
        <v>477</v>
      </c>
      <c r="B194" s="126"/>
      <c r="C194" s="111"/>
      <c r="D194" s="119"/>
      <c r="E194" s="306">
        <f>REGINFO!D70</f>
        <v>237860.42875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334</v>
      </c>
      <c r="B196" s="126"/>
      <c r="C196" s="111"/>
      <c r="D196" s="119"/>
      <c r="E196" s="306">
        <f>E193-E194</f>
        <v>0</v>
      </c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251</v>
      </c>
      <c r="B199" s="126"/>
      <c r="C199" s="111"/>
      <c r="D199" s="119"/>
      <c r="E199" s="146"/>
      <c r="F199" s="3"/>
      <c r="G199" s="467"/>
      <c r="H199" s="163"/>
    </row>
    <row r="200" spans="1:8" ht="12.75">
      <c r="A200" s="174" t="s">
        <v>84</v>
      </c>
      <c r="B200" s="126"/>
      <c r="C200" s="111"/>
      <c r="D200" s="119"/>
      <c r="E200" s="146"/>
      <c r="F200" s="3"/>
      <c r="G200" s="467"/>
      <c r="H200" s="163"/>
    </row>
    <row r="201" spans="1:8" ht="12.75">
      <c r="A201" s="478" t="s">
        <v>479</v>
      </c>
      <c r="B201" s="126"/>
      <c r="C201" s="111"/>
      <c r="D201" s="119"/>
      <c r="E201" s="306">
        <f>TAXREC!C51</f>
        <v>176444</v>
      </c>
      <c r="F201" s="3"/>
      <c r="G201" s="467"/>
      <c r="H201" s="163"/>
    </row>
    <row r="202" spans="1:8" ht="12.75">
      <c r="A202" s="478" t="s">
        <v>478</v>
      </c>
      <c r="B202" s="126"/>
      <c r="C202" s="111"/>
      <c r="D202" s="119"/>
      <c r="E202" s="306">
        <f>REGINFO!D62</f>
        <v>237860.42875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460</v>
      </c>
      <c r="B206" s="126"/>
      <c r="C206" s="111"/>
      <c r="D206" s="119"/>
      <c r="E206" s="449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221</v>
      </c>
      <c r="B208" s="176"/>
      <c r="C208" s="177"/>
      <c r="D208" s="178"/>
      <c r="E208" s="307">
        <f>+E196-E204</f>
        <v>0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24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116">
      <selection activeCell="C144" sqref="C1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2">
        <f>Ratebase*REGINFO!D33*0.0025</f>
        <v>8202.08375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7" t="s">
        <v>224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4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318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253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220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316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317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268</v>
      </c>
      <c r="B31" s="23" t="s">
        <v>185</v>
      </c>
      <c r="C31" s="283"/>
      <c r="D31" s="284"/>
      <c r="E31" s="282">
        <f>C31-D31</f>
        <v>0</v>
      </c>
      <c r="F31" s="11"/>
      <c r="G31" s="11"/>
      <c r="H31" s="6"/>
      <c r="I31" s="6"/>
    </row>
    <row r="32" spans="1:9" ht="12.75">
      <c r="A32" s="4" t="s">
        <v>218</v>
      </c>
      <c r="B32" s="23" t="s">
        <v>185</v>
      </c>
      <c r="C32" s="283">
        <v>1597494</v>
      </c>
      <c r="D32" s="284"/>
      <c r="E32" s="282">
        <f>C32-D32</f>
        <v>1597494</v>
      </c>
      <c r="F32" s="11"/>
      <c r="G32" s="11"/>
      <c r="H32" s="6"/>
      <c r="I32" s="6"/>
    </row>
    <row r="33" spans="1:9" ht="12.75">
      <c r="A33" s="4" t="s">
        <v>208</v>
      </c>
      <c r="B33" s="23" t="s">
        <v>185</v>
      </c>
      <c r="C33" s="283">
        <v>23020</v>
      </c>
      <c r="D33" s="284"/>
      <c r="E33" s="282">
        <f>C33-D33</f>
        <v>23020</v>
      </c>
      <c r="F33" s="11"/>
      <c r="G33" s="11"/>
      <c r="H33" s="6"/>
      <c r="I33" s="6"/>
    </row>
    <row r="34" spans="1:9" ht="12.75">
      <c r="A34" s="4" t="s">
        <v>222</v>
      </c>
      <c r="B34" s="23" t="s">
        <v>185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206</v>
      </c>
      <c r="B39" s="23" t="s">
        <v>186</v>
      </c>
      <c r="C39" s="283"/>
      <c r="D39" s="284"/>
      <c r="E39" s="282">
        <f>C39-D39</f>
        <v>0</v>
      </c>
      <c r="F39" s="11"/>
      <c r="G39" s="11"/>
      <c r="H39" s="6"/>
      <c r="I39" s="6"/>
    </row>
    <row r="40" spans="1:9" ht="12.75">
      <c r="A40" s="46" t="s">
        <v>207</v>
      </c>
      <c r="B40" s="23" t="s">
        <v>186</v>
      </c>
      <c r="C40" s="283">
        <f>24803+354721</f>
        <v>379524</v>
      </c>
      <c r="D40" s="284"/>
      <c r="E40" s="282">
        <f aca="true" t="shared" si="0" ref="E40:E48">C40-D40</f>
        <v>379524</v>
      </c>
      <c r="F40" s="11"/>
      <c r="G40" s="464"/>
      <c r="H40" s="6"/>
      <c r="I40" s="6"/>
    </row>
    <row r="41" spans="1:9" ht="12.75">
      <c r="A41" s="4" t="s">
        <v>269</v>
      </c>
      <c r="B41" s="23" t="s">
        <v>186</v>
      </c>
      <c r="C41" s="283">
        <v>312457</v>
      </c>
      <c r="D41" s="284"/>
      <c r="E41" s="282">
        <f t="shared" si="0"/>
        <v>312457</v>
      </c>
      <c r="F41" s="11"/>
      <c r="G41" s="11"/>
      <c r="H41" s="6"/>
      <c r="I41" s="6"/>
    </row>
    <row r="42" spans="1:9" ht="12.75">
      <c r="A42" s="4" t="s">
        <v>270</v>
      </c>
      <c r="B42" s="23" t="s">
        <v>186</v>
      </c>
      <c r="C42" s="283">
        <f>78638+239154</f>
        <v>317792</v>
      </c>
      <c r="D42" s="284"/>
      <c r="E42" s="282">
        <f t="shared" si="0"/>
        <v>317792</v>
      </c>
      <c r="F42" s="11"/>
      <c r="G42" s="11"/>
      <c r="H42" s="6"/>
      <c r="I42" s="6"/>
    </row>
    <row r="43" spans="1:9" ht="12.75">
      <c r="A43" s="4" t="s">
        <v>271</v>
      </c>
      <c r="B43" s="23" t="s">
        <v>186</v>
      </c>
      <c r="C43" s="283">
        <f>332359+48588</f>
        <v>380947</v>
      </c>
      <c r="D43" s="284"/>
      <c r="E43" s="282">
        <f t="shared" si="0"/>
        <v>380947</v>
      </c>
      <c r="F43" s="11"/>
      <c r="G43" s="11"/>
      <c r="H43" s="6"/>
      <c r="I43" s="6"/>
    </row>
    <row r="44" spans="1:9" ht="12.75">
      <c r="A44" s="4" t="s">
        <v>272</v>
      </c>
      <c r="B44" s="23" t="s">
        <v>186</v>
      </c>
      <c r="C44" s="283">
        <v>2923</v>
      </c>
      <c r="D44" s="284"/>
      <c r="E44" s="282">
        <f t="shared" si="0"/>
        <v>2923</v>
      </c>
      <c r="F44" s="11"/>
      <c r="G44" s="11"/>
      <c r="H44" s="6"/>
      <c r="I44" s="6"/>
    </row>
    <row r="45" spans="1:11" ht="12.75">
      <c r="A45" s="4" t="s">
        <v>465</v>
      </c>
      <c r="B45" s="23" t="s">
        <v>186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3" t="s">
        <v>480</v>
      </c>
      <c r="B46" s="23" t="s">
        <v>186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3" t="s">
        <v>483</v>
      </c>
      <c r="B47" s="23" t="s">
        <v>186</v>
      </c>
      <c r="C47" s="283">
        <v>7168</v>
      </c>
      <c r="D47" s="284"/>
      <c r="E47" s="282">
        <f t="shared" si="0"/>
        <v>7168</v>
      </c>
      <c r="F47" s="11"/>
      <c r="G47" s="475"/>
      <c r="H47" s="33"/>
      <c r="I47" s="33"/>
      <c r="J47" s="32"/>
      <c r="K47" s="32"/>
    </row>
    <row r="48" spans="1:11" ht="13.5" thickBot="1">
      <c r="A48" s="4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219703</v>
      </c>
      <c r="D50" s="279">
        <f>SUM(D31:D36)-SUM(D39:D49)</f>
        <v>0</v>
      </c>
      <c r="E50" s="279">
        <f>SUM(E31:E35)-SUM(E39:E48)</f>
        <v>219703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474">
        <v>176444</v>
      </c>
      <c r="D51" s="283"/>
      <c r="E51" s="280">
        <f>D51</f>
        <v>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29722</v>
      </c>
      <c r="D52" s="283"/>
      <c r="E52" s="281">
        <f>D52</f>
        <v>0</v>
      </c>
      <c r="F52" s="8"/>
      <c r="G52" s="395"/>
    </row>
    <row r="53" spans="1:6" ht="12.75">
      <c r="A53" s="2" t="s">
        <v>130</v>
      </c>
      <c r="B53" s="8" t="s">
        <v>187</v>
      </c>
      <c r="C53" s="279">
        <f>C50-C51-C52</f>
        <v>13537</v>
      </c>
      <c r="D53" s="279">
        <f>D50-D51-D52</f>
        <v>0</v>
      </c>
      <c r="E53" s="279">
        <f>E50-E51-E52</f>
        <v>219703</v>
      </c>
      <c r="F53" s="8"/>
    </row>
    <row r="54" spans="1:6" ht="22.5">
      <c r="A54" s="86" t="s">
        <v>211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5">
        <f>C52</f>
        <v>29722</v>
      </c>
      <c r="D59" s="285">
        <f>D52</f>
        <v>0</v>
      </c>
      <c r="E59" s="270">
        <f>+C59-D59</f>
        <v>29722</v>
      </c>
      <c r="F59" s="8"/>
      <c r="G59" s="395"/>
    </row>
    <row r="60" spans="1:6" ht="12.75">
      <c r="A60" s="4" t="s">
        <v>319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285">
        <f>C43</f>
        <v>380947</v>
      </c>
      <c r="D61" s="285">
        <f>D43</f>
        <v>0</v>
      </c>
      <c r="E61" s="270">
        <f>+C61-D61</f>
        <v>380947</v>
      </c>
      <c r="F61" s="8"/>
      <c r="G61" s="395"/>
    </row>
    <row r="62" spans="1:6" ht="12.75">
      <c r="A62" t="s">
        <v>6</v>
      </c>
      <c r="B62" s="8" t="s">
        <v>185</v>
      </c>
      <c r="C62" s="315"/>
      <c r="D62" s="285">
        <v>0</v>
      </c>
      <c r="E62" s="270">
        <f>+C62-D62</f>
        <v>0</v>
      </c>
      <c r="F62" s="8"/>
    </row>
    <row r="63" spans="1:6" ht="12.75">
      <c r="A63" s="31" t="s">
        <v>273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0</v>
      </c>
      <c r="D64" s="314">
        <f>'Tax Reserves'!D63</f>
        <v>0</v>
      </c>
      <c r="E64" s="270">
        <f>+C64-D64</f>
        <v>0</v>
      </c>
      <c r="F64" s="8"/>
    </row>
    <row r="65" spans="1:6" ht="12.75">
      <c r="A65" t="s">
        <v>429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46" t="s">
        <v>380</v>
      </c>
      <c r="B66" s="8"/>
      <c r="C66" s="426">
        <f>'TAXREC 3 No True-up'!C47</f>
        <v>7168</v>
      </c>
      <c r="D66" s="426">
        <f>'TAXREC 3 No True-up'!D47</f>
        <v>0</v>
      </c>
      <c r="E66" s="270">
        <f>+C66-D66</f>
        <v>7168</v>
      </c>
      <c r="F66" s="8"/>
    </row>
    <row r="67" spans="1:6" ht="12.75">
      <c r="A67" t="s">
        <v>158</v>
      </c>
      <c r="B67" s="8" t="s">
        <v>185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159</v>
      </c>
      <c r="B68" s="8" t="s">
        <v>185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417837</v>
      </c>
      <c r="D70" s="270">
        <f>SUM(D59:D68)</f>
        <v>0</v>
      </c>
      <c r="E70" s="270">
        <f>SUM(E59:E68)</f>
        <v>417837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185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60">
        <v>0</v>
      </c>
      <c r="D76" s="292"/>
      <c r="E76" s="45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187</v>
      </c>
      <c r="C82" s="249">
        <f>C70+C80</f>
        <v>417837</v>
      </c>
      <c r="D82" s="249">
        <f>D70+D80</f>
        <v>0</v>
      </c>
      <c r="E82" s="249">
        <f>E70+E80</f>
        <v>417837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417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194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223792</v>
      </c>
      <c r="D97" s="292"/>
      <c r="E97" s="270">
        <f>+C97-D97</f>
        <v>223792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36526</v>
      </c>
      <c r="D98" s="292"/>
      <c r="E98" s="270">
        <f>+C98-D98</f>
        <v>36526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186</v>
      </c>
      <c r="C105" s="316">
        <f>'Tax Reserves'!C50</f>
        <v>0</v>
      </c>
      <c r="D105" s="316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6" t="s">
        <v>380</v>
      </c>
      <c r="B108" s="8"/>
      <c r="C108" s="252">
        <f>'TAXREC 3 No True-up'!C73</f>
        <v>0</v>
      </c>
      <c r="D108" s="252">
        <f>'TAXREC 3 No True-up'!D73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9">
        <f>SUM(C97:C111)</f>
        <v>260318</v>
      </c>
      <c r="D113" s="249">
        <f>SUM(D97:D111)</f>
        <v>0</v>
      </c>
      <c r="E113" s="249">
        <f>SUM(E97:E111)</f>
        <v>260318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186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186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187</v>
      </c>
      <c r="C122" s="249">
        <f>C113+C120</f>
        <v>260318</v>
      </c>
      <c r="D122" s="249">
        <f>D113+D120</f>
        <v>0</v>
      </c>
      <c r="E122" s="249">
        <f>+E113+E120</f>
        <v>260318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196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197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195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171056</v>
      </c>
      <c r="D134" s="249">
        <f>D53+D82-D122</f>
        <v>0</v>
      </c>
      <c r="E134" s="249">
        <f>E53+E82-E122</f>
        <v>377222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186</v>
      </c>
      <c r="C136" s="292"/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186</v>
      </c>
      <c r="C137" s="308"/>
      <c r="D137" s="308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0">
        <f>C134-C136-C137-C138</f>
        <v>171056</v>
      </c>
      <c r="D139" s="250">
        <f>D134-D136-D137-D138</f>
        <v>0</v>
      </c>
      <c r="E139" s="250">
        <f>E134-E136-E137-E138</f>
        <v>377222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185</v>
      </c>
      <c r="C142" s="296">
        <v>22442</v>
      </c>
      <c r="D142" s="296">
        <f>D139*C149</f>
        <v>0</v>
      </c>
      <c r="E142" s="250">
        <f>C142-D142</f>
        <v>22442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185</v>
      </c>
      <c r="C143" s="296">
        <v>7280</v>
      </c>
      <c r="D143" s="296">
        <f>D139*C150</f>
        <v>0</v>
      </c>
      <c r="E143" s="290">
        <f>C143-D143</f>
        <v>7280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29722</v>
      </c>
      <c r="D144" s="250">
        <f>D142+D143</f>
        <v>0</v>
      </c>
      <c r="E144" s="250">
        <f>E142+E143</f>
        <v>29722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50">
        <f>C144-C145</f>
        <v>29722</v>
      </c>
      <c r="D146" s="250">
        <f>D144-D145</f>
        <v>0</v>
      </c>
      <c r="E146" s="250">
        <f>E144-E145</f>
        <v>29722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85">
        <f>C142/C139</f>
        <v>0.13119680104761014</v>
      </c>
      <c r="D149" s="5"/>
      <c r="E149" s="386">
        <f>C149</f>
        <v>0.13119680104761014</v>
      </c>
      <c r="F149" s="8"/>
      <c r="G149" s="461" t="s">
        <v>451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85">
        <f>C143/C139</f>
        <v>0.04255916191188851</v>
      </c>
      <c r="D150" s="5"/>
      <c r="E150" s="386">
        <f>C150</f>
        <v>0.04255916191188851</v>
      </c>
      <c r="F150" s="8"/>
      <c r="G150" s="461" t="s">
        <v>452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86">
        <f>SUM(C149:C150)</f>
        <v>0.17375596295949863</v>
      </c>
      <c r="D151" s="5"/>
      <c r="E151" s="386">
        <f>SUM(E149:E150)</f>
        <v>0.17375596295949863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344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216</v>
      </c>
      <c r="B156" s="85" t="s">
        <v>185</v>
      </c>
      <c r="C156" s="249">
        <f>C146</f>
        <v>29722</v>
      </c>
      <c r="D156" s="249">
        <f>D146</f>
        <v>0</v>
      </c>
      <c r="E156" s="249">
        <f>E146</f>
        <v>29722</v>
      </c>
    </row>
    <row r="157" spans="1:5" ht="12.75">
      <c r="A157" t="s">
        <v>20</v>
      </c>
      <c r="B157" s="85" t="s">
        <v>185</v>
      </c>
      <c r="C157" s="457">
        <v>2865</v>
      </c>
      <c r="D157" s="249"/>
      <c r="E157" s="249">
        <f>C157+D157</f>
        <v>2865</v>
      </c>
    </row>
    <row r="158" spans="1:5" ht="12.75">
      <c r="A158" t="s">
        <v>215</v>
      </c>
      <c r="B158" s="85" t="s">
        <v>185</v>
      </c>
      <c r="C158" s="457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296</v>
      </c>
      <c r="B160" s="65" t="s">
        <v>187</v>
      </c>
      <c r="C160" s="249">
        <f>C156+C157+C158</f>
        <v>32587</v>
      </c>
      <c r="D160" s="249">
        <f>D156+D157+D158</f>
        <v>0</v>
      </c>
      <c r="E160" s="249">
        <f>E156+E157+E158</f>
        <v>32587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33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75" zoomScaleNormal="75" zoomScalePageLayoutView="0" workbookViewId="0" topLeftCell="A4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267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7" ht="12.75">
      <c r="A14" s="60" t="s">
        <v>275</v>
      </c>
      <c r="B14" s="60"/>
      <c r="C14" s="292"/>
      <c r="D14" s="292"/>
      <c r="E14" s="249">
        <f aca="true" t="shared" si="0" ref="E14:E21">C14-D14</f>
        <v>0</v>
      </c>
      <c r="G14">
        <v>70004</v>
      </c>
    </row>
    <row r="15" spans="1:5" ht="12.75">
      <c r="A15" s="60" t="s">
        <v>276</v>
      </c>
      <c r="B15" s="60"/>
      <c r="C15" s="292"/>
      <c r="D15" s="292"/>
      <c r="E15" s="249">
        <f t="shared" si="0"/>
        <v>0</v>
      </c>
    </row>
    <row r="16" spans="1:5" ht="12.75">
      <c r="A16" s="60" t="s">
        <v>277</v>
      </c>
      <c r="B16" s="60"/>
      <c r="C16" s="292"/>
      <c r="D16" s="292"/>
      <c r="E16" s="249">
        <f t="shared" si="0"/>
        <v>0</v>
      </c>
    </row>
    <row r="17" spans="1:5" ht="12.75">
      <c r="A17" s="60" t="s">
        <v>278</v>
      </c>
      <c r="B17" s="60"/>
      <c r="C17" s="292"/>
      <c r="D17" s="292"/>
      <c r="E17" s="249">
        <f t="shared" si="0"/>
        <v>0</v>
      </c>
    </row>
    <row r="18" spans="1:5" ht="12.75">
      <c r="A18" s="60" t="s">
        <v>434</v>
      </c>
      <c r="B18" s="60"/>
      <c r="C18" s="292"/>
      <c r="D18" s="292"/>
      <c r="E18" s="249">
        <f t="shared" si="0"/>
        <v>0</v>
      </c>
    </row>
    <row r="19" spans="1:5" ht="12.75">
      <c r="A19" s="60" t="s">
        <v>434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266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7" ht="12.75">
      <c r="A26" s="60" t="s">
        <v>275</v>
      </c>
      <c r="B26" s="60"/>
      <c r="C26" s="292">
        <v>0</v>
      </c>
      <c r="D26" s="292"/>
      <c r="E26" s="249">
        <f aca="true" t="shared" si="1" ref="E26:E33">C26-D26</f>
        <v>0</v>
      </c>
      <c r="G26">
        <v>103537</v>
      </c>
    </row>
    <row r="27" spans="1:5" ht="12.75">
      <c r="A27" s="60" t="s">
        <v>276</v>
      </c>
      <c r="B27" s="60"/>
      <c r="C27" s="292"/>
      <c r="D27" s="292"/>
      <c r="E27" s="249">
        <f t="shared" si="1"/>
        <v>0</v>
      </c>
    </row>
    <row r="28" spans="1:5" ht="12.75">
      <c r="A28" s="60" t="s">
        <v>277</v>
      </c>
      <c r="B28" s="60"/>
      <c r="C28" s="292"/>
      <c r="D28" s="292"/>
      <c r="E28" s="249">
        <f t="shared" si="1"/>
        <v>0</v>
      </c>
    </row>
    <row r="29" spans="1:5" ht="12.75">
      <c r="A29" s="60" t="s">
        <v>278</v>
      </c>
      <c r="B29" s="60"/>
      <c r="C29" s="292"/>
      <c r="D29" s="292"/>
      <c r="E29" s="249">
        <f t="shared" si="1"/>
        <v>0</v>
      </c>
    </row>
    <row r="30" spans="1:5" ht="12.75">
      <c r="A30" s="60" t="s">
        <v>434</v>
      </c>
      <c r="B30" s="60"/>
      <c r="C30" s="292"/>
      <c r="D30" s="292"/>
      <c r="E30" s="249">
        <f t="shared" si="1"/>
        <v>0</v>
      </c>
    </row>
    <row r="31" spans="1:5" ht="12.75">
      <c r="A31" s="60" t="s">
        <v>434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7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267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261</v>
      </c>
      <c r="B43" s="60"/>
      <c r="C43" s="292"/>
      <c r="D43" s="292"/>
      <c r="E43" s="249">
        <f t="shared" si="2"/>
        <v>0</v>
      </c>
    </row>
    <row r="44" spans="1:5" ht="12.75">
      <c r="A44" s="60" t="s">
        <v>262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263</v>
      </c>
      <c r="B45" s="60"/>
      <c r="C45" s="292"/>
      <c r="D45" s="292"/>
      <c r="E45" s="249">
        <f t="shared" si="2"/>
        <v>0</v>
      </c>
    </row>
    <row r="46" spans="1:5" ht="12.75">
      <c r="A46" s="60" t="s">
        <v>264</v>
      </c>
      <c r="B46" s="60"/>
      <c r="C46" s="292"/>
      <c r="D46" s="292"/>
      <c r="E46" s="249">
        <f t="shared" si="2"/>
        <v>0</v>
      </c>
    </row>
    <row r="47" spans="1:5" ht="12.75">
      <c r="A47" s="489" t="s">
        <v>484</v>
      </c>
      <c r="B47" s="60"/>
      <c r="C47" s="292"/>
      <c r="D47" s="292"/>
      <c r="E47" s="249">
        <f t="shared" si="2"/>
        <v>0</v>
      </c>
    </row>
    <row r="48" spans="1:5" ht="12.75">
      <c r="A48" s="60" t="s">
        <v>434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178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40"/>
      <c r="D51" s="22"/>
      <c r="E51" s="22">
        <f>D51</f>
        <v>0</v>
      </c>
    </row>
    <row r="52" spans="1:5" ht="12.75">
      <c r="A52" s="245" t="s">
        <v>266</v>
      </c>
      <c r="B52" s="60"/>
      <c r="C52" s="90"/>
      <c r="D52" s="90"/>
      <c r="E52" s="90">
        <f>D52</f>
        <v>0</v>
      </c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261</v>
      </c>
      <c r="B55" s="60"/>
      <c r="C55" s="292"/>
      <c r="D55" s="292"/>
      <c r="E55" s="249">
        <f t="shared" si="3"/>
        <v>0</v>
      </c>
    </row>
    <row r="56" spans="1:5" ht="12.75">
      <c r="A56" s="244" t="s">
        <v>262</v>
      </c>
      <c r="B56" s="60"/>
      <c r="C56" s="292">
        <v>0</v>
      </c>
      <c r="D56" s="292"/>
      <c r="E56" s="249">
        <f t="shared" si="3"/>
        <v>0</v>
      </c>
    </row>
    <row r="57" spans="1:5" ht="12.75">
      <c r="A57" s="244" t="s">
        <v>263</v>
      </c>
      <c r="B57" s="60"/>
      <c r="C57" s="292"/>
      <c r="D57" s="292"/>
      <c r="E57" s="249">
        <f t="shared" si="3"/>
        <v>0</v>
      </c>
    </row>
    <row r="58" spans="1:5" ht="12.75">
      <c r="A58" s="244" t="s">
        <v>264</v>
      </c>
      <c r="B58" s="60"/>
      <c r="C58" s="292"/>
      <c r="D58" s="292"/>
      <c r="E58" s="249">
        <f t="shared" si="3"/>
        <v>0</v>
      </c>
    </row>
    <row r="59" spans="1:5" ht="12.75">
      <c r="A59" s="489" t="s">
        <v>484</v>
      </c>
      <c r="B59" s="60"/>
      <c r="C59" s="292"/>
      <c r="D59" s="292"/>
      <c r="E59" s="249">
        <f t="shared" si="3"/>
        <v>0</v>
      </c>
    </row>
    <row r="60" spans="1:5" ht="12.75">
      <c r="A60" s="60" t="s">
        <v>434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178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zoomScale="75" zoomScaleNormal="75" zoomScalePageLayoutView="0" workbookViewId="0" topLeftCell="A1">
      <pane xSplit="1" ySplit="6" topLeftCell="B71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450</v>
      </c>
      <c r="B5" s="8"/>
      <c r="C5" s="8" t="s">
        <v>2</v>
      </c>
      <c r="D5" s="8"/>
      <c r="E5" s="8"/>
      <c r="F5" s="8"/>
    </row>
    <row r="6" spans="1:6" ht="12.75">
      <c r="A6" s="395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65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3"/>
      <c r="D17" s="293"/>
      <c r="E17" s="310">
        <f>C17-D17</f>
        <v>0</v>
      </c>
    </row>
    <row r="18" spans="1:5" ht="12.75">
      <c r="A18" s="66" t="s">
        <v>247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6" t="s">
        <v>134</v>
      </c>
      <c r="B19" t="s">
        <v>185</v>
      </c>
      <c r="C19" s="293"/>
      <c r="D19" s="293"/>
      <c r="E19" s="310">
        <f t="shared" si="0"/>
        <v>0</v>
      </c>
    </row>
    <row r="20" spans="1:5" ht="12.75">
      <c r="A20" s="66" t="s">
        <v>435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/>
      <c r="B22" t="s">
        <v>185</v>
      </c>
      <c r="C22" s="293"/>
      <c r="D22" s="293"/>
      <c r="E22" s="310">
        <f t="shared" si="0"/>
        <v>0</v>
      </c>
    </row>
    <row r="23" spans="1:5" ht="12.75">
      <c r="A23" s="66" t="s">
        <v>136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137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123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138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139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248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140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141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142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6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6" t="s">
        <v>455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6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9">
        <f t="shared" si="0"/>
        <v>0</v>
      </c>
    </row>
    <row r="39" spans="2:5" ht="12.75">
      <c r="B39" t="s">
        <v>185</v>
      </c>
      <c r="C39" s="292"/>
      <c r="D39" s="293"/>
      <c r="E39" s="249">
        <f t="shared" si="0"/>
        <v>0</v>
      </c>
    </row>
    <row r="40" spans="1:5" ht="12.75">
      <c r="A40" s="67" t="s">
        <v>201</v>
      </c>
      <c r="B40" t="s">
        <v>185</v>
      </c>
      <c r="C40" s="292"/>
      <c r="D40" s="292"/>
      <c r="E40" s="249">
        <f t="shared" si="0"/>
        <v>0</v>
      </c>
    </row>
    <row r="41" spans="1:5" ht="12.75">
      <c r="A41" s="66"/>
      <c r="B41" t="s">
        <v>185</v>
      </c>
      <c r="C41" s="292"/>
      <c r="D41" s="292"/>
      <c r="E41" s="249">
        <f t="shared" si="0"/>
        <v>0</v>
      </c>
    </row>
    <row r="42" spans="1:5" ht="12.75">
      <c r="A42" s="484" t="s">
        <v>485</v>
      </c>
      <c r="B42" t="s">
        <v>185</v>
      </c>
      <c r="C42" s="292"/>
      <c r="D42" s="292"/>
      <c r="E42" s="249">
        <f t="shared" si="0"/>
        <v>0</v>
      </c>
    </row>
    <row r="43" spans="1:5" ht="12.75">
      <c r="A43" s="484" t="s">
        <v>486</v>
      </c>
      <c r="B43" t="s">
        <v>185</v>
      </c>
      <c r="C43" s="292"/>
      <c r="D43" s="292"/>
      <c r="E43" s="249">
        <f t="shared" si="0"/>
        <v>0</v>
      </c>
    </row>
    <row r="44" spans="1:5" ht="12.75">
      <c r="A44" s="66"/>
      <c r="B44" t="s">
        <v>185</v>
      </c>
      <c r="C44" s="292"/>
      <c r="D44" s="292"/>
      <c r="E44" s="249">
        <f t="shared" si="0"/>
        <v>0</v>
      </c>
    </row>
    <row r="45" spans="1:5" ht="12.75">
      <c r="A45" s="66"/>
      <c r="B45" t="s">
        <v>185</v>
      </c>
      <c r="C45" s="292"/>
      <c r="D45" s="292"/>
      <c r="E45" s="277"/>
    </row>
    <row r="46" spans="1:5" ht="12.75">
      <c r="A46" s="69" t="s">
        <v>168</v>
      </c>
      <c r="B46" t="s">
        <v>187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170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473"/>
      <c r="D51" s="249"/>
      <c r="E51" s="249">
        <f>D51</f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/>
      <c r="E52" s="249">
        <f>D52</f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200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168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186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186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186</v>
      </c>
      <c r="C84" s="292"/>
      <c r="D84" s="292"/>
      <c r="E84" s="249">
        <f t="shared" si="5"/>
        <v>0</v>
      </c>
    </row>
    <row r="85" spans="1:5" ht="12.75">
      <c r="A85" s="70" t="s">
        <v>249</v>
      </c>
      <c r="B85" s="8" t="s">
        <v>186</v>
      </c>
      <c r="C85" s="292"/>
      <c r="D85" s="292"/>
      <c r="E85" s="249">
        <f t="shared" si="5"/>
        <v>0</v>
      </c>
    </row>
    <row r="86" spans="1:5" ht="12.75">
      <c r="A86" s="66" t="s">
        <v>192</v>
      </c>
      <c r="B86" s="8" t="s">
        <v>186</v>
      </c>
      <c r="C86" s="292"/>
      <c r="D86" s="292"/>
      <c r="E86" s="249">
        <f t="shared" si="5"/>
        <v>0</v>
      </c>
    </row>
    <row r="87" spans="1:5" ht="12.75">
      <c r="A87" s="66" t="s">
        <v>365</v>
      </c>
      <c r="B87" s="8" t="s">
        <v>186</v>
      </c>
      <c r="C87" s="292"/>
      <c r="D87" s="292"/>
      <c r="E87" s="249">
        <f t="shared" si="5"/>
        <v>0</v>
      </c>
    </row>
    <row r="88" spans="1:5" ht="12.75">
      <c r="A88" s="66" t="s">
        <v>193</v>
      </c>
      <c r="B88" s="8" t="s">
        <v>186</v>
      </c>
      <c r="C88" s="292"/>
      <c r="D88" s="292"/>
      <c r="E88" s="249">
        <f t="shared" si="5"/>
        <v>0</v>
      </c>
    </row>
    <row r="89" spans="1:5" ht="12.75">
      <c r="A89" s="66" t="s">
        <v>165</v>
      </c>
      <c r="B89" s="8" t="s">
        <v>186</v>
      </c>
      <c r="C89" s="292"/>
      <c r="D89" s="292"/>
      <c r="E89" s="249">
        <f t="shared" si="5"/>
        <v>0</v>
      </c>
    </row>
    <row r="90" spans="1:5" ht="12.75">
      <c r="A90" s="66" t="s">
        <v>166</v>
      </c>
      <c r="B90" s="8" t="s">
        <v>186</v>
      </c>
      <c r="C90" s="292"/>
      <c r="D90" s="292"/>
      <c r="E90" s="249">
        <f t="shared" si="5"/>
        <v>0</v>
      </c>
    </row>
    <row r="91" spans="1:5" ht="12.75">
      <c r="A91" s="66" t="s">
        <v>167</v>
      </c>
      <c r="B91" s="8" t="s">
        <v>186</v>
      </c>
      <c r="C91" s="292"/>
      <c r="D91" s="292"/>
      <c r="E91" s="249">
        <f t="shared" si="5"/>
        <v>0</v>
      </c>
    </row>
    <row r="92" spans="2:5" ht="12.75">
      <c r="B92" s="8" t="s">
        <v>186</v>
      </c>
      <c r="C92" s="292"/>
      <c r="D92" s="292"/>
      <c r="E92" s="249"/>
    </row>
    <row r="93" spans="1:5" ht="12.75">
      <c r="A93" s="66"/>
      <c r="B93" s="8" t="s">
        <v>186</v>
      </c>
      <c r="C93" s="292"/>
      <c r="D93" s="292"/>
      <c r="E93" s="249">
        <f t="shared" si="5"/>
        <v>0</v>
      </c>
    </row>
    <row r="94" spans="1:5" ht="12.75">
      <c r="A94" s="66"/>
      <c r="B94" s="8" t="s">
        <v>186</v>
      </c>
      <c r="C94" s="292"/>
      <c r="D94" s="292"/>
      <c r="E94" s="249">
        <f t="shared" si="5"/>
        <v>0</v>
      </c>
    </row>
    <row r="95" spans="1:5" ht="12.75">
      <c r="A95" s="67" t="s">
        <v>202</v>
      </c>
      <c r="B95" s="8" t="s">
        <v>186</v>
      </c>
      <c r="C95" s="292"/>
      <c r="D95" s="292"/>
      <c r="E95" s="249">
        <f t="shared" si="5"/>
        <v>0</v>
      </c>
    </row>
    <row r="96" spans="1:5" ht="12.75">
      <c r="A96" s="66" t="s">
        <v>456</v>
      </c>
      <c r="B96" s="8" t="s">
        <v>186</v>
      </c>
      <c r="C96" s="292">
        <v>0</v>
      </c>
      <c r="D96" s="292"/>
      <c r="E96" s="249">
        <f t="shared" si="5"/>
        <v>0</v>
      </c>
    </row>
    <row r="97" spans="1:5" ht="12.75">
      <c r="A97" s="66"/>
      <c r="B97" s="8" t="s">
        <v>186</v>
      </c>
      <c r="C97" s="292"/>
      <c r="D97" s="292"/>
      <c r="E97" s="249">
        <f t="shared" si="5"/>
        <v>0</v>
      </c>
    </row>
    <row r="98" spans="1:5" ht="12.75">
      <c r="A98" s="66"/>
      <c r="B98" s="8" t="s">
        <v>186</v>
      </c>
      <c r="C98" s="292"/>
      <c r="D98" s="292"/>
      <c r="E98" s="249">
        <f t="shared" si="5"/>
        <v>0</v>
      </c>
    </row>
    <row r="99" spans="1:5" ht="12.75">
      <c r="A99" s="66" t="s">
        <v>169</v>
      </c>
      <c r="B99" s="8" t="s">
        <v>187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199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198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169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zoomScale="75" zoomScaleNormal="75" zoomScalePageLayoutView="0" workbookViewId="0" topLeftCell="A1">
      <pane xSplit="1" ySplit="8" topLeftCell="B1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42" sqref="C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1"/>
    </row>
    <row r="4" spans="1:6" ht="15">
      <c r="A4" s="443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5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374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439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 t="s">
        <v>377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6" t="s">
        <v>378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440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124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133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423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376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135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375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190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418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419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436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484" t="s">
        <v>437</v>
      </c>
      <c r="C35" s="293"/>
      <c r="D35" s="293"/>
      <c r="E35" s="310">
        <f t="shared" si="0"/>
        <v>0</v>
      </c>
    </row>
    <row r="36" spans="1:5" ht="12.75">
      <c r="A36" s="66" t="s">
        <v>420</v>
      </c>
      <c r="C36" s="293"/>
      <c r="D36" s="293"/>
      <c r="E36" s="310">
        <f t="shared" si="0"/>
        <v>0</v>
      </c>
    </row>
    <row r="37" spans="1:5" ht="12.75">
      <c r="A37" s="66" t="s">
        <v>421</v>
      </c>
      <c r="C37" s="293"/>
      <c r="D37" s="293"/>
      <c r="E37" s="310">
        <f t="shared" si="0"/>
        <v>0</v>
      </c>
    </row>
    <row r="38" spans="1:5" ht="12.75">
      <c r="A38" s="484" t="s">
        <v>379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80"/>
      <c r="B40" t="s">
        <v>185</v>
      </c>
      <c r="C40" s="293"/>
      <c r="D40" s="293"/>
      <c r="E40" s="310">
        <f t="shared" si="0"/>
        <v>0</v>
      </c>
    </row>
    <row r="41" spans="1:5" ht="12.75">
      <c r="A41" s="493" t="s">
        <v>491</v>
      </c>
      <c r="B41" t="s">
        <v>185</v>
      </c>
      <c r="C41" s="293">
        <v>7168</v>
      </c>
      <c r="D41" s="293"/>
      <c r="E41" s="310">
        <f t="shared" si="0"/>
        <v>7168</v>
      </c>
    </row>
    <row r="42" spans="1:5" ht="12.75">
      <c r="A42" s="484"/>
      <c r="B42" t="s">
        <v>185</v>
      </c>
      <c r="C42" s="293"/>
      <c r="D42" s="293"/>
      <c r="E42" s="310">
        <f t="shared" si="0"/>
        <v>0</v>
      </c>
    </row>
    <row r="43" spans="1:5" ht="12.75">
      <c r="A43" s="484"/>
      <c r="B43" t="s">
        <v>185</v>
      </c>
      <c r="C43" s="293"/>
      <c r="D43" s="293"/>
      <c r="E43" s="310">
        <f t="shared" si="0"/>
        <v>0</v>
      </c>
    </row>
    <row r="44" spans="1:5" ht="12.75">
      <c r="A44" s="484"/>
      <c r="B44" t="s">
        <v>185</v>
      </c>
      <c r="C44" s="292"/>
      <c r="D44" s="292"/>
      <c r="E44" s="249">
        <f t="shared" si="0"/>
        <v>0</v>
      </c>
    </row>
    <row r="45" spans="2:5" ht="12.75">
      <c r="B45" t="s">
        <v>185</v>
      </c>
      <c r="C45" s="292"/>
      <c r="D45" s="292"/>
      <c r="E45" s="249">
        <f t="shared" si="0"/>
        <v>0</v>
      </c>
    </row>
    <row r="46" spans="1:5" ht="12.75">
      <c r="A46" s="66"/>
      <c r="B46" t="s">
        <v>185</v>
      </c>
      <c r="C46" s="292"/>
      <c r="D46" s="292"/>
      <c r="E46" s="277"/>
    </row>
    <row r="47" spans="1:5" ht="12.75">
      <c r="A47" s="429" t="s">
        <v>382</v>
      </c>
      <c r="B47" t="s">
        <v>187</v>
      </c>
      <c r="C47" s="249">
        <f>SUM(C19:C46)</f>
        <v>7168</v>
      </c>
      <c r="D47" s="249"/>
      <c r="E47" s="249">
        <f>SUM(E19:E46)</f>
        <v>7168</v>
      </c>
    </row>
    <row r="48" ht="12.75">
      <c r="A48" s="66"/>
    </row>
    <row r="49" ht="12.75">
      <c r="A49" s="80" t="s">
        <v>144</v>
      </c>
    </row>
    <row r="51" spans="1:5" ht="12.75">
      <c r="A51" s="70" t="s">
        <v>374</v>
      </c>
      <c r="B51" s="8" t="s">
        <v>186</v>
      </c>
      <c r="C51" s="472"/>
      <c r="D51" s="292"/>
      <c r="E51" s="249">
        <f>D51</f>
        <v>0</v>
      </c>
    </row>
    <row r="52" spans="1:5" ht="12.75">
      <c r="A52" s="66" t="s">
        <v>439</v>
      </c>
      <c r="B52" s="8" t="s">
        <v>186</v>
      </c>
      <c r="C52" s="292"/>
      <c r="D52" s="292"/>
      <c r="E52" s="249">
        <f>D52</f>
        <v>0</v>
      </c>
    </row>
    <row r="53" spans="1:5" ht="12.75">
      <c r="A53" t="s">
        <v>375</v>
      </c>
      <c r="B53" s="8" t="s">
        <v>186</v>
      </c>
      <c r="C53" s="292"/>
      <c r="D53" s="292"/>
      <c r="E53" s="249">
        <f aca="true" t="shared" si="1" ref="E53:E61">C53-D53</f>
        <v>0</v>
      </c>
    </row>
    <row r="54" spans="1:5" ht="12.75">
      <c r="A54" t="s">
        <v>422</v>
      </c>
      <c r="B54" s="8" t="s">
        <v>186</v>
      </c>
      <c r="C54" s="292"/>
      <c r="D54" s="292"/>
      <c r="E54" s="249">
        <f t="shared" si="1"/>
        <v>0</v>
      </c>
    </row>
    <row r="55" spans="1:5" ht="12.75">
      <c r="A55" s="66" t="s">
        <v>430</v>
      </c>
      <c r="B55" s="8" t="s">
        <v>186</v>
      </c>
      <c r="C55" s="292"/>
      <c r="D55" s="292"/>
      <c r="E55" s="249">
        <f t="shared" si="1"/>
        <v>0</v>
      </c>
    </row>
    <row r="56" spans="1:5" ht="12.75">
      <c r="A56" s="66" t="s">
        <v>442</v>
      </c>
      <c r="B56" s="8" t="s">
        <v>186</v>
      </c>
      <c r="C56" s="292"/>
      <c r="D56" s="292"/>
      <c r="E56" s="249">
        <f t="shared" si="1"/>
        <v>0</v>
      </c>
    </row>
    <row r="57" spans="1:5" ht="12.75">
      <c r="A57" s="2" t="s">
        <v>438</v>
      </c>
      <c r="B57" s="8" t="s">
        <v>186</v>
      </c>
      <c r="C57" s="292"/>
      <c r="D57" s="292"/>
      <c r="E57" s="249">
        <f t="shared" si="1"/>
        <v>0</v>
      </c>
    </row>
    <row r="58" spans="1:5" ht="12.75">
      <c r="A58" s="66" t="s">
        <v>441</v>
      </c>
      <c r="B58" s="8" t="s">
        <v>186</v>
      </c>
      <c r="C58" s="292"/>
      <c r="D58" s="292"/>
      <c r="E58" s="249">
        <f t="shared" si="1"/>
        <v>0</v>
      </c>
    </row>
    <row r="59" spans="1:5" ht="12.75">
      <c r="A59" s="66"/>
      <c r="B59" s="8" t="s">
        <v>186</v>
      </c>
      <c r="C59" s="292"/>
      <c r="D59" s="292"/>
      <c r="E59" s="249">
        <f t="shared" si="1"/>
        <v>0</v>
      </c>
    </row>
    <row r="60" spans="1:5" ht="12.75">
      <c r="A60" s="447"/>
      <c r="B60" s="8" t="s">
        <v>186</v>
      </c>
      <c r="C60" s="292"/>
      <c r="D60" s="292"/>
      <c r="E60" s="249">
        <f t="shared" si="1"/>
        <v>0</v>
      </c>
    </row>
    <row r="61" spans="1:5" ht="12.75">
      <c r="A61" s="484" t="s">
        <v>489</v>
      </c>
      <c r="B61" s="8" t="s">
        <v>186</v>
      </c>
      <c r="C61" s="292"/>
      <c r="D61" s="292"/>
      <c r="E61" s="249">
        <f t="shared" si="1"/>
        <v>0</v>
      </c>
    </row>
    <row r="62" spans="1:5" ht="12.75">
      <c r="A62" s="484"/>
      <c r="B62" s="8" t="s">
        <v>186</v>
      </c>
      <c r="C62" s="292"/>
      <c r="D62" s="292"/>
      <c r="E62" s="249">
        <f aca="true" t="shared" si="2" ref="E62:E72">C62-D62</f>
        <v>0</v>
      </c>
    </row>
    <row r="63" spans="1:5" ht="12.75">
      <c r="A63" s="484"/>
      <c r="B63" s="8" t="s">
        <v>186</v>
      </c>
      <c r="C63" s="292"/>
      <c r="D63" s="292"/>
      <c r="E63" s="249">
        <f t="shared" si="2"/>
        <v>0</v>
      </c>
    </row>
    <row r="64" spans="2:5" ht="12.75">
      <c r="B64" s="8" t="s">
        <v>186</v>
      </c>
      <c r="C64" s="292"/>
      <c r="D64" s="292"/>
      <c r="E64" s="249">
        <f t="shared" si="2"/>
        <v>0</v>
      </c>
    </row>
    <row r="65" spans="2:5" ht="12.75">
      <c r="B65" s="8" t="s">
        <v>186</v>
      </c>
      <c r="C65" s="292"/>
      <c r="D65" s="292"/>
      <c r="E65" s="249">
        <f t="shared" si="2"/>
        <v>0</v>
      </c>
    </row>
    <row r="66" spans="2:5" ht="12.75">
      <c r="B66" s="8" t="s">
        <v>186</v>
      </c>
      <c r="C66" s="292"/>
      <c r="D66" s="292"/>
      <c r="E66" s="249">
        <f t="shared" si="2"/>
        <v>0</v>
      </c>
    </row>
    <row r="67" spans="1:5" ht="12.75">
      <c r="A67" s="66"/>
      <c r="B67" s="8" t="s">
        <v>186</v>
      </c>
      <c r="C67" s="292"/>
      <c r="D67" s="292"/>
      <c r="E67" s="249">
        <f t="shared" si="2"/>
        <v>0</v>
      </c>
    </row>
    <row r="68" spans="1:5" ht="12.75">
      <c r="A68" s="67"/>
      <c r="B68" s="8" t="s">
        <v>186</v>
      </c>
      <c r="C68" s="292"/>
      <c r="D68" s="292"/>
      <c r="E68" s="249">
        <f t="shared" si="2"/>
        <v>0</v>
      </c>
    </row>
    <row r="69" spans="1:5" ht="12.75">
      <c r="A69" s="66"/>
      <c r="B69" s="8" t="s">
        <v>186</v>
      </c>
      <c r="C69" s="292"/>
      <c r="D69" s="292"/>
      <c r="E69" s="249">
        <f t="shared" si="2"/>
        <v>0</v>
      </c>
    </row>
    <row r="70" spans="1:5" ht="12.75">
      <c r="A70" s="484"/>
      <c r="B70" s="8" t="s">
        <v>186</v>
      </c>
      <c r="C70" s="292"/>
      <c r="D70" s="292"/>
      <c r="E70" s="249">
        <f t="shared" si="2"/>
        <v>0</v>
      </c>
    </row>
    <row r="71" spans="1:5" ht="12.75">
      <c r="A71" s="66"/>
      <c r="B71" s="8" t="s">
        <v>186</v>
      </c>
      <c r="C71" s="292"/>
      <c r="D71" s="292"/>
      <c r="E71" s="249">
        <f t="shared" si="2"/>
        <v>0</v>
      </c>
    </row>
    <row r="72" spans="1:5" ht="12.75">
      <c r="A72" s="66"/>
      <c r="B72" s="8" t="s">
        <v>186</v>
      </c>
      <c r="C72" s="292"/>
      <c r="D72" s="292"/>
      <c r="E72" s="277">
        <f t="shared" si="2"/>
        <v>0</v>
      </c>
    </row>
    <row r="73" spans="1:5" ht="12.75">
      <c r="A73" s="428" t="s">
        <v>381</v>
      </c>
      <c r="B73" s="8" t="s">
        <v>187</v>
      </c>
      <c r="C73" s="249">
        <f>SUM(C51:C72)</f>
        <v>0</v>
      </c>
      <c r="D73" s="249">
        <f>SUM(D51:D72)</f>
        <v>0</v>
      </c>
      <c r="E73" s="249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1">
      <selection activeCell="F35" sqref="F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39"/>
      <c r="D1" s="339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106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0"/>
      <c r="B3" s="339"/>
      <c r="C3" s="339"/>
      <c r="D3" s="339"/>
      <c r="E3" s="339"/>
      <c r="F3" s="341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Parry Sound Power Corporation</v>
      </c>
      <c r="B4" s="339"/>
      <c r="C4" s="339"/>
      <c r="D4" s="339"/>
      <c r="E4" s="339"/>
      <c r="F4" s="339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2005</v>
      </c>
      <c r="B5" s="339"/>
      <c r="C5" s="339"/>
      <c r="D5" s="339"/>
      <c r="E5" s="339"/>
      <c r="F5" s="339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0"/>
      <c r="B7" s="339"/>
      <c r="C7" s="339"/>
      <c r="D7" s="339"/>
      <c r="E7" s="339"/>
      <c r="F7" s="390" t="s">
        <v>329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501" t="s">
        <v>466</v>
      </c>
      <c r="B8" s="502"/>
      <c r="C8" s="502"/>
      <c r="D8" s="502"/>
      <c r="E8" s="339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111</v>
      </c>
      <c r="B9" s="323"/>
      <c r="C9" s="354">
        <v>0</v>
      </c>
      <c r="D9" s="354"/>
      <c r="E9" s="354">
        <v>400001</v>
      </c>
      <c r="F9" s="355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468</v>
      </c>
      <c r="B10" s="324"/>
      <c r="C10" s="356" t="s">
        <v>110</v>
      </c>
      <c r="D10" s="356"/>
      <c r="E10" s="356" t="s">
        <v>110</v>
      </c>
      <c r="F10" s="357" t="s">
        <v>462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115</v>
      </c>
      <c r="C11" s="358">
        <v>400000</v>
      </c>
      <c r="D11" s="358"/>
      <c r="E11" s="358">
        <v>1128000</v>
      </c>
      <c r="F11" s="359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107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294</v>
      </c>
      <c r="B13" s="389">
        <v>2005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293</v>
      </c>
      <c r="B14" s="243"/>
      <c r="C14" s="325">
        <v>0.1312</v>
      </c>
      <c r="D14" s="325"/>
      <c r="E14" s="326">
        <v>0.1775</v>
      </c>
      <c r="F14" s="326">
        <v>0.2212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297</v>
      </c>
      <c r="B15" s="243"/>
      <c r="C15" s="327">
        <v>0.055</v>
      </c>
      <c r="D15" s="327"/>
      <c r="E15" s="328">
        <v>0.0975</v>
      </c>
      <c r="F15" s="328">
        <v>0.14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254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3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108</v>
      </c>
      <c r="B18" s="242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109</v>
      </c>
      <c r="B19" s="236"/>
      <c r="C19" s="332">
        <v>0.00175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112</v>
      </c>
      <c r="B20" s="236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7" thickBot="1">
      <c r="A21" s="322" t="s">
        <v>324</v>
      </c>
      <c r="B21" s="387" t="s">
        <v>467</v>
      </c>
      <c r="C21" s="348">
        <v>7500000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.75" thickBot="1">
      <c r="A22" s="322" t="s">
        <v>325</v>
      </c>
      <c r="B22" s="388" t="s">
        <v>461</v>
      </c>
      <c r="C22" s="349">
        <v>50000000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7" t="s">
        <v>472</v>
      </c>
      <c r="B23" s="498"/>
      <c r="C23" s="498"/>
      <c r="D23" s="498"/>
      <c r="E23" s="498"/>
      <c r="F23" s="498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0"/>
      <c r="B25" s="361"/>
      <c r="C25" s="364"/>
      <c r="D25" s="339"/>
      <c r="E25" s="339"/>
      <c r="F25" s="390" t="s">
        <v>330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01" t="s">
        <v>469</v>
      </c>
      <c r="B26" s="502"/>
      <c r="C26" s="502"/>
      <c r="D26" s="502"/>
      <c r="E26" s="502"/>
      <c r="F26" s="502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111</v>
      </c>
      <c r="B27" s="323"/>
      <c r="C27" s="350"/>
      <c r="D27" s="350"/>
      <c r="E27" s="350"/>
      <c r="F27" s="351" t="s">
        <v>487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426</v>
      </c>
      <c r="B28" s="324"/>
      <c r="C28" s="352"/>
      <c r="D28" s="352"/>
      <c r="E28" s="352"/>
      <c r="F28" s="490" t="s">
        <v>488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115</v>
      </c>
      <c r="C29" s="353"/>
      <c r="D29" s="353"/>
      <c r="E29" s="353"/>
      <c r="F29" s="491">
        <v>415670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107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114</v>
      </c>
      <c r="B31" s="389">
        <v>2005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293</v>
      </c>
      <c r="B32" s="389">
        <v>2005</v>
      </c>
      <c r="C32" s="325"/>
      <c r="D32" s="325"/>
      <c r="E32" s="326"/>
      <c r="F32" s="326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389">
        <v>2005</v>
      </c>
      <c r="C33" s="327"/>
      <c r="D33" s="327"/>
      <c r="E33" s="328"/>
      <c r="F33" s="328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254</v>
      </c>
      <c r="B34" s="389">
        <v>2005</v>
      </c>
      <c r="C34" s="329">
        <f>SUM(C32:C33)</f>
        <v>0</v>
      </c>
      <c r="D34" s="329">
        <f>SUM(D32:D33)</f>
        <v>0</v>
      </c>
      <c r="E34" s="330">
        <f>SUM(E32:E33)</f>
        <v>0</v>
      </c>
      <c r="F34" s="330">
        <v>0.2162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3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108</v>
      </c>
      <c r="B36" s="389">
        <v>2005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109</v>
      </c>
      <c r="B37" s="389">
        <v>2005</v>
      </c>
      <c r="C37" s="332">
        <v>0.00175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112</v>
      </c>
      <c r="B38" s="389">
        <v>2005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7" thickBot="1">
      <c r="A39" s="322" t="s">
        <v>470</v>
      </c>
      <c r="B39" s="387" t="s">
        <v>467</v>
      </c>
      <c r="C39" s="348">
        <v>7500000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.75" thickBot="1">
      <c r="A40" s="322" t="s">
        <v>471</v>
      </c>
      <c r="B40" s="388" t="s">
        <v>461</v>
      </c>
      <c r="C40" s="349">
        <v>50000000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9" t="s">
        <v>327</v>
      </c>
      <c r="B41" s="498"/>
      <c r="C41" s="498"/>
      <c r="D41" s="498"/>
      <c r="E41" s="498"/>
      <c r="F41" s="498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00"/>
      <c r="B42" s="500"/>
      <c r="C42" s="500"/>
      <c r="D42" s="500"/>
      <c r="E42" s="500"/>
      <c r="F42" s="500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60"/>
      <c r="B43" s="361"/>
      <c r="C43" s="362"/>
      <c r="D43" s="361"/>
      <c r="E43" s="361"/>
      <c r="F43" s="390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488" t="s">
        <v>490</v>
      </c>
      <c r="O3" s="396" t="str">
        <f>REGINFO!E1</f>
        <v>Version 2009.1</v>
      </c>
    </row>
    <row r="4" spans="1:15" ht="12.75">
      <c r="A4" s="2" t="str">
        <f>REGINFO!A4</f>
        <v>Reporting period:  2005</v>
      </c>
      <c r="E4" s="397" t="s">
        <v>313</v>
      </c>
      <c r="F4" s="379"/>
      <c r="G4" s="379"/>
      <c r="H4" s="379"/>
      <c r="I4" s="379"/>
      <c r="O4" s="39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73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75"/>
      <c r="D11" s="371"/>
      <c r="E11" s="377"/>
      <c r="F11" s="399"/>
      <c r="G11" s="377"/>
      <c r="H11" s="399"/>
      <c r="I11" s="377"/>
      <c r="J11" s="371"/>
      <c r="K11" s="377"/>
      <c r="L11" s="371"/>
      <c r="M11" s="377"/>
      <c r="N11" s="371"/>
      <c r="O11" s="377"/>
    </row>
    <row r="12" spans="1:17" ht="27" customHeight="1">
      <c r="A12" s="80" t="s">
        <v>383</v>
      </c>
      <c r="B12" s="65" t="s">
        <v>188</v>
      </c>
      <c r="C12" s="376"/>
      <c r="D12" s="372"/>
      <c r="E12" s="376"/>
      <c r="F12" s="94"/>
      <c r="G12" s="398"/>
      <c r="H12" s="94"/>
      <c r="I12" s="398"/>
      <c r="J12" s="372"/>
      <c r="K12" s="398"/>
      <c r="L12" s="372"/>
      <c r="M12" s="398"/>
      <c r="N12" s="372"/>
      <c r="O12" s="377"/>
      <c r="Q12" s="22"/>
    </row>
    <row r="13" spans="1:15" ht="27" customHeight="1">
      <c r="A13" s="80" t="s">
        <v>425</v>
      </c>
      <c r="B13" s="65"/>
      <c r="C13" s="376"/>
      <c r="D13" s="94"/>
      <c r="E13" s="376"/>
      <c r="F13" s="94"/>
      <c r="G13" s="376"/>
      <c r="H13" s="94"/>
      <c r="I13" s="376"/>
      <c r="J13" s="372"/>
      <c r="K13" s="376"/>
      <c r="L13" s="372"/>
      <c r="M13" s="376"/>
      <c r="N13" s="372"/>
      <c r="O13" s="377"/>
    </row>
    <row r="14" spans="1:15" ht="38.25">
      <c r="A14" s="80" t="s">
        <v>384</v>
      </c>
      <c r="B14" s="65" t="s">
        <v>188</v>
      </c>
      <c r="C14" s="376"/>
      <c r="D14" s="372"/>
      <c r="E14" s="376"/>
      <c r="F14" s="94"/>
      <c r="G14" s="376"/>
      <c r="H14" s="94"/>
      <c r="I14" s="408"/>
      <c r="J14" s="372"/>
      <c r="K14" s="376"/>
      <c r="L14" s="372"/>
      <c r="M14" s="376"/>
      <c r="N14" s="372"/>
      <c r="O14" s="377"/>
    </row>
    <row r="15" spans="1:15" ht="27" customHeight="1">
      <c r="A15" s="80" t="s">
        <v>385</v>
      </c>
      <c r="B15" s="65" t="s">
        <v>188</v>
      </c>
      <c r="C15" s="376"/>
      <c r="D15" s="372"/>
      <c r="E15" s="376"/>
      <c r="F15" s="94"/>
      <c r="G15" s="376"/>
      <c r="H15" s="94"/>
      <c r="I15" s="376"/>
      <c r="J15" s="372"/>
      <c r="K15" s="376"/>
      <c r="L15" s="372"/>
      <c r="M15" s="376"/>
      <c r="N15" s="372"/>
      <c r="O15" s="377"/>
    </row>
    <row r="16" spans="1:15" ht="27" customHeight="1">
      <c r="A16" s="80" t="s">
        <v>386</v>
      </c>
      <c r="B16" s="65"/>
      <c r="C16" s="376"/>
      <c r="D16" s="372"/>
      <c r="E16" s="376"/>
      <c r="F16" s="94"/>
      <c r="G16" s="376"/>
      <c r="H16" s="94"/>
      <c r="I16" s="376"/>
      <c r="J16" s="372"/>
      <c r="K16" s="376"/>
      <c r="L16" s="372"/>
      <c r="M16" s="376"/>
      <c r="N16" s="372"/>
      <c r="O16" s="377"/>
    </row>
    <row r="17" spans="1:15" ht="27.75" customHeight="1">
      <c r="A17" s="80" t="s">
        <v>387</v>
      </c>
      <c r="B17" s="65" t="s">
        <v>188</v>
      </c>
      <c r="C17" s="376"/>
      <c r="D17" s="372"/>
      <c r="E17" s="376"/>
      <c r="F17" s="94"/>
      <c r="G17" s="376"/>
      <c r="H17" s="94"/>
      <c r="I17" s="376"/>
      <c r="J17" s="372"/>
      <c r="K17" s="376"/>
      <c r="L17" s="372"/>
      <c r="M17" s="376"/>
      <c r="N17" s="372"/>
      <c r="O17" s="377"/>
    </row>
    <row r="18" spans="1:15" ht="26.25">
      <c r="A18" s="80" t="s">
        <v>388</v>
      </c>
      <c r="B18" s="65" t="s">
        <v>188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/>
    </row>
    <row r="19" spans="1:17" ht="24" customHeight="1">
      <c r="A19" s="412" t="s">
        <v>389</v>
      </c>
      <c r="B19" s="65" t="s">
        <v>188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76"/>
      <c r="N19" s="372"/>
      <c r="O19" s="377"/>
      <c r="Q19" s="22"/>
    </row>
    <row r="20" spans="1:17" ht="24.75" customHeight="1">
      <c r="A20" s="80" t="s">
        <v>453</v>
      </c>
      <c r="B20" s="65" t="s">
        <v>186</v>
      </c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/>
      <c r="Q20" s="469"/>
    </row>
    <row r="21" spans="1:15" ht="12.75">
      <c r="A21" s="64"/>
      <c r="C21" s="372"/>
      <c r="D21" s="94"/>
      <c r="E21" s="372"/>
      <c r="F21" s="94"/>
      <c r="G21" s="372"/>
      <c r="H21" s="94"/>
      <c r="I21" s="372"/>
      <c r="J21" s="372"/>
      <c r="K21" s="372"/>
      <c r="L21" s="372"/>
      <c r="M21" s="372"/>
      <c r="N21" s="372"/>
      <c r="O21" s="399"/>
    </row>
    <row r="22" spans="1:19" ht="13.5" thickBot="1">
      <c r="A22" s="80" t="s">
        <v>362</v>
      </c>
      <c r="B22" s="34"/>
      <c r="C22" s="378">
        <f>SUM(C11:C20)</f>
        <v>0</v>
      </c>
      <c r="D22" s="399"/>
      <c r="E22" s="378">
        <f>SUM(E11:E20)</f>
        <v>0</v>
      </c>
      <c r="F22" s="399"/>
      <c r="G22" s="378">
        <f>SUM(G11:G20)</f>
        <v>0</v>
      </c>
      <c r="H22" s="399"/>
      <c r="I22" s="378">
        <f>SUM(I11:I20)</f>
        <v>0</v>
      </c>
      <c r="J22" s="371"/>
      <c r="K22" s="378">
        <f>SUM(K11:K20)</f>
        <v>0</v>
      </c>
      <c r="L22" s="371"/>
      <c r="M22" s="378">
        <f>SUM(M11:M21)</f>
        <v>0</v>
      </c>
      <c r="N22" s="371"/>
      <c r="O22" s="466">
        <f>SUM(O11:O20)</f>
        <v>0</v>
      </c>
      <c r="S22" s="22"/>
    </row>
    <row r="23" spans="1:15" ht="13.5" thickTop="1">
      <c r="A23" s="413"/>
      <c r="B23" s="414"/>
      <c r="C23" s="420"/>
      <c r="D23" s="421"/>
      <c r="E23" s="420"/>
      <c r="F23" s="421"/>
      <c r="G23" s="420"/>
      <c r="H23" s="421"/>
      <c r="I23" s="420"/>
      <c r="J23" s="414"/>
      <c r="K23" s="420"/>
      <c r="L23" s="186"/>
      <c r="M23" s="422"/>
      <c r="N23" s="186"/>
      <c r="O23" s="422"/>
    </row>
    <row r="24" spans="1:15" ht="12.75">
      <c r="A24" s="435"/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5" ht="12.75">
      <c r="A25" s="413"/>
      <c r="B25" s="414"/>
      <c r="C25" s="439"/>
      <c r="D25" s="439"/>
      <c r="E25" s="439"/>
      <c r="F25" s="439"/>
      <c r="G25" s="439"/>
      <c r="H25" s="439"/>
      <c r="I25" s="439"/>
      <c r="J25" s="440"/>
      <c r="K25" s="439"/>
      <c r="L25" s="441"/>
      <c r="M25" s="442"/>
      <c r="N25" s="441"/>
      <c r="O25" s="442"/>
    </row>
    <row r="26" spans="1:15" ht="12.75">
      <c r="A26" s="413" t="s">
        <v>390</v>
      </c>
      <c r="B26" s="414"/>
      <c r="C26" s="439"/>
      <c r="D26" s="439"/>
      <c r="E26" s="439"/>
      <c r="F26" s="439"/>
      <c r="G26" s="439"/>
      <c r="H26" s="439"/>
      <c r="I26" s="439"/>
      <c r="J26" s="440"/>
      <c r="K26" s="439"/>
      <c r="L26" s="441"/>
      <c r="M26" s="442"/>
      <c r="N26" s="441"/>
      <c r="O26" s="442"/>
    </row>
    <row r="27" spans="1:15" ht="9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  <c r="K27" s="415"/>
      <c r="L27" s="186"/>
      <c r="M27" s="186"/>
      <c r="N27" s="186"/>
      <c r="O27" s="186"/>
    </row>
    <row r="28" spans="1:15" ht="12.75">
      <c r="A28" s="413" t="s">
        <v>391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186"/>
      <c r="M28" s="186"/>
      <c r="N28" s="186"/>
      <c r="O28" s="186"/>
    </row>
    <row r="29" spans="1:15" ht="12.75">
      <c r="A29" s="416" t="s">
        <v>392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186"/>
      <c r="M29" s="186"/>
      <c r="N29" s="186"/>
      <c r="O29" s="186"/>
    </row>
    <row r="30" spans="1:15" ht="9" customHeight="1">
      <c r="A30" s="186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186"/>
      <c r="M30" s="186"/>
      <c r="N30" s="186"/>
      <c r="O30" s="186"/>
    </row>
    <row r="31" spans="1:15" ht="12.75">
      <c r="A31" s="430" t="s">
        <v>393</v>
      </c>
      <c r="B31" s="79"/>
      <c r="C31" s="79"/>
      <c r="D31" s="79">
        <v>28259071</v>
      </c>
      <c r="E31" s="79"/>
      <c r="F31" s="79"/>
      <c r="G31" s="79"/>
      <c r="H31" s="79"/>
      <c r="I31" s="427"/>
      <c r="J31" s="427"/>
      <c r="K31" s="427"/>
      <c r="L31" s="427"/>
      <c r="M31" s="427"/>
      <c r="N31" s="427"/>
      <c r="O31" s="427"/>
    </row>
    <row r="32" spans="1:15" ht="9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</row>
    <row r="33" spans="1:19" ht="12.75">
      <c r="A33" s="504" t="s">
        <v>394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00"/>
      <c r="Q33" s="400"/>
      <c r="R33" s="400"/>
      <c r="S33" s="400"/>
    </row>
    <row r="34" spans="1:19" ht="12.75">
      <c r="A34" s="503" t="s">
        <v>395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00"/>
      <c r="Q34" s="400"/>
      <c r="R34" s="400"/>
      <c r="S34" s="400"/>
    </row>
    <row r="35" spans="1:19" ht="12.75">
      <c r="A35" s="503" t="s">
        <v>416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00"/>
      <c r="Q35" s="400"/>
      <c r="R35" s="400"/>
      <c r="S35" s="400"/>
    </row>
    <row r="36" spans="1:19" ht="12.75">
      <c r="A36" s="503" t="s">
        <v>396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00"/>
      <c r="Q36" s="400"/>
      <c r="R36" s="400"/>
      <c r="S36" s="400"/>
    </row>
    <row r="37" spans="1:19" ht="12.75">
      <c r="A37" s="417" t="s">
        <v>359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00"/>
      <c r="Q37" s="400"/>
      <c r="R37" s="400"/>
      <c r="S37" s="400"/>
    </row>
    <row r="38" spans="1:19" ht="12.75">
      <c r="A38" s="417" t="s">
        <v>360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00"/>
      <c r="Q38" s="400"/>
      <c r="R38" s="400"/>
      <c r="S38" s="400"/>
    </row>
    <row r="39" spans="1:19" ht="12.75">
      <c r="A39" s="417" t="s">
        <v>397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00"/>
      <c r="Q39" s="400"/>
      <c r="R39" s="400"/>
      <c r="S39" s="400"/>
    </row>
    <row r="40" spans="1:19" ht="12.75">
      <c r="A40" s="417" t="s">
        <v>398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00"/>
      <c r="Q40" s="400"/>
      <c r="R40" s="400"/>
      <c r="S40" s="400"/>
    </row>
    <row r="41" spans="2:19" ht="9" customHeight="1"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5" ht="12.75">
      <c r="A42" s="419" t="s">
        <v>399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186"/>
      <c r="M42" s="186"/>
      <c r="N42" s="186"/>
      <c r="O42" s="186"/>
    </row>
    <row r="43" spans="1:15" ht="12.75">
      <c r="A43" s="414" t="s">
        <v>400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186"/>
      <c r="M43" s="186"/>
      <c r="N43" s="186"/>
      <c r="O43" s="186"/>
    </row>
    <row r="44" spans="1:15" ht="9" customHeight="1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186"/>
      <c r="M44" s="186"/>
      <c r="N44" s="186"/>
      <c r="O44" s="186"/>
    </row>
    <row r="45" spans="1:15" ht="12.75">
      <c r="A45" s="419" t="s">
        <v>401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186"/>
      <c r="M45" s="186"/>
      <c r="N45" s="186"/>
      <c r="O45" s="186"/>
    </row>
    <row r="46" spans="1:15" ht="12.75">
      <c r="A46" s="414" t="s">
        <v>402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9" customHeight="1">
      <c r="A47" s="414"/>
      <c r="B47" s="414"/>
      <c r="C47" s="414"/>
      <c r="D47" s="414">
        <v>675060</v>
      </c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12.75">
      <c r="A48" s="419" t="s">
        <v>403</v>
      </c>
      <c r="B48" s="414"/>
      <c r="C48" s="414"/>
      <c r="D48" s="414">
        <v>1163553</v>
      </c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4" t="s">
        <v>404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9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12.75">
      <c r="A51" s="419" t="s">
        <v>405</v>
      </c>
      <c r="B51" s="414"/>
      <c r="C51" s="471"/>
      <c r="D51" s="414">
        <v>581776</v>
      </c>
      <c r="E51" s="414">
        <f>D51</f>
        <v>581776</v>
      </c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4" t="s">
        <v>402</v>
      </c>
      <c r="B52" s="414"/>
      <c r="C52" s="414"/>
      <c r="D52" s="414">
        <v>101113</v>
      </c>
      <c r="E52" s="414">
        <f>D52</f>
        <v>101113</v>
      </c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9" customHeight="1">
      <c r="A53" s="419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12.75">
      <c r="A54" s="414" t="s">
        <v>406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9" customHeight="1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 customHeight="1">
      <c r="A56" s="419" t="s">
        <v>407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408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12.75">
      <c r="A59" s="414" t="s">
        <v>409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>
      <c r="A60" s="414" t="s">
        <v>410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12.75">
      <c r="A61" s="414" t="s">
        <v>369</v>
      </c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9" customHeight="1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411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412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3.75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370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372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3.75" customHeight="1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12.75">
      <c r="A70" s="414" t="s">
        <v>413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414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415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9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 customHeight="1">
      <c r="A74" s="503" t="s">
        <v>444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14" t="s">
        <v>361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186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12.75">
      <c r="A77" s="186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7" ht="12.75">
      <c r="A78" s="186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186"/>
      <c r="O78" s="186"/>
      <c r="P78" s="186"/>
      <c r="Q78" s="186"/>
    </row>
    <row r="79" spans="1:17" ht="12.75">
      <c r="A79" s="186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186"/>
      <c r="O79" s="186"/>
      <c r="P79" s="186"/>
      <c r="Q79" s="186"/>
    </row>
    <row r="80" spans="1:17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186"/>
      <c r="O80" s="186"/>
      <c r="P80" s="186"/>
      <c r="Q80" s="186"/>
    </row>
    <row r="81" spans="1:17" ht="12.7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186"/>
      <c r="O81" s="186"/>
      <c r="P81" s="186"/>
      <c r="Q81" s="186"/>
    </row>
    <row r="82" spans="1:17" ht="12.75">
      <c r="A82" s="186"/>
      <c r="B82" s="186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186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186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186"/>
      <c r="B88" s="186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186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186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101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101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101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2011-07-08T19:48:10Z</cp:lastPrinted>
  <dcterms:created xsi:type="dcterms:W3CDTF">2001-11-07T16:15:53Z</dcterms:created>
  <dcterms:modified xsi:type="dcterms:W3CDTF">2012-10-15T12:49:55Z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