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12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6.xml><?xml version="1.0" encoding="utf-8"?>
<comments xmlns="http://schemas.openxmlformats.org/spreadsheetml/2006/main">
  <authors>
    <author>KOKTANM</author>
  </authors>
  <commentList>
    <comment ref="C62" authorId="0">
      <text>
        <r>
          <rPr>
            <b/>
            <sz val="9"/>
            <rFont val="Tahoma"/>
            <family val="2"/>
          </rPr>
          <t>KOKTANM:</t>
        </r>
        <r>
          <rPr>
            <sz val="9"/>
            <rFont val="Tahoma"/>
            <family val="2"/>
          </rPr>
          <t xml:space="preserve">
RSVA OPENING BAL = 114,490 DR SINCE WAS A CR IN 2004
PLUS
RSVA CLOSING BAL 2,828,746 DR</t>
        </r>
      </text>
    </comment>
  </commentList>
</comments>
</file>

<file path=xl/sharedStrings.xml><?xml version="1.0" encoding="utf-8"?>
<sst xmlns="http://schemas.openxmlformats.org/spreadsheetml/2006/main" count="887" uniqueCount="499">
  <si>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</si>
  <si>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</si>
  <si>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</si>
  <si>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</si>
  <si>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</si>
  <si>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</si>
  <si>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</si>
  <si>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</si>
  <si>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</si>
  <si>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</si>
  <si>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</si>
  <si>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</si>
  <si>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</si>
  <si>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</si>
  <si>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</si>
  <si>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</si>
  <si>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</si>
  <si>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</si>
  <si>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</si>
  <si>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</si>
  <si>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</si>
  <si>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</si>
  <si>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</si>
  <si>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</si>
  <si>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</si>
  <si>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</si>
  <si>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</si>
  <si>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</si>
  <si>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</si>
  <si>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</si>
  <si>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</si>
  <si>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</si>
  <si>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</si>
  <si>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</si>
  <si>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</si>
  <si>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</si>
  <si>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</si>
  <si>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</si>
  <si>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</si>
  <si>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</si>
  <si>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</si>
  <si>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</si>
  <si>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</si>
  <si>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</si>
  <si>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</si>
  <si>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</si>
  <si>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</si>
  <si>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</si>
  <si>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</si>
  <si>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</si>
  <si>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</si>
  <si>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</si>
  <si>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</si>
  <si>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</si>
  <si>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</si>
  <si>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</si>
  <si>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</si>
  <si>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</si>
  <si>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</si>
  <si>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</si>
  <si>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</si>
  <si>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</si>
  <si>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</si>
  <si>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</si>
  <si>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</si>
  <si>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</si>
  <si>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</si>
  <si>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</si>
  <si>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</si>
  <si>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</si>
  <si>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</si>
  <si>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</si>
  <si>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</si>
  <si>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</si>
  <si>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</si>
  <si>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</si>
  <si>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</si>
  <si>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</si>
  <si>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</si>
  <si>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</si>
  <si>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</si>
  <si>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</si>
  <si>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</si>
  <si>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</si>
  <si>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</si>
  <si>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</si>
  <si>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</si>
  <si>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</si>
  <si>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</si>
  <si>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</si>
  <si>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</si>
  <si>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</si>
  <si>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</si>
  <si>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</si>
  <si>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</si>
  <si>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</si>
  <si>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</si>
  <si>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</si>
  <si>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</si>
  <si>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</si>
  <si>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</si>
  <si>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</si>
  <si>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</si>
  <si>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</si>
  <si>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</si>
  <si>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</si>
  <si>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</si>
  <si>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</si>
  <si>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</si>
  <si>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</si>
  <si>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</si>
  <si>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</si>
  <si>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</si>
  <si>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</si>
  <si>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</si>
  <si>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</si>
  <si>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</si>
  <si>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</si>
  <si>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</si>
  <si>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</si>
  <si>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</si>
  <si>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</si>
  <si>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</si>
  <si>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</si>
  <si>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</si>
  <si>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</si>
  <si>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</si>
  <si>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</si>
  <si>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</si>
  <si>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</si>
  <si>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</si>
  <si>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</si>
  <si>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</si>
  <si>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</si>
  <si>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</si>
  <si>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</si>
  <si>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</si>
  <si>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</si>
  <si>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</si>
  <si>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</si>
  <si>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</si>
  <si>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</si>
  <si>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</si>
  <si>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</si>
  <si>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</si>
  <si>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</si>
  <si>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</si>
  <si>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</si>
  <si>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</si>
  <si>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</si>
  <si>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</si>
  <si>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</si>
  <si>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</si>
  <si>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</si>
  <si>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</si>
  <si>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</si>
  <si>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</si>
  <si>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</si>
  <si>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</si>
  <si>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</si>
  <si>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</si>
  <si>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</si>
  <si>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</si>
  <si>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</si>
  <si>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</si>
  <si>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</si>
  <si>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</si>
  <si>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</si>
  <si>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</si>
  <si>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</si>
  <si>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</si>
  <si>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</si>
  <si>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</si>
  <si>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</si>
  <si>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</si>
  <si>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</si>
  <si>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</si>
  <si>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</si>
  <si>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</si>
  <si>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</si>
  <si>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</si>
  <si>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</si>
  <si>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</si>
  <si>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</si>
  <si>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</si>
  <si>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</si>
  <si>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</si>
  <si>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</si>
  <si>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</si>
  <si>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</si>
  <si>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</si>
  <si>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</si>
  <si>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</si>
  <si>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</si>
  <si>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</si>
  <si>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</si>
  <si>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</si>
  <si>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</si>
  <si>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</si>
  <si>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</si>
  <si>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</si>
  <si>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</si>
  <si>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</si>
  <si>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</si>
  <si>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</si>
  <si>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</si>
  <si>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</si>
  <si>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</si>
  <si>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</si>
  <si>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</si>
  <si>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</si>
  <si>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</si>
  <si>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</si>
  <si>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</si>
  <si>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</si>
  <si>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</si>
  <si>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</si>
  <si>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</si>
  <si>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</si>
  <si>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</si>
  <si>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</si>
  <si>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</si>
  <si>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</si>
  <si>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</si>
  <si>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</si>
  <si>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</si>
  <si>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</si>
  <si>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</si>
  <si>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</si>
  <si>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</si>
  <si>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</si>
  <si>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</si>
  <si>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</si>
  <si>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</si>
  <si>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</si>
  <si>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</si>
  <si>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</si>
  <si>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</si>
  <si>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</si>
  <si>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</si>
  <si>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</si>
  <si>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</si>
  <si>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</si>
  <si>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</si>
  <si>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</si>
  <si>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</si>
  <si>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</si>
  <si>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</si>
  <si>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</si>
  <si>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</si>
  <si>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</si>
  <si>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</si>
  <si>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</si>
  <si>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</si>
  <si>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</si>
  <si>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</si>
  <si>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</si>
  <si>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</si>
  <si>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</si>
  <si>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</si>
  <si>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</si>
  <si>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</si>
  <si>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</si>
  <si>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</si>
  <si>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</si>
  <si>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</si>
  <si>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</si>
  <si>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</si>
  <si>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</si>
  <si>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</si>
  <si>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</si>
  <si>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</si>
  <si>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</si>
  <si>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</si>
  <si>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</si>
  <si>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</si>
  <si>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</si>
  <si>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</si>
  <si>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</si>
  <si>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</si>
  <si>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</si>
  <si>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</si>
  <si>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</si>
  <si>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</si>
  <si>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</si>
  <si>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</si>
  <si>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</si>
  <si>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</si>
  <si>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</si>
  <si>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</si>
  <si>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</si>
  <si>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</si>
  <si>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</si>
  <si>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</si>
  <si>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</si>
  <si>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</si>
  <si>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</si>
  <si>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</si>
  <si>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</si>
  <si>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</si>
  <si>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</si>
  <si>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</si>
  <si>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</si>
  <si>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</si>
  <si>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</si>
  <si>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</si>
  <si>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</si>
  <si>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</si>
  <si>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</si>
  <si>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</si>
  <si>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</si>
  <si>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</si>
  <si>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</si>
  <si>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</si>
  <si>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</si>
  <si>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</si>
  <si>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</si>
  <si>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</si>
  <si>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</si>
  <si>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</si>
  <si>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</si>
  <si>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</si>
  <si>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</si>
  <si>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</si>
  <si>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</si>
  <si>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</si>
  <si>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</si>
  <si>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</si>
  <si>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</si>
  <si>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</si>
  <si>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</si>
  <si>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</si>
  <si>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</si>
  <si>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</si>
  <si>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</si>
  <si>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</si>
  <si>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</si>
  <si>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</si>
  <si>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</si>
  <si>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</si>
  <si>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</si>
  <si>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</si>
  <si>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</si>
  <si>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</si>
  <si>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</si>
  <si>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</si>
  <si>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</si>
  <si>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</si>
  <si>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</si>
  <si>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</si>
  <si>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</si>
  <si>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</si>
  <si>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</si>
  <si>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</si>
  <si>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</si>
  <si>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</si>
  <si>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</si>
  <si>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</si>
  <si>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</si>
  <si>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</si>
  <si>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</si>
  <si>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</si>
  <si>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</si>
  <si>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</si>
  <si>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</si>
  <si>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</si>
  <si>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</si>
  <si>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</si>
  <si>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</si>
  <si>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</si>
  <si>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</si>
  <si>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</si>
  <si>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</si>
  <si>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</si>
  <si>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</si>
  <si>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</si>
  <si>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</si>
  <si>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</si>
  <si>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</si>
  <si>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</si>
  <si>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</si>
  <si>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</si>
  <si>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</si>
  <si>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</si>
  <si>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</si>
  <si>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</si>
  <si>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</si>
  <si>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</si>
  <si>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</si>
  <si>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</si>
  <si>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</si>
  <si>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</si>
  <si>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</si>
  <si>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</si>
  <si>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</si>
  <si>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</si>
  <si>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</si>
  <si>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</si>
  <si>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</si>
  <si>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</si>
  <si>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</si>
  <si>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</si>
  <si>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</si>
  <si>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</si>
  <si>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</si>
  <si>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</si>
  <si>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</si>
  <si>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</si>
  <si>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</si>
  <si>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</si>
  <si>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</si>
  <si>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</si>
  <si>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</si>
  <si>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</si>
  <si>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</si>
  <si>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</si>
  <si>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</si>
  <si>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</si>
  <si>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</si>
  <si>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</si>
  <si>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</si>
  <si>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</si>
  <si>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</si>
  <si>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</si>
  <si>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</si>
  <si>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</si>
  <si>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</si>
  <si>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</si>
  <si>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</si>
  <si>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</si>
  <si>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</si>
  <si>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</si>
  <si>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</si>
  <si>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</si>
  <si>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</si>
  <si>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</si>
  <si>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</si>
  <si>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</si>
  <si>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</si>
  <si>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</si>
  <si>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</si>
  <si>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</si>
  <si>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</si>
  <si>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</si>
  <si>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</si>
  <si>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</si>
  <si>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</si>
  <si>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</si>
  <si>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</si>
  <si>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</si>
  <si>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</si>
  <si>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</si>
  <si>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</si>
  <si>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</si>
  <si>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</si>
  <si>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</si>
  <si>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</si>
  <si>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</si>
  <si>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</si>
  <si>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</si>
  <si>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</si>
  <si>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</si>
  <si>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</si>
  <si>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</si>
  <si>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 xml:space="preserve">RECAP </t>
  </si>
  <si>
    <t>TRUE-UP VARIANCE (from cell I132)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</si>
  <si>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</si>
  <si>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</si>
  <si>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</si>
  <si>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</si>
  <si>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</si>
  <si>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</si>
  <si>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</si>
  <si>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</si>
  <si>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</si>
  <si>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</si>
  <si>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</si>
  <si>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</si>
  <si>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</si>
  <si>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</si>
  <si>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</si>
  <si>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</si>
  <si>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</si>
  <si>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EB-2010-</t>
  </si>
  <si>
    <t xml:space="preserve">  C&amp;DM 2005 Incremental OM&amp;A expenses per C&amp;DM Plan</t>
  </si>
  <si>
    <t>Total deemed interest  (REGINFO CELL D62)</t>
  </si>
  <si>
    <t xml:space="preserve">  Charitable donations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</si>
  <si>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</si>
  <si>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</si>
  <si>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E207)</t>
    </r>
  </si>
  <si>
    <t>Interest Adjustment for Tax Purposes  (carry forward to Cell E113)</t>
  </si>
  <si>
    <t>Y</t>
  </si>
  <si>
    <t>N</t>
  </si>
  <si>
    <t>Other -EMPLOYEE FUTURE BENEFITS</t>
  </si>
  <si>
    <t>ONTARIO SPECIFIED TAX CREDITS</t>
  </si>
  <si>
    <t xml:space="preserve">Capital items expensed - </t>
  </si>
  <si>
    <t>Utility Name: Erie Thames Powerlines Corporation</t>
  </si>
  <si>
    <t xml:space="preserve">     Regulatory and Professional</t>
  </si>
  <si>
    <t xml:space="preserve">     Community Relations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</si>
</sst>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"/>
    <numFmt numFmtId="214" formatCode="#,##0.0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3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Alignment="1">
      <alignment vertical="top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>
      <alignment vertical="top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0" xfId="0" applyNumberFormat="1" applyFill="1" applyAlignment="1">
      <alignment/>
    </xf>
    <xf numFmtId="3" fontId="0" fillId="44" borderId="0" xfId="42" applyNumberFormat="1" applyFont="1" applyFill="1" applyAlignment="1" applyProtection="1">
      <alignment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>
      <alignment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Border="1" applyAlignment="1">
      <alignment vertical="top"/>
    </xf>
    <xf numFmtId="178" fontId="0" fillId="44" borderId="14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32" borderId="14" xfId="0" applyNumberFormat="1" applyFill="1" applyBorder="1" applyAlignment="1" applyProtection="1">
      <alignment/>
      <protection/>
    </xf>
    <xf numFmtId="37" fontId="0" fillId="37" borderId="14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" fontId="0" fillId="46" borderId="14" xfId="0" applyNumberForma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37" fontId="0" fillId="37" borderId="14" xfId="0" applyNumberFormat="1" applyFont="1" applyFill="1" applyBorder="1" applyAlignment="1" applyProtection="1">
      <alignment vertical="top"/>
      <protection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2%20Cost%20of%20Service\Written%20Exibits\Revised%20Application%20Exhibits\ETPL%20Board%20Staff%20IR%2044%20Erie%20Thames%202005%20Pi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</sheetNames>
    <definedNames>
      <definedName name="Ratebase" refersTo="=REGINFO!$C$25"/>
    </definedNames>
    <sheetDataSet>
      <sheetData sheetId="0">
        <row r="25">
          <cell r="C25">
            <v>16104265</v>
          </cell>
        </row>
        <row r="38">
          <cell r="C38">
            <v>545161</v>
          </cell>
        </row>
        <row r="43">
          <cell r="E43">
            <v>313567.55</v>
          </cell>
        </row>
        <row r="44">
          <cell r="E44">
            <v>260301</v>
          </cell>
        </row>
        <row r="45">
          <cell r="E45">
            <v>260301</v>
          </cell>
        </row>
        <row r="47">
          <cell r="C47">
            <v>11838.85</v>
          </cell>
        </row>
      </sheetData>
      <sheetData sheetId="1">
        <row r="15">
          <cell r="C15">
            <v>1391169.4000000001</v>
          </cell>
        </row>
        <row r="20">
          <cell r="C20">
            <v>866731</v>
          </cell>
        </row>
        <row r="25">
          <cell r="C25" t="str">
            <v> </v>
          </cell>
        </row>
        <row r="32">
          <cell r="C32">
            <v>585215</v>
          </cell>
        </row>
        <row r="36">
          <cell r="C36">
            <v>583779.60625</v>
          </cell>
        </row>
        <row r="44">
          <cell r="C44">
            <v>28000</v>
          </cell>
        </row>
        <row r="75">
          <cell r="C75">
            <v>16104265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25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483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496</v>
      </c>
      <c r="C3" s="8"/>
      <c r="D3" s="448" t="s">
        <v>438</v>
      </c>
      <c r="E3" s="8"/>
      <c r="F3" s="8"/>
      <c r="G3" s="8"/>
      <c r="H3" s="8"/>
    </row>
    <row r="4" spans="1:8" ht="12.75">
      <c r="A4" s="2" t="s">
        <v>468</v>
      </c>
      <c r="C4" s="8"/>
      <c r="D4" s="447" t="s">
        <v>433</v>
      </c>
      <c r="E4" s="422"/>
      <c r="H4" s="8"/>
    </row>
    <row r="5" spans="1:8" ht="12.75">
      <c r="A5" s="51"/>
      <c r="C5" s="8"/>
      <c r="D5" s="446" t="s">
        <v>434</v>
      </c>
      <c r="E5" s="396"/>
      <c r="H5" s="8"/>
    </row>
    <row r="6" spans="1:8" ht="12.75">
      <c r="A6" s="2" t="s">
        <v>125</v>
      </c>
      <c r="B6" s="386">
        <v>365</v>
      </c>
      <c r="C6" s="8" t="s">
        <v>126</v>
      </c>
      <c r="D6" s="21"/>
      <c r="H6" s="8"/>
    </row>
    <row r="7" spans="1:8" ht="13.5" thickBot="1">
      <c r="A7" s="51" t="s">
        <v>252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6" t="s">
        <v>492</v>
      </c>
    </row>
    <row r="18" spans="1:4" ht="15" customHeight="1">
      <c r="A18" s="387" t="s">
        <v>307</v>
      </c>
      <c r="C18" s="8"/>
      <c r="D18" s="8"/>
    </row>
    <row r="19" spans="1:4" ht="15" customHeight="1">
      <c r="A19" s="518" t="s">
        <v>308</v>
      </c>
      <c r="B19" s="8" t="s">
        <v>305</v>
      </c>
      <c r="C19" s="8" t="s">
        <v>63</v>
      </c>
      <c r="D19" s="386" t="s">
        <v>491</v>
      </c>
    </row>
    <row r="20" spans="1:4" ht="13.5" thickBot="1">
      <c r="A20" s="519"/>
      <c r="B20" s="8" t="s">
        <v>306</v>
      </c>
      <c r="C20" s="8" t="s">
        <v>63</v>
      </c>
      <c r="D20" s="256" t="s">
        <v>491</v>
      </c>
    </row>
    <row r="21" spans="1:4" ht="12.75">
      <c r="A21" s="518" t="s">
        <v>304</v>
      </c>
      <c r="B21" s="8" t="s">
        <v>305</v>
      </c>
      <c r="C21" s="8"/>
      <c r="D21" s="484">
        <v>1</v>
      </c>
    </row>
    <row r="22" spans="1:4" ht="12.75">
      <c r="A22" s="518"/>
      <c r="B22" s="8" t="s">
        <v>306</v>
      </c>
      <c r="C22" s="8"/>
      <c r="D22" s="484">
        <v>1</v>
      </c>
    </row>
    <row r="23" spans="1:4" ht="7.5" customHeight="1">
      <c r="A23" s="45"/>
      <c r="C23" s="8"/>
      <c r="D23" s="386"/>
    </row>
    <row r="24" spans="1:4" ht="12.75">
      <c r="A24" s="45" t="s">
        <v>211</v>
      </c>
      <c r="C24" s="8" t="s">
        <v>212</v>
      </c>
      <c r="D24" s="419" t="s">
        <v>469</v>
      </c>
    </row>
    <row r="25" ht="6.75" customHeight="1" thickBot="1">
      <c r="A25" s="12"/>
    </row>
    <row r="26" spans="1:5" ht="12.75">
      <c r="A26" s="253" t="s">
        <v>66</v>
      </c>
      <c r="C26" s="8"/>
      <c r="E26" s="437" t="s">
        <v>289</v>
      </c>
    </row>
    <row r="27" spans="1:5" ht="12.75">
      <c r="A27" s="254" t="s">
        <v>67</v>
      </c>
      <c r="C27" s="8"/>
      <c r="E27" s="438" t="s">
        <v>290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279</v>
      </c>
      <c r="D31" s="485">
        <f>[2]!Ratebase</f>
        <v>16104265</v>
      </c>
      <c r="H31" s="5"/>
    </row>
    <row r="32" ht="6" customHeight="1"/>
    <row r="33" spans="1:8" ht="12.75">
      <c r="A33" t="s">
        <v>70</v>
      </c>
      <c r="D33" s="486">
        <v>0.5</v>
      </c>
      <c r="F33" t="s">
        <v>101</v>
      </c>
      <c r="H33" s="39"/>
    </row>
    <row r="34" spans="4:8" ht="6" customHeight="1">
      <c r="D34">
        <v>50</v>
      </c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86">
        <v>0.0988</v>
      </c>
      <c r="H37" s="41"/>
    </row>
    <row r="38" ht="4.5" customHeight="1">
      <c r="H38" s="34"/>
    </row>
    <row r="39" spans="1:8" ht="12.75">
      <c r="A39" t="s">
        <v>73</v>
      </c>
      <c r="D39" s="486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1379330.29725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0">
        <f>'[2]REGINFO'!$C$38</f>
        <v>545161</v>
      </c>
      <c r="E43" s="385">
        <f>D43</f>
        <v>545161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834169.2972500001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87">
        <f>'[2]REGINFO'!$E$43</f>
        <v>313567.55</v>
      </c>
      <c r="E47" s="385">
        <f aca="true" t="shared" si="0" ref="E47:E53">D47</f>
        <v>313567.55</v>
      </c>
      <c r="H47" s="40"/>
      <c r="J47" s="5"/>
      <c r="K47" s="5"/>
    </row>
    <row r="48" spans="1:11" ht="12.75">
      <c r="A48" t="s">
        <v>282</v>
      </c>
      <c r="D48" s="487">
        <f>'[2]REGINFO'!$E$44</f>
        <v>260301</v>
      </c>
      <c r="E48" s="385">
        <f>D48</f>
        <v>260301</v>
      </c>
      <c r="F48" s="22"/>
      <c r="H48" s="40"/>
      <c r="J48" s="5"/>
      <c r="K48" s="5"/>
    </row>
    <row r="49" spans="1:11" ht="12.75">
      <c r="A49" t="s">
        <v>283</v>
      </c>
      <c r="D49" s="421"/>
      <c r="E49" s="385">
        <f>D49</f>
        <v>0</v>
      </c>
      <c r="F49" s="22"/>
      <c r="H49" s="40"/>
      <c r="J49" s="5"/>
      <c r="K49" s="5"/>
    </row>
    <row r="50" spans="1:11" ht="12.75">
      <c r="A50" t="s">
        <v>284</v>
      </c>
      <c r="D50" s="422"/>
      <c r="E50" s="385">
        <f t="shared" si="0"/>
        <v>0</v>
      </c>
      <c r="H50" s="40"/>
      <c r="J50" s="5"/>
      <c r="K50" s="5"/>
    </row>
    <row r="51" spans="1:11" ht="12.75">
      <c r="A51" t="s">
        <v>430</v>
      </c>
      <c r="C51" s="515"/>
      <c r="D51" s="496">
        <f>'[2]REGINFO'!$E$45</f>
        <v>260301</v>
      </c>
      <c r="E51" s="488">
        <f>+D51</f>
        <v>260301</v>
      </c>
      <c r="G51" s="3"/>
      <c r="H51" s="40"/>
      <c r="J51" s="5"/>
      <c r="K51" s="5"/>
    </row>
    <row r="52" spans="1:11" ht="12.75">
      <c r="A52" t="s">
        <v>453</v>
      </c>
      <c r="D52" s="422">
        <f>'[2]REGINFO'!$C$47</f>
        <v>11838.85</v>
      </c>
      <c r="E52" s="488">
        <f>D52</f>
        <v>11838.85</v>
      </c>
      <c r="G52" s="482"/>
      <c r="H52" s="40"/>
      <c r="J52" s="5"/>
      <c r="K52" s="5"/>
    </row>
    <row r="53" spans="4:11" ht="12.75">
      <c r="D53" s="422"/>
      <c r="E53" s="385">
        <f t="shared" si="0"/>
        <v>0</v>
      </c>
      <c r="G53" s="3"/>
      <c r="H53" s="40"/>
      <c r="J53" s="5"/>
      <c r="K53" s="5"/>
    </row>
    <row r="54" spans="1:11" ht="12.75">
      <c r="A54" s="2" t="s">
        <v>285</v>
      </c>
      <c r="E54" s="252">
        <f>SUM(E43:E53)</f>
        <v>1391169.4000000001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8052132.5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795550.691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8052132.5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583779.60625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51">
        <f>IF(D41&gt;0,(((D43+D47)/D41)*D62),0)</f>
        <v>363443.1983362521</v>
      </c>
      <c r="F64" s="5"/>
      <c r="H64" s="32"/>
      <c r="J64" s="5"/>
      <c r="K64" s="5"/>
    </row>
    <row r="65" spans="1:11" ht="12.75">
      <c r="A65" s="33" t="s">
        <v>369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51">
        <f>IF(D41&gt;0,(((D43+D47+D48)/D41)*D62),0)</f>
        <v>473611.4557793344</v>
      </c>
      <c r="F66" s="5"/>
      <c r="H66" s="32"/>
      <c r="J66" s="5"/>
      <c r="K66" s="5"/>
    </row>
    <row r="67" spans="1:11" ht="12.75">
      <c r="A67" s="33" t="s">
        <v>370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51">
        <f>IF(D41&gt;0,(((D43+D47+D48)/D41)*D62),0)</f>
        <v>473611.4557793344</v>
      </c>
      <c r="F68" s="5"/>
      <c r="H68" s="32"/>
      <c r="J68" s="5"/>
    </row>
    <row r="69" spans="1:10" ht="12.75">
      <c r="A69" s="33" t="s">
        <v>371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583779.60625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tabSelected="1" zoomScale="85" zoomScaleNormal="85" zoomScalePageLayoutView="0" workbookViewId="0" topLeftCell="A29">
      <selection activeCell="G56" sqref="G5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127</v>
      </c>
      <c r="C1" s="204" t="s">
        <v>33</v>
      </c>
      <c r="D1" s="205"/>
      <c r="E1" s="206" t="s">
        <v>22</v>
      </c>
      <c r="F1" s="207" t="s">
        <v>22</v>
      </c>
      <c r="G1" s="208" t="s">
        <v>455</v>
      </c>
      <c r="H1" s="209"/>
    </row>
    <row r="2" spans="1:8" ht="12.75">
      <c r="A2" s="210" t="s">
        <v>454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456</v>
      </c>
      <c r="H2" s="216"/>
    </row>
    <row r="3" spans="1:8" ht="12.75">
      <c r="A3" s="210" t="s">
        <v>48</v>
      </c>
      <c r="B3" s="217"/>
      <c r="C3" s="218"/>
      <c r="D3" s="213"/>
      <c r="E3" s="136" t="s">
        <v>20</v>
      </c>
      <c r="F3" s="219" t="s">
        <v>20</v>
      </c>
      <c r="G3" s="136"/>
      <c r="H3" s="216"/>
    </row>
    <row r="4" spans="1:8" ht="12.75">
      <c r="A4" s="220" t="s">
        <v>40</v>
      </c>
      <c r="B4" s="221"/>
      <c r="C4" s="218"/>
      <c r="D4" s="213"/>
      <c r="E4" s="136" t="s">
        <v>248</v>
      </c>
      <c r="F4" s="219" t="s">
        <v>21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Erie Thames Powerlines Corporation</v>
      </c>
      <c r="B6" s="114"/>
      <c r="D6" s="136"/>
      <c r="E6" s="114"/>
      <c r="G6" s="114"/>
      <c r="H6" s="458"/>
    </row>
    <row r="7" spans="1:8" ht="12.75">
      <c r="A7" s="210" t="str">
        <f>REGINFO!A4</f>
        <v>Reporting period:  2005</v>
      </c>
      <c r="B7" s="114"/>
      <c r="D7" s="136"/>
      <c r="E7" s="114"/>
      <c r="G7" s="114"/>
      <c r="H7" s="458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23">
        <f>REGINFO!B6</f>
        <v>365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252</v>
      </c>
      <c r="B10" s="423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29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333</v>
      </c>
      <c r="B16" s="124">
        <v>1</v>
      </c>
      <c r="C16" s="257">
        <f>'[2]TAXCALC'!$C$15</f>
        <v>1391169.4000000001</v>
      </c>
      <c r="D16" s="17"/>
      <c r="E16" s="265">
        <f>G16-C16</f>
        <v>-711007.4000000001</v>
      </c>
      <c r="F16" s="3"/>
      <c r="G16" s="265">
        <f>TAXREC!E50</f>
        <v>680162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9">
        <f>'[2]TAXCALC'!$C$20</f>
        <v>866731</v>
      </c>
      <c r="D20" s="18"/>
      <c r="E20" s="265">
        <f>G20-C20</f>
        <v>171175</v>
      </c>
      <c r="F20" s="6"/>
      <c r="G20" s="265">
        <f>TAXREC!E61</f>
        <v>1037906</v>
      </c>
      <c r="H20" s="150"/>
    </row>
    <row r="21" spans="1:8" ht="12.75">
      <c r="A21" s="157" t="s">
        <v>55</v>
      </c>
      <c r="B21" s="126">
        <v>3</v>
      </c>
      <c r="C21" s="48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260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259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261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48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1440</v>
      </c>
      <c r="F27" s="6"/>
      <c r="G27" s="265">
        <f>TAXREC!E93</f>
        <v>1440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.75">
      <c r="A30" s="473" t="s">
        <v>386</v>
      </c>
      <c r="B30" s="126"/>
      <c r="C30" s="257"/>
      <c r="D30" s="18"/>
      <c r="E30" s="265">
        <f>G30-C30</f>
        <v>0</v>
      </c>
      <c r="F30" s="6"/>
      <c r="G30" s="265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334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489">
        <f>'[2]TAXCALC'!$C$32</f>
        <v>585215</v>
      </c>
      <c r="D33" s="131"/>
      <c r="E33" s="265">
        <f aca="true" t="shared" si="0" ref="E33:E42">G33-C33</f>
        <v>186647</v>
      </c>
      <c r="F33" s="6"/>
      <c r="G33" s="265">
        <f>TAXREC!E97+TAXREC!E98</f>
        <v>771862</v>
      </c>
      <c r="H33" s="150"/>
    </row>
    <row r="34" spans="1:8" ht="12.75">
      <c r="A34" s="157" t="s">
        <v>56</v>
      </c>
      <c r="B34" s="126">
        <v>8</v>
      </c>
      <c r="C34" s="48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44</v>
      </c>
      <c r="B35" s="126">
        <v>9</v>
      </c>
      <c r="C35" s="259">
        <v>0</v>
      </c>
      <c r="D35" s="131"/>
      <c r="E35" s="265">
        <f t="shared" si="0"/>
        <v>43516</v>
      </c>
      <c r="F35" s="6"/>
      <c r="G35" s="265">
        <f>TAXREC!E100</f>
        <v>43516</v>
      </c>
      <c r="H35" s="150"/>
    </row>
    <row r="36" spans="1:8" ht="12.75">
      <c r="A36" s="157" t="s">
        <v>262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f>'[2]TAXCALC'!$C$36</f>
        <v>583779.60625</v>
      </c>
      <c r="D37" s="131"/>
      <c r="E37" s="265">
        <f t="shared" si="0"/>
        <v>-986.6062499999534</v>
      </c>
      <c r="F37" s="6"/>
      <c r="G37" s="512">
        <f>TAXREC!E51</f>
        <v>582793</v>
      </c>
      <c r="H37" s="150"/>
    </row>
    <row r="38" spans="1:8" ht="12.75">
      <c r="A38" s="154" t="s">
        <v>258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257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489">
        <v>0</v>
      </c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489"/>
      <c r="D45" s="131"/>
      <c r="E45" s="265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49">
        <f>TAXREC!E111</f>
        <v>0</v>
      </c>
      <c r="H47" s="150"/>
    </row>
    <row r="48" spans="1:8" ht="12.75">
      <c r="A48" s="151" t="s">
        <v>484</v>
      </c>
      <c r="B48" s="126"/>
      <c r="C48" s="259">
        <f>'[2]TAXCALC'!$C$44</f>
        <v>28000</v>
      </c>
      <c r="D48" s="131"/>
      <c r="E48" s="265"/>
      <c r="F48" s="6"/>
      <c r="G48" s="249"/>
      <c r="H48" s="150"/>
    </row>
    <row r="49" spans="1:8" ht="15.75">
      <c r="A49" s="473" t="s">
        <v>386</v>
      </c>
      <c r="B49" s="126"/>
      <c r="C49" s="257"/>
      <c r="D49" s="131"/>
      <c r="E49" s="265">
        <f>G49-C49</f>
        <v>0</v>
      </c>
      <c r="F49" s="6"/>
      <c r="G49" s="249">
        <f>TAXREC!E108</f>
        <v>0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320</v>
      </c>
      <c r="B51" s="124"/>
      <c r="C51" s="261">
        <f>C16+SUM(C20:C30)-SUM(C33:C49)</f>
        <v>1060905.7937500004</v>
      </c>
      <c r="D51" s="101"/>
      <c r="E51" s="261">
        <f>E16+SUM(E20:E30)-SUM(E33:E49)</f>
        <v>-767568.7937500002</v>
      </c>
      <c r="F51" s="425"/>
      <c r="G51" s="261">
        <f>G16+SUM(G20:G30)-SUM(G33:G49)</f>
        <v>321337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328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332</v>
      </c>
      <c r="B54" s="126">
        <v>13</v>
      </c>
      <c r="C54" s="260">
        <f>IF($C$51&gt;'Tax Rates'!$E$11,'Tax Rates'!$F$16,IF($C$51&gt;'Tax Rates'!$C$11,'Tax Rates'!$E$16,'Tax Rates'!$C$16))</f>
        <v>0.275</v>
      </c>
      <c r="D54" s="101"/>
      <c r="E54" s="266">
        <f>+G54-C54</f>
        <v>-0.08282791897602831</v>
      </c>
      <c r="F54" s="113"/>
      <c r="G54" s="466">
        <f>TAXREC!E151</f>
        <v>0.1921720810239717</v>
      </c>
      <c r="H54" s="150"/>
      <c r="I54" s="463"/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27</v>
      </c>
      <c r="B56" s="126"/>
      <c r="C56" s="262">
        <f>IF(C51&gt;0,C51*C54,0)</f>
        <v>291749.09328125016</v>
      </c>
      <c r="D56" s="101"/>
      <c r="E56" s="265">
        <f>G56-C56</f>
        <v>-229997.09328125016</v>
      </c>
      <c r="F56" s="425" t="s">
        <v>359</v>
      </c>
      <c r="G56" s="262">
        <f>TAXREC!E144</f>
        <v>61752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35</v>
      </c>
      <c r="B59" s="126">
        <v>14</v>
      </c>
      <c r="C59" s="263"/>
      <c r="D59" s="131"/>
      <c r="E59" s="265">
        <f>+G59-C59</f>
        <v>0</v>
      </c>
      <c r="F59" s="425" t="s">
        <v>359</v>
      </c>
      <c r="G59" s="268">
        <f>TAXREC!E145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36</v>
      </c>
      <c r="B61" s="133"/>
      <c r="C61" s="264">
        <f>+C56-C59</f>
        <v>291749.09328125016</v>
      </c>
      <c r="D61" s="132"/>
      <c r="E61" s="267">
        <f>+E56-E59</f>
        <v>-229997.09328125016</v>
      </c>
      <c r="F61" s="425" t="s">
        <v>359</v>
      </c>
      <c r="G61" s="267">
        <f>+G56-G59</f>
        <v>61752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30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28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16</v>
      </c>
      <c r="B67" s="124">
        <v>15</v>
      </c>
      <c r="C67" s="262">
        <f>Ratebase</f>
        <v>16104265</v>
      </c>
      <c r="D67" s="101"/>
      <c r="E67" s="265">
        <f>G67-C67</f>
        <v>1598782</v>
      </c>
      <c r="F67" s="6"/>
      <c r="G67" s="490">
        <v>17703047</v>
      </c>
      <c r="H67" s="150"/>
      <c r="I67" s="469" t="s">
        <v>462</v>
      </c>
    </row>
    <row r="68" spans="1:10" ht="12.75">
      <c r="A68" s="151" t="s">
        <v>352</v>
      </c>
      <c r="B68" s="124">
        <v>16</v>
      </c>
      <c r="C68" s="258">
        <v>7500000</v>
      </c>
      <c r="D68" s="101"/>
      <c r="E68" s="265">
        <f>G68-C68</f>
        <v>-2130203</v>
      </c>
      <c r="F68" s="6"/>
      <c r="G68" s="265">
        <f>'Tax Rates'!C57</f>
        <v>5369797</v>
      </c>
      <c r="H68" s="150"/>
      <c r="I68" s="469" t="s">
        <v>462</v>
      </c>
      <c r="J68" s="516"/>
    </row>
    <row r="69" spans="1:8" ht="12.75">
      <c r="A69" s="151" t="s">
        <v>41</v>
      </c>
      <c r="B69" s="124"/>
      <c r="C69" s="262">
        <f>IF((C67-C68)&gt;0,C67-C68,0)</f>
        <v>8604265</v>
      </c>
      <c r="D69" s="101"/>
      <c r="E69" s="265">
        <f>SUM(E67:E68)</f>
        <v>-531421</v>
      </c>
      <c r="F69" s="113"/>
      <c r="G69" s="262">
        <f>G67-G68</f>
        <v>12333250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353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309</v>
      </c>
      <c r="B73" s="124"/>
      <c r="C73" s="262">
        <f>IF(C69&gt;0,C69*C71,0)*REGINFO!$B$6/REGINFO!$B$7</f>
        <v>25812.795000000002</v>
      </c>
      <c r="D73" s="100"/>
      <c r="E73" s="265">
        <f>+G73-C73</f>
        <v>11186.954999999998</v>
      </c>
      <c r="F73" s="470"/>
      <c r="G73" s="262">
        <f>IF(G69&gt;0,G69*G71,0)*REGINFO!$B$6/REGINFO!$B$7</f>
        <v>36999.75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217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16</v>
      </c>
      <c r="B76" s="124">
        <v>18</v>
      </c>
      <c r="C76" s="262">
        <f>'[2]TAXCALC'!$C$75</f>
        <v>16104265</v>
      </c>
      <c r="D76" s="101"/>
      <c r="E76" s="265">
        <f>+G76-C76</f>
        <v>1598782</v>
      </c>
      <c r="F76" s="6"/>
      <c r="G76" s="468">
        <v>17703047</v>
      </c>
      <c r="H76" s="150"/>
      <c r="I76" s="469" t="s">
        <v>462</v>
      </c>
    </row>
    <row r="77" spans="1:9" ht="12.75">
      <c r="A77" s="151" t="s">
        <v>352</v>
      </c>
      <c r="B77" s="124">
        <v>19</v>
      </c>
      <c r="C77" s="258">
        <v>50000000</v>
      </c>
      <c r="D77" s="18"/>
      <c r="E77" s="265">
        <f>+G77-C77</f>
        <v>-25000000</v>
      </c>
      <c r="F77" s="6"/>
      <c r="G77" s="265">
        <f>'Tax Rates'!C58</f>
        <v>25000000</v>
      </c>
      <c r="H77" s="150"/>
      <c r="I77" s="469" t="s">
        <v>462</v>
      </c>
    </row>
    <row r="78" spans="1:8" ht="12.75">
      <c r="A78" s="151" t="s">
        <v>41</v>
      </c>
      <c r="B78" s="124"/>
      <c r="C78" s="262">
        <f>IF((C76-C77)&gt;0,C76-C77,0)</f>
        <v>0</v>
      </c>
      <c r="D78" s="19"/>
      <c r="E78" s="265">
        <f>SUM(E76:E77)</f>
        <v>-23401218</v>
      </c>
      <c r="F78" s="113"/>
      <c r="G78" s="262">
        <f>IF(G77&gt;G76,0,G76-G77)</f>
        <v>0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353</v>
      </c>
      <c r="B80" s="124">
        <v>20</v>
      </c>
      <c r="C80" s="299">
        <f>'Tax Rates'!C19</f>
        <v>0.00175</v>
      </c>
      <c r="D80" s="101"/>
      <c r="E80" s="266">
        <f>G80-C80</f>
        <v>0</v>
      </c>
      <c r="F80" s="6"/>
      <c r="G80" s="266">
        <f>'Tax Rates'!C55</f>
        <v>0.00175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310</v>
      </c>
      <c r="B82" s="124"/>
      <c r="C82" s="262">
        <f>IF(C78&gt;0,C78*C80,0)*REGINFO!$B$6/REGINFO!$B$7</f>
        <v>0</v>
      </c>
      <c r="D82" s="101"/>
      <c r="E82" s="265">
        <f>+G82-C82</f>
        <v>0</v>
      </c>
      <c r="F82" s="6"/>
      <c r="G82" s="262">
        <f>G78*G80*B9/B10</f>
        <v>0</v>
      </c>
      <c r="H82" s="150"/>
    </row>
    <row r="83" spans="1:8" ht="12.75">
      <c r="A83" s="151" t="s">
        <v>311</v>
      </c>
      <c r="B83" s="124">
        <v>21</v>
      </c>
      <c r="C83" s="298">
        <f>IF(C78&gt;0,IF(C61&gt;0,C51*'Tax Rates'!C20,0),0)</f>
        <v>0</v>
      </c>
      <c r="D83" s="101"/>
      <c r="E83" s="265">
        <f>+G83-C83</f>
        <v>0</v>
      </c>
      <c r="F83" s="6"/>
      <c r="G83" s="298">
        <f>IF(G78&gt;0,IF(G61&gt;0,G51*'Tax Rates'!C20,0),0)</f>
        <v>0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31</v>
      </c>
      <c r="B85" s="124"/>
      <c r="C85" s="262">
        <v>0</v>
      </c>
      <c r="D85" s="16"/>
      <c r="E85" s="265">
        <f>E82-E83</f>
        <v>0</v>
      </c>
      <c r="F85" s="102"/>
      <c r="G85" s="262">
        <f>G82-G83</f>
        <v>0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117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225</v>
      </c>
      <c r="B89" s="124"/>
      <c r="C89" s="260">
        <f>IF($C$51&gt;'Tax Rates'!$E$11,'Tax Rates'!$F$16,IF(AND($C$51&gt;='Tax Rates'!$C$11,$C$51&lt;='Tax Rates'!E11),'Tax Rates'!$E$16,'Tax Rates'!$C$16))</f>
        <v>0.275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360</v>
      </c>
      <c r="B91" s="126">
        <v>22</v>
      </c>
      <c r="C91" s="262">
        <f>C61/(1-C89)</f>
        <v>402412.5424568968</v>
      </c>
      <c r="D91" s="20"/>
      <c r="E91" s="138"/>
      <c r="F91" s="424" t="s">
        <v>479</v>
      </c>
      <c r="G91" s="268">
        <f>TAXREC!E156</f>
        <v>61752</v>
      </c>
      <c r="H91" s="150"/>
    </row>
    <row r="92" spans="1:8" ht="12.75">
      <c r="A92" s="157" t="s">
        <v>361</v>
      </c>
      <c r="B92" s="126">
        <v>23</v>
      </c>
      <c r="C92" s="262">
        <v>0</v>
      </c>
      <c r="D92" s="20"/>
      <c r="E92" s="138"/>
      <c r="F92" s="424" t="s">
        <v>479</v>
      </c>
      <c r="G92" s="268">
        <f>TAXREC!E158</f>
        <v>0</v>
      </c>
      <c r="H92" s="150"/>
    </row>
    <row r="93" spans="1:8" ht="12.75">
      <c r="A93" s="157" t="s">
        <v>340</v>
      </c>
      <c r="B93" s="126">
        <v>24</v>
      </c>
      <c r="C93" s="262">
        <f>C73</f>
        <v>25812.795000000002</v>
      </c>
      <c r="D93" s="20"/>
      <c r="E93" s="138"/>
      <c r="F93" s="424" t="s">
        <v>479</v>
      </c>
      <c r="G93" s="268">
        <f>TAXREC!E157</f>
        <v>37000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480</v>
      </c>
      <c r="B96" s="124">
        <v>25</v>
      </c>
      <c r="C96" s="267">
        <f>SUM(C91:C94)</f>
        <v>428225.3374568968</v>
      </c>
      <c r="D96" s="6"/>
      <c r="E96" s="138"/>
      <c r="F96" s="424" t="s">
        <v>479</v>
      </c>
      <c r="G96" s="411">
        <f>SUM(G91:G95)</f>
        <v>98752</v>
      </c>
      <c r="H96" s="163"/>
    </row>
    <row r="97" spans="1:8" ht="12.75">
      <c r="A97" s="401" t="s">
        <v>300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297</v>
      </c>
      <c r="B100" s="122"/>
      <c r="C100" s="111"/>
      <c r="D100" s="3"/>
      <c r="E100" s="111"/>
      <c r="F100" s="3"/>
      <c r="G100" s="199"/>
      <c r="H100" s="163"/>
    </row>
    <row r="101" spans="1:8" ht="15">
      <c r="A101" s="165" t="s">
        <v>245</v>
      </c>
      <c r="B101" s="122"/>
      <c r="C101" s="111"/>
      <c r="D101" s="3"/>
      <c r="E101" s="142" t="s">
        <v>247</v>
      </c>
      <c r="F101" s="37"/>
      <c r="G101" s="199"/>
      <c r="H101" s="163"/>
    </row>
    <row r="102" spans="1:8" ht="12.75">
      <c r="A102" s="155" t="s">
        <v>338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55</v>
      </c>
      <c r="B103" s="126">
        <v>3</v>
      </c>
      <c r="C103" s="111"/>
      <c r="D103" s="3"/>
      <c r="E103" s="249">
        <f>E21</f>
        <v>0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49">
        <f>E22</f>
        <v>0</v>
      </c>
      <c r="F104" s="37"/>
      <c r="G104" s="200"/>
      <c r="H104" s="163"/>
    </row>
    <row r="105" spans="1:8" ht="12.75">
      <c r="A105" s="157" t="s">
        <v>99</v>
      </c>
      <c r="B105" s="126">
        <v>4</v>
      </c>
      <c r="C105" s="111"/>
      <c r="D105" s="3"/>
      <c r="E105" s="249">
        <f>E23</f>
        <v>0</v>
      </c>
      <c r="F105" s="37"/>
      <c r="G105" s="200"/>
      <c r="H105" s="163"/>
    </row>
    <row r="106" spans="1:8" ht="12.75">
      <c r="A106" s="157" t="s">
        <v>43</v>
      </c>
      <c r="B106" s="126">
        <v>5</v>
      </c>
      <c r="C106" s="111"/>
      <c r="D106" s="3"/>
      <c r="E106" s="249">
        <f>E24</f>
        <v>0</v>
      </c>
      <c r="F106" s="37"/>
      <c r="G106" s="200"/>
      <c r="H106" s="163"/>
    </row>
    <row r="107" spans="1:8" ht="12.75">
      <c r="A107" s="157" t="s">
        <v>355</v>
      </c>
      <c r="B107" s="126">
        <v>6</v>
      </c>
      <c r="C107" s="111"/>
      <c r="D107" s="3"/>
      <c r="E107" s="249">
        <f>E26</f>
        <v>0</v>
      </c>
      <c r="F107" s="37"/>
      <c r="G107" s="200"/>
      <c r="H107" s="163"/>
    </row>
    <row r="108" spans="1:8" ht="12.75">
      <c r="A108" s="157" t="s">
        <v>356</v>
      </c>
      <c r="B108" s="126">
        <v>6</v>
      </c>
      <c r="C108" s="111"/>
      <c r="D108" s="3"/>
      <c r="E108" s="249">
        <f>E28</f>
        <v>0</v>
      </c>
      <c r="F108" s="37"/>
      <c r="G108" s="200"/>
      <c r="H108" s="163"/>
    </row>
    <row r="109" spans="1:8" ht="12.75">
      <c r="A109" s="155" t="s">
        <v>354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56</v>
      </c>
      <c r="B110" s="126">
        <v>8</v>
      </c>
      <c r="C110" s="111"/>
      <c r="D110" s="3"/>
      <c r="E110" s="249">
        <f>E34</f>
        <v>0</v>
      </c>
      <c r="F110" s="37"/>
      <c r="G110" s="200"/>
      <c r="H110" s="163"/>
    </row>
    <row r="111" spans="1:8" ht="12.75">
      <c r="A111" s="157" t="s">
        <v>44</v>
      </c>
      <c r="B111" s="126">
        <v>9</v>
      </c>
      <c r="C111" s="111"/>
      <c r="D111" s="3"/>
      <c r="E111" s="249">
        <f>E35</f>
        <v>43516</v>
      </c>
      <c r="F111" s="37"/>
      <c r="G111" s="200"/>
      <c r="H111" s="163"/>
    </row>
    <row r="112" spans="1:8" ht="12.75">
      <c r="A112" s="157" t="s">
        <v>43</v>
      </c>
      <c r="B112" s="126">
        <v>10</v>
      </c>
      <c r="C112" s="111"/>
      <c r="D112" s="3"/>
      <c r="E112" s="249">
        <f>E36</f>
        <v>0</v>
      </c>
      <c r="F112" s="37"/>
      <c r="G112" s="200"/>
      <c r="H112" s="163"/>
    </row>
    <row r="113" spans="1:8" ht="12.75">
      <c r="A113" s="508" t="s">
        <v>489</v>
      </c>
      <c r="B113" s="126">
        <v>11</v>
      </c>
      <c r="C113" s="111"/>
      <c r="D113" s="3"/>
      <c r="E113" s="465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49">
        <f>E38</f>
        <v>0</v>
      </c>
      <c r="F114" s="37"/>
      <c r="G114" s="200"/>
      <c r="H114" s="163"/>
    </row>
    <row r="115" spans="1:8" ht="12.75">
      <c r="A115" s="154" t="s">
        <v>100</v>
      </c>
      <c r="B115" s="124">
        <v>4</v>
      </c>
      <c r="C115" s="111"/>
      <c r="D115" s="3"/>
      <c r="E115" s="249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49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49">
        <f>E41</f>
        <v>0</v>
      </c>
      <c r="F117" s="37"/>
      <c r="G117" s="200"/>
      <c r="H117" s="163"/>
    </row>
    <row r="118" spans="1:8" ht="12.75">
      <c r="A118" s="157" t="s">
        <v>357</v>
      </c>
      <c r="B118" s="126">
        <v>12</v>
      </c>
      <c r="C118" s="111"/>
      <c r="D118" s="3"/>
      <c r="E118" s="249">
        <f>E44</f>
        <v>0</v>
      </c>
      <c r="F118" s="37"/>
      <c r="G118" s="200"/>
      <c r="H118" s="163"/>
    </row>
    <row r="119" spans="1:8" ht="12.75">
      <c r="A119" s="157" t="s">
        <v>358</v>
      </c>
      <c r="B119" s="126">
        <v>12</v>
      </c>
      <c r="C119" s="111"/>
      <c r="D119" s="3"/>
      <c r="E119" s="249">
        <f>E46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219</v>
      </c>
      <c r="B121" s="126">
        <v>26</v>
      </c>
      <c r="C121" s="111"/>
      <c r="D121" s="116" t="s">
        <v>188</v>
      </c>
      <c r="E121" s="262">
        <f>SUM(E103:E108)-SUM(E110:E119)</f>
        <v>-43516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482</v>
      </c>
      <c r="B123" s="126"/>
      <c r="C123" s="111"/>
      <c r="D123" s="3" t="s">
        <v>229</v>
      </c>
      <c r="E123" s="462">
        <f>IF((E121+G51)&gt;'Tax Rates'!$E$47,'Tax Rates'!$F$52-1.12%,IF((E121+G51)&gt;'Tax Rates'!$D$47,'Tax Rates'!$E$52-1.12%,IF((E121+G51)&gt;'Tax Rates'!$C$47,'Tax Rates'!$D$52-1.12%,'Tax Rates'!$C$52-1.12%)))</f>
        <v>0.265</v>
      </c>
      <c r="F123" s="463"/>
      <c r="G123" s="200" t="s">
        <v>101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101</v>
      </c>
      <c r="H124" s="163"/>
    </row>
    <row r="125" spans="1:8" ht="12.75">
      <c r="A125" s="157" t="s">
        <v>244</v>
      </c>
      <c r="B125" s="126"/>
      <c r="C125" s="111"/>
      <c r="D125" s="3" t="s">
        <v>188</v>
      </c>
      <c r="E125" s="262">
        <f>E121*E123</f>
        <v>-11531.74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113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116</v>
      </c>
      <c r="B129" s="126"/>
      <c r="C129" s="111"/>
      <c r="D129" s="3"/>
      <c r="E129" s="262">
        <f>E125-E127</f>
        <v>-11531.74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195</v>
      </c>
      <c r="B131" s="126"/>
      <c r="C131" s="111"/>
      <c r="D131" s="3"/>
      <c r="E131" s="310">
        <f>IF((E121+C51)&gt;'Tax Rates'!$E$47,'Tax Rates'!$F$52-1.12%,IF((E121+C51)&gt;'Tax Rates'!$D$47,'Tax Rates'!$E$52-1.12%,IF((E121+C51)&gt;'Tax Rates'!$C$47,'Tax Rates'!$D$52-1.12%,'Tax Rates'!$C$52-1.12%)))</f>
        <v>0.35000000000000003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344</v>
      </c>
      <c r="B133" s="129"/>
      <c r="C133" s="111"/>
      <c r="D133" s="3"/>
      <c r="E133" s="514">
        <f>E129/(1-E131)</f>
        <v>-17741.138461538463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30">
      <c r="A135" s="168" t="s">
        <v>347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5.5">
      <c r="A137" s="170" t="s">
        <v>233</v>
      </c>
      <c r="B137" s="129"/>
      <c r="C137" s="111"/>
      <c r="D137" s="117" t="s">
        <v>188</v>
      </c>
      <c r="E137" s="300">
        <f>C51</f>
        <v>1060905.7937500004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235</v>
      </c>
      <c r="B139" s="129"/>
      <c r="C139" s="111"/>
      <c r="D139" s="118" t="s">
        <v>229</v>
      </c>
      <c r="E139" s="310">
        <f>IF((E121+E137)&gt;'Tax Rates'!E47,'Tax Rates'!F52,IF((E121+E137)&gt;'Tax Rates'!D47,'Tax Rates'!E52,IF((E121+E137)&gt;'Tax Rates'!C47,'Tax Rates'!D52,'Tax Rates'!C52)))</f>
        <v>0.3612</v>
      </c>
      <c r="F139" s="196" t="s">
        <v>101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227</v>
      </c>
      <c r="B141" s="129"/>
      <c r="C141" s="111"/>
      <c r="D141" s="117" t="s">
        <v>188</v>
      </c>
      <c r="E141" s="301">
        <f>IF(E137&gt;0,E137*E139,0)</f>
        <v>383199.1727025002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236</v>
      </c>
      <c r="B143" s="129"/>
      <c r="C143" s="111"/>
      <c r="D143" s="117" t="s">
        <v>187</v>
      </c>
      <c r="E143" s="302">
        <f>TAXREC!E145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228</v>
      </c>
      <c r="B145" s="129"/>
      <c r="C145" s="111"/>
      <c r="D145" s="118" t="s">
        <v>188</v>
      </c>
      <c r="E145" s="300">
        <f>E141-E143</f>
        <v>383199.1727025002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5.5">
      <c r="A147" s="170" t="s">
        <v>237</v>
      </c>
      <c r="B147" s="129"/>
      <c r="C147" s="111"/>
      <c r="D147" s="117" t="s">
        <v>187</v>
      </c>
      <c r="E147" s="300">
        <f>C61</f>
        <v>291749.09328125016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230</v>
      </c>
      <c r="B149" s="129"/>
      <c r="C149" s="111"/>
      <c r="D149" s="117" t="s">
        <v>188</v>
      </c>
      <c r="E149" s="300">
        <f>E145-E147</f>
        <v>91450.07942125003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4" t="s">
        <v>19</v>
      </c>
      <c r="B151" s="129"/>
      <c r="C151" s="111"/>
      <c r="D151" s="118"/>
      <c r="E151" s="472"/>
      <c r="F151" s="37"/>
      <c r="G151" s="200"/>
      <c r="H151" s="163"/>
    </row>
    <row r="152" spans="1:8" ht="12.75">
      <c r="A152" s="170" t="s">
        <v>16</v>
      </c>
      <c r="B152" s="129"/>
      <c r="C152" s="111"/>
      <c r="D152" s="118" t="s">
        <v>188</v>
      </c>
      <c r="E152" s="300">
        <f>C67</f>
        <v>16104265</v>
      </c>
      <c r="F152" s="37"/>
      <c r="G152" s="200"/>
      <c r="H152" s="163"/>
    </row>
    <row r="153" spans="1:8" ht="12.75">
      <c r="A153" s="170" t="s">
        <v>350</v>
      </c>
      <c r="B153" s="129"/>
      <c r="C153" s="111"/>
      <c r="D153" s="117" t="s">
        <v>187</v>
      </c>
      <c r="E153" s="303">
        <f>IF(E152&gt;0,'Tax Rates'!C39,0)</f>
        <v>7500000</v>
      </c>
      <c r="F153" s="37"/>
      <c r="G153" s="200"/>
      <c r="H153" s="163"/>
    </row>
    <row r="154" spans="1:8" ht="12.75">
      <c r="A154" s="170" t="s">
        <v>231</v>
      </c>
      <c r="B154" s="129"/>
      <c r="C154" s="111"/>
      <c r="D154" s="117" t="s">
        <v>188</v>
      </c>
      <c r="E154" s="300">
        <f>E152-E153</f>
        <v>8604265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351</v>
      </c>
      <c r="B156" s="129"/>
      <c r="C156" s="111"/>
      <c r="D156" s="118" t="s">
        <v>229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232</v>
      </c>
      <c r="B158" s="129"/>
      <c r="C158" s="111"/>
      <c r="D158" s="118" t="s">
        <v>188</v>
      </c>
      <c r="E158" s="300">
        <f>IF(E154&gt;0,E154*E156*B9/B10,0)</f>
        <v>25812.795000000002</v>
      </c>
      <c r="F158" s="37"/>
      <c r="G158" s="200"/>
      <c r="H158" s="163"/>
    </row>
    <row r="159" spans="1:8" ht="25.5">
      <c r="A159" s="170" t="s">
        <v>301</v>
      </c>
      <c r="B159" s="129"/>
      <c r="C159" s="111"/>
      <c r="D159" s="117" t="s">
        <v>187</v>
      </c>
      <c r="E159" s="303">
        <f>C73</f>
        <v>25812.795000000002</v>
      </c>
      <c r="F159" s="37"/>
      <c r="G159" s="200"/>
      <c r="H159" s="163"/>
    </row>
    <row r="160" spans="1:8" ht="12.75" customHeight="1">
      <c r="A160" s="171" t="s">
        <v>242</v>
      </c>
      <c r="B160" s="129"/>
      <c r="C160" s="111"/>
      <c r="D160" s="117" t="s">
        <v>188</v>
      </c>
      <c r="E160" s="467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4" t="s">
        <v>234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16</v>
      </c>
      <c r="B163" s="129"/>
      <c r="C163" s="111"/>
      <c r="D163" s="118"/>
      <c r="E163" s="300">
        <f>C76</f>
        <v>16104265</v>
      </c>
      <c r="F163" s="37"/>
      <c r="G163" s="200"/>
      <c r="H163" s="163"/>
    </row>
    <row r="164" spans="1:8" ht="12.75">
      <c r="A164" s="170" t="s">
        <v>349</v>
      </c>
      <c r="B164" s="129"/>
      <c r="C164" s="111"/>
      <c r="D164" s="117" t="s">
        <v>187</v>
      </c>
      <c r="E164" s="303">
        <f>IF(E163&gt;0,'Tax Rates'!C40,0)</f>
        <v>50000000</v>
      </c>
      <c r="F164" s="37"/>
      <c r="G164" s="200"/>
      <c r="H164" s="163"/>
    </row>
    <row r="165" spans="1:8" ht="12.75">
      <c r="A165" s="170" t="s">
        <v>238</v>
      </c>
      <c r="B165" s="129"/>
      <c r="C165" s="111"/>
      <c r="D165" s="118" t="s">
        <v>188</v>
      </c>
      <c r="E165" s="300">
        <f>E163-E164</f>
        <v>-33895735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170" t="s">
        <v>302</v>
      </c>
      <c r="B167" s="129"/>
      <c r="C167" s="111"/>
      <c r="D167" s="118"/>
      <c r="E167" s="304">
        <f>'Tax Rates'!C55</f>
        <v>0.00175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239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312</v>
      </c>
      <c r="B170" s="129"/>
      <c r="C170" s="111"/>
      <c r="D170" s="117" t="s">
        <v>187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240</v>
      </c>
      <c r="B171" s="129"/>
      <c r="C171" s="111"/>
      <c r="D171" s="118" t="s">
        <v>188</v>
      </c>
      <c r="E171" s="300"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12" t="s">
        <v>339</v>
      </c>
      <c r="B173" s="129"/>
      <c r="C173" s="111"/>
      <c r="D173" s="117" t="s">
        <v>187</v>
      </c>
      <c r="E173" s="303">
        <f>C85</f>
        <v>0</v>
      </c>
      <c r="F173" s="37"/>
      <c r="G173" s="200"/>
      <c r="H173" s="163"/>
    </row>
    <row r="174" spans="1:8" ht="12.75">
      <c r="A174" s="154" t="s">
        <v>243</v>
      </c>
      <c r="B174" s="129"/>
      <c r="C174" s="111"/>
      <c r="D174" s="118" t="s">
        <v>188</v>
      </c>
      <c r="E174" s="467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337</v>
      </c>
      <c r="B176" s="129"/>
      <c r="C176" s="111"/>
      <c r="D176" s="118"/>
      <c r="E176" s="462">
        <f>IF((E121+G51)&gt;'Tax Rates'!E47,'Tax Rates'!F52-1.12%,IF((E121+G51)&gt;'Tax Rates'!D47,'Tax Rates'!E52-1.12%,IF((E121+G51)&gt;'Tax Rates'!C47,'Tax Rates'!D52,'Tax Rates'!C52-1.12%)))</f>
        <v>0.2762</v>
      </c>
      <c r="F176" s="463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241</v>
      </c>
      <c r="B178" s="129"/>
      <c r="C178" s="111"/>
      <c r="D178" s="118" t="s">
        <v>186</v>
      </c>
      <c r="E178" s="300">
        <f>E149/(1-E176)</f>
        <v>126347.16692629184</v>
      </c>
      <c r="F178" s="37"/>
      <c r="G178" s="200"/>
      <c r="H178" s="163"/>
    </row>
    <row r="179" spans="1:8" ht="12.75">
      <c r="A179" s="167" t="s">
        <v>32</v>
      </c>
      <c r="B179" s="129"/>
      <c r="C179" s="111"/>
      <c r="D179" s="118" t="s">
        <v>186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19</v>
      </c>
      <c r="B180" s="129"/>
      <c r="C180" s="111"/>
      <c r="D180" s="118" t="s">
        <v>186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345</v>
      </c>
      <c r="B182" s="129"/>
      <c r="C182" s="111"/>
      <c r="D182" s="118" t="s">
        <v>188</v>
      </c>
      <c r="E182" s="476">
        <f>SUM(E178:E180)</f>
        <v>126347.16692629184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465</v>
      </c>
      <c r="B184" s="129"/>
      <c r="C184" s="111"/>
      <c r="D184" s="118" t="s">
        <v>186</v>
      </c>
      <c r="E184" s="510">
        <f>E133</f>
        <v>-17741.138461538463</v>
      </c>
      <c r="F184" s="37" t="s">
        <v>101</v>
      </c>
      <c r="G184" s="200"/>
      <c r="H184" s="163"/>
    </row>
    <row r="185" spans="1:8" ht="12.75">
      <c r="A185" s="167"/>
      <c r="B185" s="129"/>
      <c r="C185" s="111"/>
      <c r="D185" s="118"/>
      <c r="E185" s="511"/>
      <c r="F185" s="37"/>
      <c r="G185" s="200"/>
      <c r="H185" s="163"/>
    </row>
    <row r="186" spans="1:8" ht="15">
      <c r="A186" s="172" t="s">
        <v>346</v>
      </c>
      <c r="B186" s="129"/>
      <c r="C186" s="111"/>
      <c r="D186" s="118" t="s">
        <v>188</v>
      </c>
      <c r="E186" s="510">
        <f>E182+E184</f>
        <v>108606.02846475338</v>
      </c>
      <c r="F186" s="37"/>
      <c r="G186" s="200"/>
      <c r="H186" s="163"/>
    </row>
    <row r="187" spans="1:8" ht="12.75">
      <c r="A187" s="161" t="s">
        <v>246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57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82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222</v>
      </c>
      <c r="B194" s="126"/>
      <c r="C194" s="111"/>
      <c r="D194" s="119"/>
      <c r="E194" s="306">
        <f>REGINFO!D62</f>
        <v>583779.60625</v>
      </c>
      <c r="F194" s="3"/>
      <c r="G194" s="122"/>
      <c r="H194" s="163"/>
    </row>
    <row r="195" spans="1:8" ht="12.75">
      <c r="A195" s="508" t="s">
        <v>487</v>
      </c>
      <c r="B195" s="126"/>
      <c r="C195" s="111"/>
      <c r="D195" s="119"/>
      <c r="E195" s="306">
        <f>C37</f>
        <v>583779.60625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306">
        <f>E194-E195</f>
        <v>0</v>
      </c>
      <c r="F197" s="3"/>
      <c r="G197" s="122"/>
      <c r="H197" s="163"/>
    </row>
    <row r="198" spans="1:8" ht="12.75">
      <c r="A198" s="154" t="s">
        <v>336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253</v>
      </c>
      <c r="B200" s="126"/>
      <c r="C200" s="111"/>
      <c r="D200" s="119"/>
      <c r="E200" s="146"/>
      <c r="F200" s="3"/>
      <c r="G200" s="481"/>
      <c r="H200" s="163"/>
    </row>
    <row r="201" spans="1:8" ht="12.75">
      <c r="A201" s="175" t="s">
        <v>84</v>
      </c>
      <c r="B201" s="126"/>
      <c r="C201" s="111"/>
      <c r="D201" s="119"/>
      <c r="E201" s="146"/>
      <c r="F201" s="3"/>
      <c r="G201" s="481"/>
      <c r="H201" s="163"/>
    </row>
    <row r="202" spans="1:8" ht="12.75">
      <c r="A202" s="508" t="s">
        <v>488</v>
      </c>
      <c r="B202" s="126"/>
      <c r="C202" s="111"/>
      <c r="D202" s="119"/>
      <c r="E202" s="306">
        <f>G37+G42</f>
        <v>582793</v>
      </c>
      <c r="F202" s="3"/>
      <c r="G202" s="481"/>
      <c r="H202" s="163"/>
    </row>
    <row r="203" spans="1:8" ht="12.75">
      <c r="A203" s="508" t="s">
        <v>485</v>
      </c>
      <c r="B203" s="126"/>
      <c r="C203" s="111"/>
      <c r="D203" s="119"/>
      <c r="E203" s="509">
        <f>REGINFO!D62</f>
        <v>583779.60625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83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490</v>
      </c>
      <c r="B207" s="126"/>
      <c r="C207" s="111"/>
      <c r="D207" s="119"/>
      <c r="E207" s="464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223</v>
      </c>
      <c r="B209" s="177"/>
      <c r="C209" s="178"/>
      <c r="D209" s="179"/>
      <c r="E209" s="307">
        <f>+E197-E205</f>
        <v>0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3:5" ht="12.75">
      <c r="C224" t="s">
        <v>101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18">
      <selection activeCell="C142" sqref="C14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Erie Thames Powerlines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39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78">
        <f>0.0025*Ratebase*REGINFO!D33</f>
        <v>20130.33125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491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492</v>
      </c>
      <c r="D15" s="25"/>
      <c r="E15" s="25"/>
      <c r="F15" s="20"/>
      <c r="G15" s="3"/>
      <c r="H15" s="3"/>
      <c r="I15" s="3"/>
    </row>
    <row r="16" spans="1:9" ht="12.75">
      <c r="A16" s="297" t="s">
        <v>226</v>
      </c>
      <c r="B16" s="20" t="s">
        <v>63</v>
      </c>
      <c r="C16" s="8" t="s">
        <v>492</v>
      </c>
      <c r="D16" s="25"/>
      <c r="E16" s="25"/>
      <c r="F16" s="20"/>
      <c r="G16" s="3"/>
      <c r="H16" s="3"/>
      <c r="I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7" t="s">
        <v>318</v>
      </c>
      <c r="B23" s="398"/>
      <c r="C23" s="399"/>
      <c r="D23" s="400"/>
      <c r="E23" s="28"/>
      <c r="F23" s="11"/>
      <c r="G23" s="11"/>
      <c r="H23" s="6"/>
      <c r="I23" s="6"/>
    </row>
    <row r="24" spans="1:9" ht="12.75">
      <c r="A24" s="397" t="s">
        <v>255</v>
      </c>
      <c r="B24" s="398"/>
      <c r="C24" s="399"/>
      <c r="D24" s="400"/>
      <c r="E24" s="28"/>
      <c r="F24" s="11"/>
      <c r="G24" s="11"/>
      <c r="H24" s="6"/>
      <c r="I24" s="6"/>
    </row>
    <row r="25" spans="1:9" ht="12.75">
      <c r="A25" s="397" t="s">
        <v>221</v>
      </c>
      <c r="B25" s="398"/>
      <c r="C25" s="399"/>
      <c r="D25" s="400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7" t="s">
        <v>316</v>
      </c>
      <c r="B27" s="398"/>
      <c r="C27" s="399"/>
      <c r="D27" s="400"/>
      <c r="E27" s="28"/>
      <c r="F27" s="11"/>
      <c r="G27" s="11"/>
      <c r="H27" s="6"/>
      <c r="I27" s="6"/>
    </row>
    <row r="28" spans="1:9" ht="12.75">
      <c r="A28" s="397" t="s">
        <v>317</v>
      </c>
      <c r="B28" s="398"/>
      <c r="C28" s="399"/>
      <c r="D28" s="400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266</v>
      </c>
      <c r="B31" s="23" t="s">
        <v>186</v>
      </c>
      <c r="C31" s="493">
        <v>33932978</v>
      </c>
      <c r="D31" s="284"/>
      <c r="E31" s="282">
        <f>C31-D31</f>
        <v>33932978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493">
        <f>39380916-C31</f>
        <v>5447938</v>
      </c>
      <c r="D32" s="284"/>
      <c r="E32" s="282">
        <f>C32-D32</f>
        <v>5447938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493">
        <f>23759+349154</f>
        <v>372913</v>
      </c>
      <c r="D33" s="494"/>
      <c r="E33" s="282">
        <f>C33-D33</f>
        <v>372913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3">
        <v>307238</v>
      </c>
      <c r="D34" s="284"/>
      <c r="E34" s="282">
        <f>C34-D34</f>
        <v>307238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278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93">
        <v>33932978</v>
      </c>
      <c r="D39" s="284"/>
      <c r="E39" s="282">
        <f>C39-D39</f>
        <v>33932978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93">
        <f>310821-C44</f>
        <v>273821</v>
      </c>
      <c r="D40" s="284"/>
      <c r="E40" s="282">
        <f aca="true" t="shared" si="0" ref="E40:E48">C40-D40</f>
        <v>273821</v>
      </c>
      <c r="F40" s="11"/>
      <c r="G40" s="477"/>
      <c r="H40" s="6"/>
      <c r="I40" s="6"/>
    </row>
    <row r="41" spans="1:9" ht="12.75">
      <c r="A41" s="4" t="s">
        <v>267</v>
      </c>
      <c r="B41" s="23" t="s">
        <v>187</v>
      </c>
      <c r="C41" s="283">
        <v>617738</v>
      </c>
      <c r="D41" s="284"/>
      <c r="E41" s="282">
        <f t="shared" si="0"/>
        <v>617738</v>
      </c>
      <c r="F41" s="11"/>
      <c r="G41" s="11"/>
      <c r="H41" s="6"/>
      <c r="I41" s="6"/>
    </row>
    <row r="42" spans="1:9" ht="12.75">
      <c r="A42" s="4" t="s">
        <v>268</v>
      </c>
      <c r="B42" s="23" t="s">
        <v>187</v>
      </c>
      <c r="C42" s="283">
        <v>2982088</v>
      </c>
      <c r="D42" s="284"/>
      <c r="E42" s="282">
        <f t="shared" si="0"/>
        <v>2982088</v>
      </c>
      <c r="F42" s="11"/>
      <c r="G42" s="11"/>
      <c r="H42" s="6"/>
      <c r="I42" s="6"/>
    </row>
    <row r="43" spans="1:9" ht="12.75">
      <c r="A43" s="4" t="s">
        <v>269</v>
      </c>
      <c r="B43" s="23" t="s">
        <v>187</v>
      </c>
      <c r="C43" s="493">
        <v>1037906</v>
      </c>
      <c r="D43" s="494"/>
      <c r="E43" s="282">
        <f t="shared" si="0"/>
        <v>1037906</v>
      </c>
      <c r="F43" s="11"/>
      <c r="G43" s="11"/>
      <c r="H43" s="6"/>
      <c r="I43" s="6"/>
    </row>
    <row r="44" spans="1:9" ht="12.75">
      <c r="A44" s="4" t="s">
        <v>270</v>
      </c>
      <c r="B44" s="23" t="s">
        <v>187</v>
      </c>
      <c r="C44" s="493">
        <v>37000</v>
      </c>
      <c r="D44" s="284"/>
      <c r="E44" s="282">
        <f t="shared" si="0"/>
        <v>37000</v>
      </c>
      <c r="F44" s="11"/>
      <c r="G44" s="11"/>
      <c r="H44" s="6"/>
      <c r="I44" s="6"/>
    </row>
    <row r="45" spans="1:11" ht="12.75">
      <c r="A45" s="4" t="s">
        <v>470</v>
      </c>
      <c r="B45" s="23" t="s">
        <v>187</v>
      </c>
      <c r="C45" s="49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481</v>
      </c>
      <c r="B46" s="23" t="s">
        <v>187</v>
      </c>
      <c r="C46" s="49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517" t="s">
        <v>497</v>
      </c>
      <c r="B47" s="23" t="s">
        <v>187</v>
      </c>
      <c r="C47" s="283">
        <v>475164</v>
      </c>
      <c r="D47" s="284"/>
      <c r="E47" s="282">
        <f t="shared" si="0"/>
        <v>475164</v>
      </c>
      <c r="F47" s="11"/>
      <c r="G47" s="11"/>
      <c r="H47" s="33"/>
      <c r="I47" s="33"/>
      <c r="J47" s="32"/>
      <c r="K47" s="32"/>
    </row>
    <row r="48" spans="1:11" ht="13.5" thickBot="1">
      <c r="A48" s="517" t="s">
        <v>498</v>
      </c>
      <c r="B48" s="23" t="s">
        <v>187</v>
      </c>
      <c r="C48" s="283">
        <v>24210</v>
      </c>
      <c r="D48" s="284"/>
      <c r="E48" s="282">
        <f t="shared" si="0"/>
        <v>24210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79">
        <f>SUM(C31:C36)-SUM(C39:C49)</f>
        <v>680162</v>
      </c>
      <c r="D50" s="279">
        <f>SUM(D31:D36)-SUM(D39:D49)</f>
        <v>0</v>
      </c>
      <c r="E50" s="279">
        <f>SUM(E31:E35)-SUM(E39:E48)</f>
        <v>680162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93">
        <v>582793</v>
      </c>
      <c r="D51" s="283"/>
      <c r="E51" s="280">
        <f>+C51-D51</f>
        <v>582793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93">
        <v>-121000</v>
      </c>
      <c r="D52" s="283"/>
      <c r="E52" s="281">
        <f>+C52-D52</f>
        <v>-121000</v>
      </c>
      <c r="F52" s="8"/>
      <c r="G52" s="413"/>
    </row>
    <row r="53" spans="1:6" ht="12.75">
      <c r="A53" s="2" t="s">
        <v>130</v>
      </c>
      <c r="B53" s="8" t="s">
        <v>188</v>
      </c>
      <c r="C53" s="279">
        <f>C50-C51-C52</f>
        <v>218369</v>
      </c>
      <c r="D53" s="279">
        <f>D50-D51-D52</f>
        <v>0</v>
      </c>
      <c r="E53" s="279">
        <f>E50-E51-E52</f>
        <v>218369</v>
      </c>
      <c r="F53" s="8"/>
    </row>
    <row r="54" spans="1:6" ht="24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5">
        <f>68000-189000</f>
        <v>-121000</v>
      </c>
      <c r="D59" s="285">
        <f>D52</f>
        <v>0</v>
      </c>
      <c r="E59" s="270">
        <f>+C59-D59</f>
        <v>-121000</v>
      </c>
      <c r="F59" s="8"/>
      <c r="G59" s="413"/>
    </row>
    <row r="60" spans="1:6" ht="12.75">
      <c r="A60" s="4" t="s">
        <v>319</v>
      </c>
      <c r="B60" s="8" t="s">
        <v>186</v>
      </c>
      <c r="C60" s="316">
        <v>0</v>
      </c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f>755425+282481</f>
        <v>1037906</v>
      </c>
      <c r="D61" s="285">
        <f>D43</f>
        <v>0</v>
      </c>
      <c r="E61" s="270">
        <f>+C61-D61</f>
        <v>1037906</v>
      </c>
      <c r="F61" s="8"/>
      <c r="G61" s="413"/>
    </row>
    <row r="62" spans="1:6" ht="12.75">
      <c r="A62" t="s">
        <v>6</v>
      </c>
      <c r="B62" s="8" t="s">
        <v>186</v>
      </c>
      <c r="C62" s="501">
        <v>0</v>
      </c>
      <c r="D62" s="285">
        <v>0</v>
      </c>
      <c r="E62" s="270">
        <f>+C62-D62</f>
        <v>0</v>
      </c>
      <c r="F62" s="8"/>
    </row>
    <row r="63" spans="1:6" ht="12.75">
      <c r="A63" s="31" t="s">
        <v>271</v>
      </c>
      <c r="B63" s="8" t="s">
        <v>186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186</v>
      </c>
      <c r="C64" s="314">
        <f>'Tax Reserves'!C63</f>
        <v>0</v>
      </c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435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60" t="s">
        <v>386</v>
      </c>
      <c r="B66" s="8"/>
      <c r="C66" s="440">
        <f>'TAXREC 3 No True-up'!C47</f>
        <v>0</v>
      </c>
      <c r="D66" s="440">
        <f>'TAXREC 3 No True-up'!D47</f>
        <v>0</v>
      </c>
      <c r="E66" s="270">
        <f>+C66-D66</f>
        <v>0</v>
      </c>
      <c r="F66" s="8"/>
    </row>
    <row r="67" spans="1:6" ht="12.75">
      <c r="A67" t="s">
        <v>159</v>
      </c>
      <c r="B67" s="8" t="s">
        <v>186</v>
      </c>
      <c r="C67" s="249">
        <f>'TAXREC 2'!C77</f>
        <v>0</v>
      </c>
      <c r="D67" s="249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9">
        <f>'TAXREC 2'!C78</f>
        <v>0</v>
      </c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916906</v>
      </c>
      <c r="D70" s="270">
        <f>SUM(D59:D68)</f>
        <v>0</v>
      </c>
      <c r="E70" s="270">
        <f>SUM(E59:E68)</f>
        <v>916906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>
        <v>1440</v>
      </c>
      <c r="D74" s="292"/>
      <c r="E74" s="270">
        <f t="shared" si="1"/>
        <v>1440</v>
      </c>
      <c r="F74" s="8"/>
      <c r="G74" s="75"/>
      <c r="H74" s="76"/>
      <c r="I74" s="77"/>
      <c r="J74" s="76"/>
      <c r="K74" s="76"/>
    </row>
    <row r="75" spans="1:11" ht="12.75">
      <c r="A75" s="503" t="s">
        <v>495</v>
      </c>
      <c r="B75" s="8" t="s">
        <v>186</v>
      </c>
      <c r="C75" s="292">
        <v>0</v>
      </c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74">
        <v>0</v>
      </c>
      <c r="D76" s="292"/>
      <c r="E76" s="471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188</v>
      </c>
      <c r="C80" s="249">
        <f>SUM(C73:C79)</f>
        <v>1440</v>
      </c>
      <c r="D80" s="249">
        <f>SUM(D73:D79)</f>
        <v>0</v>
      </c>
      <c r="E80" s="249">
        <f>SUM(E73:E79)</f>
        <v>1440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188</v>
      </c>
      <c r="C82" s="249">
        <f>C70+C80</f>
        <v>918346</v>
      </c>
      <c r="D82" s="249">
        <f>D70+D80</f>
        <v>0</v>
      </c>
      <c r="E82" s="249">
        <f>E70+E80</f>
        <v>918346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423</v>
      </c>
      <c r="B93" s="271"/>
      <c r="C93" s="249">
        <f>C80-C92</f>
        <v>1440</v>
      </c>
      <c r="D93" s="249">
        <f>D80-D92</f>
        <v>0</v>
      </c>
      <c r="E93" s="249">
        <f>E80-E92</f>
        <v>1440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1440</v>
      </c>
      <c r="D94" s="249">
        <f>D92+D93</f>
        <v>0</v>
      </c>
      <c r="E94" s="249">
        <f>E92+E93</f>
        <v>1440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187</v>
      </c>
      <c r="C97" s="499">
        <v>738805</v>
      </c>
      <c r="D97" s="292"/>
      <c r="E97" s="270">
        <f>+C97-D97</f>
        <v>738805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499">
        <v>33057</v>
      </c>
      <c r="D98" s="292"/>
      <c r="E98" s="270">
        <f>+C98-D98</f>
        <v>33057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99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187</v>
      </c>
      <c r="C100" s="292">
        <v>43516</v>
      </c>
      <c r="D100" s="292"/>
      <c r="E100" s="270">
        <f>+C100-D100</f>
        <v>43516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272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386</v>
      </c>
      <c r="B108" s="8"/>
      <c r="C108" s="252">
        <f>'TAXREC 3 No True-up'!C74</f>
        <v>0</v>
      </c>
      <c r="D108" s="252">
        <f>'TAXREC 3 No True-up'!D74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815378</v>
      </c>
      <c r="D113" s="249">
        <f>SUM(D97:D111)</f>
        <v>0</v>
      </c>
      <c r="E113" s="249">
        <f>SUM(E97:E111)</f>
        <v>815378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/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/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188</v>
      </c>
      <c r="C122" s="249">
        <f>C113+C120</f>
        <v>815378</v>
      </c>
      <c r="D122" s="249">
        <f>D113+D120</f>
        <v>0</v>
      </c>
      <c r="E122" s="249">
        <f>+E113+E120</f>
        <v>815378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49">
        <f>+C53+C82-C122</f>
        <v>321337</v>
      </c>
      <c r="D134" s="249">
        <f>D53+D82-D122</f>
        <v>0</v>
      </c>
      <c r="E134" s="249">
        <f>E53+E82-E122</f>
        <v>321337</v>
      </c>
      <c r="F134" s="8"/>
      <c r="G134" s="30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366</v>
      </c>
      <c r="B136" s="8" t="s">
        <v>187</v>
      </c>
      <c r="C136" s="292">
        <v>0</v>
      </c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367</v>
      </c>
      <c r="B137" s="8" t="s">
        <v>187</v>
      </c>
      <c r="C137" s="308"/>
      <c r="D137" s="308"/>
      <c r="E137" s="391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6" t="s">
        <v>486</v>
      </c>
      <c r="B138" s="8"/>
      <c r="C138" s="308">
        <v>0</v>
      </c>
      <c r="D138" s="308"/>
      <c r="E138" s="391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0">
        <f>C134-C136-C137-C138</f>
        <v>321337</v>
      </c>
      <c r="D139" s="250">
        <f>D134-D136-D137-D138</f>
        <v>0</v>
      </c>
      <c r="E139" s="250">
        <f>E134-E136-E137-E138</f>
        <v>321337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298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186</v>
      </c>
      <c r="C142" s="492">
        <v>44079</v>
      </c>
      <c r="D142" s="296">
        <f>D139*C149</f>
        <v>0</v>
      </c>
      <c r="E142" s="250">
        <f>C142-D142</f>
        <v>44079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186</v>
      </c>
      <c r="C143" s="492">
        <v>17673</v>
      </c>
      <c r="D143" s="296">
        <f>D139*C150</f>
        <v>0</v>
      </c>
      <c r="E143" s="290">
        <f>C143-D143</f>
        <v>17673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61752</v>
      </c>
      <c r="D144" s="250">
        <f>D142+D143</f>
        <v>0</v>
      </c>
      <c r="E144" s="250">
        <f>E142+E143</f>
        <v>61752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0">
        <f>C144-C145</f>
        <v>61752</v>
      </c>
      <c r="D146" s="250">
        <f>D144-D145</f>
        <v>0</v>
      </c>
      <c r="E146" s="250">
        <f>E144-E145</f>
        <v>61752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298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402">
        <f>C142/C134</f>
        <v>0.13717374594273302</v>
      </c>
      <c r="D149" s="5"/>
      <c r="E149" s="403">
        <f>C149</f>
        <v>0.13717374594273302</v>
      </c>
      <c r="F149" s="8"/>
      <c r="G149" s="475" t="s">
        <v>459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402">
        <f>C143/C134</f>
        <v>0.0549983350812387</v>
      </c>
      <c r="D150" s="5"/>
      <c r="E150" s="403">
        <f>C150</f>
        <v>0.0549983350812387</v>
      </c>
      <c r="F150" s="8"/>
      <c r="G150" s="475" t="s">
        <v>460</v>
      </c>
      <c r="H150" s="45"/>
      <c r="I150" s="45"/>
      <c r="J150" s="45"/>
      <c r="K150" s="45"/>
    </row>
    <row r="151" spans="1:11" ht="12.75">
      <c r="A151" t="s">
        <v>323</v>
      </c>
      <c r="B151" s="8"/>
      <c r="C151" s="403">
        <f>SUM(C149:C150)</f>
        <v>0.1921720810239717</v>
      </c>
      <c r="D151" s="5"/>
      <c r="E151" s="403">
        <f>SUM(E149:E150)</f>
        <v>0.1921720810239717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464</v>
      </c>
      <c r="B155" s="8"/>
    </row>
    <row r="156" spans="1:5" ht="12.75">
      <c r="A156" t="s">
        <v>218</v>
      </c>
      <c r="B156" s="85" t="s">
        <v>186</v>
      </c>
      <c r="C156" s="249">
        <f>C146</f>
        <v>61752</v>
      </c>
      <c r="D156" s="249">
        <f>D146</f>
        <v>0</v>
      </c>
      <c r="E156" s="249">
        <f>E146</f>
        <v>61752</v>
      </c>
    </row>
    <row r="157" spans="1:5" ht="12.75">
      <c r="A157" t="s">
        <v>19</v>
      </c>
      <c r="B157" s="85" t="s">
        <v>186</v>
      </c>
      <c r="C157" s="491">
        <f>+C44</f>
        <v>37000</v>
      </c>
      <c r="D157" s="249"/>
      <c r="E157" s="249">
        <f>C157+D157</f>
        <v>37000</v>
      </c>
    </row>
    <row r="158" spans="1:5" ht="12.75">
      <c r="A158" t="s">
        <v>217</v>
      </c>
      <c r="B158" s="85" t="s">
        <v>186</v>
      </c>
      <c r="C158" s="491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295</v>
      </c>
      <c r="B160" s="65" t="s">
        <v>188</v>
      </c>
      <c r="C160" s="249">
        <f>C156+C157+C158</f>
        <v>98752</v>
      </c>
      <c r="D160" s="249">
        <f>D156+D157+D158</f>
        <v>0</v>
      </c>
      <c r="E160" s="249">
        <f>E156+E157+E158</f>
        <v>98752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21">
      <selection activeCell="C59" sqref="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Erie Thames Powerlines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265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273</v>
      </c>
      <c r="B14" s="60"/>
      <c r="C14" s="499"/>
      <c r="D14" s="292"/>
      <c r="E14" s="249">
        <f aca="true" t="shared" si="0" ref="E14:E21">C14-D14</f>
        <v>0</v>
      </c>
    </row>
    <row r="15" spans="1:5" ht="12.75">
      <c r="A15" s="60" t="s">
        <v>274</v>
      </c>
      <c r="B15" s="60"/>
      <c r="C15" s="292"/>
      <c r="D15" s="292"/>
      <c r="E15" s="249">
        <f t="shared" si="0"/>
        <v>0</v>
      </c>
    </row>
    <row r="16" spans="1:5" ht="12.75">
      <c r="A16" s="60" t="s">
        <v>275</v>
      </c>
      <c r="B16" s="60"/>
      <c r="C16" s="292"/>
      <c r="D16" s="292"/>
      <c r="E16" s="249">
        <f t="shared" si="0"/>
        <v>0</v>
      </c>
    </row>
    <row r="17" spans="1:5" ht="12.75">
      <c r="A17" s="60" t="s">
        <v>276</v>
      </c>
      <c r="B17" s="60"/>
      <c r="C17" s="292"/>
      <c r="D17" s="292"/>
      <c r="E17" s="249">
        <f t="shared" si="0"/>
        <v>0</v>
      </c>
    </row>
    <row r="18" spans="1:5" ht="12.75">
      <c r="A18" s="60" t="s">
        <v>440</v>
      </c>
      <c r="B18" s="60"/>
      <c r="C18" s="292"/>
      <c r="D18" s="292"/>
      <c r="E18" s="249">
        <f t="shared" si="0"/>
        <v>0</v>
      </c>
    </row>
    <row r="19" spans="1:5" ht="12.75">
      <c r="A19" s="60" t="s">
        <v>440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264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273</v>
      </c>
      <c r="B26" s="60"/>
      <c r="C26" s="292">
        <v>0</v>
      </c>
      <c r="D26" s="292"/>
      <c r="E26" s="249">
        <f aca="true" t="shared" si="1" ref="E26:E33">C26-D26</f>
        <v>0</v>
      </c>
    </row>
    <row r="27" spans="1:5" ht="12.75">
      <c r="A27" s="60" t="s">
        <v>274</v>
      </c>
      <c r="B27" s="60"/>
      <c r="C27" s="292"/>
      <c r="D27" s="292"/>
      <c r="E27" s="249">
        <f t="shared" si="1"/>
        <v>0</v>
      </c>
    </row>
    <row r="28" spans="1:5" ht="12.75">
      <c r="A28" s="60" t="s">
        <v>275</v>
      </c>
      <c r="B28" s="60"/>
      <c r="C28" s="292"/>
      <c r="D28" s="292"/>
      <c r="E28" s="249">
        <f t="shared" si="1"/>
        <v>0</v>
      </c>
    </row>
    <row r="29" spans="1:5" ht="12.75">
      <c r="A29" s="60" t="s">
        <v>276</v>
      </c>
      <c r="B29" s="60"/>
      <c r="C29" s="292"/>
      <c r="D29" s="292"/>
      <c r="E29" s="249">
        <f t="shared" si="1"/>
        <v>0</v>
      </c>
    </row>
    <row r="30" spans="1:5" ht="12.75">
      <c r="A30" s="60" t="s">
        <v>440</v>
      </c>
      <c r="B30" s="60"/>
      <c r="C30" s="292"/>
      <c r="D30" s="292"/>
      <c r="E30" s="249">
        <f t="shared" si="1"/>
        <v>0</v>
      </c>
    </row>
    <row r="31" spans="1:5" ht="12.75">
      <c r="A31" s="60" t="s">
        <v>440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265</v>
      </c>
      <c r="B40" s="60"/>
      <c r="C40" s="90"/>
      <c r="D40" s="90"/>
      <c r="E40" s="90"/>
    </row>
    <row r="41" spans="1:5" ht="12.75">
      <c r="A41" s="502"/>
      <c r="B41" s="60"/>
      <c r="C41" s="292"/>
      <c r="D41" s="292"/>
      <c r="E41" s="249">
        <f>C41-D41</f>
        <v>0</v>
      </c>
    </row>
    <row r="42" spans="1:5" ht="12.75">
      <c r="A42" s="502" t="s">
        <v>101</v>
      </c>
      <c r="B42" s="60"/>
      <c r="C42" s="292">
        <v>0</v>
      </c>
      <c r="D42" s="292"/>
      <c r="E42" s="249">
        <f aca="true" t="shared" si="2" ref="E42:E49">C42-D42</f>
        <v>0</v>
      </c>
    </row>
    <row r="43" spans="1:5" ht="12.75">
      <c r="A43" s="60" t="s">
        <v>101</v>
      </c>
      <c r="B43" s="60"/>
      <c r="C43" s="292"/>
      <c r="D43" s="292"/>
      <c r="E43" s="249">
        <f t="shared" si="2"/>
        <v>0</v>
      </c>
    </row>
    <row r="44" spans="1:5" ht="12.75">
      <c r="A44" s="60" t="s">
        <v>101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101</v>
      </c>
      <c r="B45" s="60"/>
      <c r="C45" s="292"/>
      <c r="D45" s="292"/>
      <c r="E45" s="249">
        <f t="shared" si="2"/>
        <v>0</v>
      </c>
    </row>
    <row r="46" spans="1:5" ht="12.75">
      <c r="A46" s="60" t="s">
        <v>493</v>
      </c>
      <c r="B46" s="60"/>
      <c r="C46" s="292"/>
      <c r="D46" s="292"/>
      <c r="E46" s="249">
        <f t="shared" si="2"/>
        <v>0</v>
      </c>
    </row>
    <row r="47" spans="1:5" ht="12.75">
      <c r="A47" s="60" t="s">
        <v>440</v>
      </c>
      <c r="B47" s="60"/>
      <c r="C47" s="292"/>
      <c r="D47" s="292"/>
      <c r="E47" s="249">
        <f t="shared" si="2"/>
        <v>0</v>
      </c>
    </row>
    <row r="48" spans="1:5" ht="12.75">
      <c r="A48" s="60" t="s">
        <v>440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264</v>
      </c>
      <c r="B52" s="60"/>
      <c r="C52" s="90"/>
      <c r="D52" s="90"/>
      <c r="E52" s="90"/>
    </row>
    <row r="53" spans="1:5" ht="12.75">
      <c r="A53" s="502"/>
      <c r="B53" s="60"/>
      <c r="C53" s="292"/>
      <c r="D53" s="292"/>
      <c r="E53" s="249">
        <f>C53-D53</f>
        <v>0</v>
      </c>
    </row>
    <row r="54" spans="1:5" ht="12.75">
      <c r="A54" s="502" t="s">
        <v>101</v>
      </c>
      <c r="B54" s="60"/>
      <c r="C54" s="292">
        <v>0</v>
      </c>
      <c r="D54" s="292"/>
      <c r="E54" s="249">
        <f aca="true" t="shared" si="3" ref="E54:E61">C54-D54</f>
        <v>0</v>
      </c>
    </row>
    <row r="55" spans="1:5" ht="12.75">
      <c r="A55" s="60" t="s">
        <v>101</v>
      </c>
      <c r="B55" s="60"/>
      <c r="C55" s="292"/>
      <c r="D55" s="292"/>
      <c r="E55" s="249">
        <f t="shared" si="3"/>
        <v>0</v>
      </c>
    </row>
    <row r="56" spans="1:5" ht="12.75">
      <c r="A56" s="60" t="s">
        <v>101</v>
      </c>
      <c r="B56" s="60"/>
      <c r="C56" s="292">
        <v>0</v>
      </c>
      <c r="D56" s="292"/>
      <c r="E56" s="249">
        <f t="shared" si="3"/>
        <v>0</v>
      </c>
    </row>
    <row r="57" spans="1:5" ht="12.75">
      <c r="A57" s="60" t="s">
        <v>101</v>
      </c>
      <c r="B57" s="60"/>
      <c r="C57" s="292"/>
      <c r="D57" s="292"/>
      <c r="E57" s="249">
        <f t="shared" si="3"/>
        <v>0</v>
      </c>
    </row>
    <row r="58" spans="1:5" ht="12.75">
      <c r="A58" s="60" t="s">
        <v>493</v>
      </c>
      <c r="B58" s="60"/>
      <c r="C58" s="292"/>
      <c r="D58" s="292"/>
      <c r="E58" s="249">
        <f t="shared" si="3"/>
        <v>0</v>
      </c>
    </row>
    <row r="59" spans="1:5" ht="12.75">
      <c r="A59" s="60" t="s">
        <v>440</v>
      </c>
      <c r="B59" s="60"/>
      <c r="C59" s="292"/>
      <c r="D59" s="292"/>
      <c r="E59" s="249">
        <f t="shared" si="3"/>
        <v>0</v>
      </c>
    </row>
    <row r="60" spans="1:5" ht="12.75">
      <c r="A60" s="60" t="s">
        <v>440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90" zoomScaleNormal="90" zoomScalePageLayoutView="0" workbookViewId="0" topLeftCell="A1">
      <pane xSplit="1" ySplit="6" topLeftCell="B9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96" sqref="A9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457</v>
      </c>
      <c r="B5" s="8"/>
      <c r="C5" s="8" t="s">
        <v>2</v>
      </c>
      <c r="D5" s="8"/>
      <c r="E5" s="8"/>
      <c r="F5" s="8"/>
    </row>
    <row r="6" spans="1:6" ht="12.75">
      <c r="A6" s="413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Erie Thames Powerlines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79">
        <f>TAXREC!C13</f>
        <v>20130.33125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249</v>
      </c>
      <c r="B18" t="s">
        <v>186</v>
      </c>
      <c r="C18" s="293">
        <v>0</v>
      </c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441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/>
      <c r="B22" t="s">
        <v>186</v>
      </c>
      <c r="C22" s="293"/>
      <c r="D22" s="293"/>
      <c r="E22" s="311">
        <f t="shared" si="0"/>
        <v>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123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250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463</v>
      </c>
      <c r="B36" t="s">
        <v>186</v>
      </c>
      <c r="C36" s="293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513" t="s">
        <v>101</v>
      </c>
      <c r="B41" t="s">
        <v>186</v>
      </c>
      <c r="C41" s="292">
        <v>0</v>
      </c>
      <c r="D41" s="292"/>
      <c r="E41" s="249">
        <f t="shared" si="0"/>
        <v>0</v>
      </c>
    </row>
    <row r="42" spans="1:5" ht="12.75">
      <c r="A42" s="513" t="s">
        <v>101</v>
      </c>
      <c r="B42" t="s">
        <v>186</v>
      </c>
      <c r="C42" s="292">
        <v>0</v>
      </c>
      <c r="D42" s="292"/>
      <c r="E42" s="249">
        <f t="shared" si="0"/>
        <v>0</v>
      </c>
    </row>
    <row r="43" spans="1:5" ht="12.75">
      <c r="A43" s="504" t="s">
        <v>494</v>
      </c>
      <c r="B43" t="s">
        <v>186</v>
      </c>
      <c r="C43" s="292"/>
      <c r="D43" s="292"/>
      <c r="E43" s="249">
        <f t="shared" si="0"/>
        <v>0</v>
      </c>
    </row>
    <row r="44" spans="1:5" ht="12.75">
      <c r="A44" s="66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/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5"/>
        <v>0</v>
      </c>
    </row>
    <row r="85" spans="1:5" ht="12.75">
      <c r="A85" s="70" t="s">
        <v>251</v>
      </c>
      <c r="B85" s="8" t="s">
        <v>187</v>
      </c>
      <c r="C85" s="292"/>
      <c r="D85" s="292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5"/>
        <v>0</v>
      </c>
    </row>
    <row r="87" spans="1:5" ht="12.75">
      <c r="A87" s="66" t="s">
        <v>368</v>
      </c>
      <c r="B87" s="8" t="s">
        <v>187</v>
      </c>
      <c r="C87" s="499"/>
      <c r="D87" s="292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5"/>
        <v>0</v>
      </c>
    </row>
    <row r="92" spans="2:5" ht="12.75">
      <c r="B92" s="8" t="s">
        <v>187</v>
      </c>
      <c r="C92" s="292"/>
      <c r="D92" s="292"/>
      <c r="E92" s="249"/>
    </row>
    <row r="93" spans="1:5" ht="12.75">
      <c r="A93" s="66"/>
      <c r="B93" s="8" t="s">
        <v>187</v>
      </c>
      <c r="C93" s="292"/>
      <c r="D93" s="292"/>
      <c r="E93" s="249">
        <f t="shared" si="5"/>
        <v>0</v>
      </c>
    </row>
    <row r="94" spans="1:5" ht="12.75">
      <c r="A94" s="66"/>
      <c r="B94" s="8" t="s">
        <v>187</v>
      </c>
      <c r="C94" s="292"/>
      <c r="D94" s="292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5"/>
        <v>0</v>
      </c>
    </row>
    <row r="96" spans="1:5" ht="12.75">
      <c r="A96" s="504"/>
      <c r="B96" s="8" t="s">
        <v>187</v>
      </c>
      <c r="C96" s="292"/>
      <c r="D96" s="292"/>
      <c r="E96" s="249">
        <f t="shared" si="5"/>
        <v>0</v>
      </c>
    </row>
    <row r="97" spans="1:5" ht="12.75">
      <c r="A97" s="504" t="s">
        <v>101</v>
      </c>
      <c r="B97" s="8" t="s">
        <v>187</v>
      </c>
      <c r="C97" s="292">
        <v>0</v>
      </c>
      <c r="D97" s="292"/>
      <c r="E97" s="249">
        <f t="shared" si="5"/>
        <v>0</v>
      </c>
    </row>
    <row r="98" spans="1:5" ht="12.75">
      <c r="A98" s="504"/>
      <c r="B98" s="8" t="s">
        <v>187</v>
      </c>
      <c r="C98" s="292"/>
      <c r="D98" s="292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201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70" sqref="A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376</v>
      </c>
      <c r="E3" s="91"/>
    </row>
    <row r="4" spans="1:6" ht="15.75">
      <c r="A4" s="457" t="s">
        <v>437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9" t="s">
        <v>377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Erie Thames Powerlines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6">C19-D19</f>
        <v>0</v>
      </c>
    </row>
    <row r="20" spans="1:5" ht="12.75">
      <c r="A20" t="s">
        <v>379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445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382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383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446</v>
      </c>
      <c r="B24" t="s">
        <v>186</v>
      </c>
      <c r="C24" s="500">
        <v>0</v>
      </c>
      <c r="D24" s="293"/>
      <c r="E24" s="311">
        <f t="shared" si="0"/>
        <v>0</v>
      </c>
    </row>
    <row r="25" spans="1:5" ht="12.75">
      <c r="A25" s="66" t="s">
        <v>124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429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381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380</v>
      </c>
      <c r="B30" t="s">
        <v>186</v>
      </c>
      <c r="C30" s="292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424</v>
      </c>
      <c r="B32" t="s">
        <v>186</v>
      </c>
      <c r="C32" s="500"/>
      <c r="D32" s="293"/>
      <c r="E32" s="311">
        <f t="shared" si="0"/>
        <v>0</v>
      </c>
    </row>
    <row r="33" spans="1:5" ht="12.75">
      <c r="A33" s="66" t="s">
        <v>425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443</v>
      </c>
      <c r="C35" s="500">
        <v>0</v>
      </c>
      <c r="D35" s="293"/>
      <c r="E35" s="311">
        <f t="shared" si="0"/>
        <v>0</v>
      </c>
    </row>
    <row r="36" spans="1:5" ht="12.75">
      <c r="A36" s="66" t="s">
        <v>426</v>
      </c>
      <c r="C36" s="293"/>
      <c r="D36" s="293"/>
      <c r="E36" s="311">
        <f t="shared" si="0"/>
        <v>0</v>
      </c>
    </row>
    <row r="37" spans="1:5" ht="12.75">
      <c r="A37" s="66" t="s">
        <v>427</v>
      </c>
      <c r="C37" s="293"/>
      <c r="D37" s="293"/>
      <c r="E37" s="311">
        <f t="shared" si="0"/>
        <v>0</v>
      </c>
    </row>
    <row r="38" spans="1:5" ht="12.75">
      <c r="A38" s="80" t="s">
        <v>384</v>
      </c>
      <c r="C38" s="293">
        <v>0</v>
      </c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378</v>
      </c>
      <c r="B40" t="s">
        <v>186</v>
      </c>
      <c r="C40" s="500"/>
      <c r="D40" s="293"/>
      <c r="E40" s="311">
        <f t="shared" si="0"/>
        <v>0</v>
      </c>
    </row>
    <row r="41" spans="1:5" ht="12.75">
      <c r="A41" s="66" t="s">
        <v>449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s="513"/>
      <c r="B44" t="s">
        <v>186</v>
      </c>
      <c r="C44" s="292"/>
      <c r="D44" s="292"/>
      <c r="E44" s="249">
        <f t="shared" si="0"/>
        <v>0</v>
      </c>
    </row>
    <row r="45" spans="1:5" ht="12.75">
      <c r="A45" s="513"/>
      <c r="C45" s="292"/>
      <c r="D45" s="292"/>
      <c r="E45" s="249"/>
    </row>
    <row r="46" spans="1:5" ht="12.75">
      <c r="A46" s="505" t="s">
        <v>101</v>
      </c>
      <c r="B46" t="s">
        <v>186</v>
      </c>
      <c r="C46" s="292">
        <v>0</v>
      </c>
      <c r="D46" s="292"/>
      <c r="E46" s="249">
        <f t="shared" si="0"/>
        <v>0</v>
      </c>
    </row>
    <row r="47" spans="1:5" ht="12.75">
      <c r="A47" s="443" t="s">
        <v>388</v>
      </c>
      <c r="B47" t="s">
        <v>188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6"/>
    </row>
    <row r="49" ht="12.75">
      <c r="A49" s="80" t="s">
        <v>144</v>
      </c>
    </row>
    <row r="51" spans="1:5" ht="12.75">
      <c r="A51" s="70" t="s">
        <v>379</v>
      </c>
      <c r="B51" s="8" t="s">
        <v>187</v>
      </c>
      <c r="C51" s="292"/>
      <c r="D51" s="292"/>
      <c r="E51" s="249">
        <f aca="true" t="shared" si="1" ref="E51:E61">C51-D51</f>
        <v>0</v>
      </c>
    </row>
    <row r="52" spans="1:5" ht="12.75">
      <c r="A52" s="66" t="s">
        <v>445</v>
      </c>
      <c r="B52" s="8" t="s">
        <v>187</v>
      </c>
      <c r="C52" s="292"/>
      <c r="D52" s="292"/>
      <c r="E52" s="249">
        <f t="shared" si="1"/>
        <v>0</v>
      </c>
    </row>
    <row r="53" spans="1:5" ht="12.75">
      <c r="A53" t="s">
        <v>380</v>
      </c>
      <c r="B53" s="8" t="s">
        <v>187</v>
      </c>
      <c r="C53" s="292"/>
      <c r="D53" s="292"/>
      <c r="E53" s="249">
        <f t="shared" si="1"/>
        <v>0</v>
      </c>
    </row>
    <row r="54" spans="1:5" ht="12.75">
      <c r="A54" t="s">
        <v>428</v>
      </c>
      <c r="B54" s="8" t="s">
        <v>187</v>
      </c>
      <c r="C54" s="499"/>
      <c r="D54" s="292"/>
      <c r="E54" s="249">
        <f t="shared" si="1"/>
        <v>0</v>
      </c>
    </row>
    <row r="55" spans="1:5" ht="25.5">
      <c r="A55" s="66" t="s">
        <v>436</v>
      </c>
      <c r="B55" s="8" t="s">
        <v>187</v>
      </c>
      <c r="C55" s="292"/>
      <c r="D55" s="292"/>
      <c r="E55" s="249">
        <f t="shared" si="1"/>
        <v>0</v>
      </c>
    </row>
    <row r="56" spans="1:5" ht="12.75">
      <c r="A56" s="66" t="s">
        <v>448</v>
      </c>
      <c r="B56" s="8" t="s">
        <v>187</v>
      </c>
      <c r="C56" s="292"/>
      <c r="D56" s="292"/>
      <c r="E56" s="249">
        <f t="shared" si="1"/>
        <v>0</v>
      </c>
    </row>
    <row r="57" spans="1:5" ht="12.75">
      <c r="A57" s="2" t="s">
        <v>444</v>
      </c>
      <c r="B57" s="8" t="s">
        <v>187</v>
      </c>
      <c r="C57" s="499"/>
      <c r="D57" s="292"/>
      <c r="E57" s="249">
        <f t="shared" si="1"/>
        <v>0</v>
      </c>
    </row>
    <row r="58" spans="1:5" ht="12.75">
      <c r="A58" s="66" t="s">
        <v>447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/>
      <c r="B59" s="8" t="s">
        <v>187</v>
      </c>
      <c r="C59" s="292"/>
      <c r="D59" s="292"/>
      <c r="E59" s="249">
        <f t="shared" si="1"/>
        <v>0</v>
      </c>
    </row>
    <row r="60" spans="1:5" ht="12.75">
      <c r="A60" s="461" t="s">
        <v>385</v>
      </c>
      <c r="B60" s="8" t="s">
        <v>187</v>
      </c>
      <c r="C60" s="292">
        <v>0</v>
      </c>
      <c r="D60" s="292"/>
      <c r="E60" s="249">
        <f t="shared" si="1"/>
        <v>0</v>
      </c>
    </row>
    <row r="61" spans="2:5" ht="12.75">
      <c r="B61" s="8" t="s">
        <v>187</v>
      </c>
      <c r="C61" s="292"/>
      <c r="D61" s="292"/>
      <c r="E61" s="249">
        <f t="shared" si="1"/>
        <v>0</v>
      </c>
    </row>
    <row r="62" spans="1:5" ht="12.75">
      <c r="A62" s="461" t="s">
        <v>378</v>
      </c>
      <c r="B62" s="8" t="s">
        <v>187</v>
      </c>
      <c r="C62" s="499"/>
      <c r="D62" s="292"/>
      <c r="E62" s="249">
        <f aca="true" t="shared" si="2" ref="E62:E73">C62-D62</f>
        <v>0</v>
      </c>
    </row>
    <row r="63" spans="2:5" ht="12.75">
      <c r="B63" s="8" t="s">
        <v>187</v>
      </c>
      <c r="C63" s="292"/>
      <c r="D63" s="292"/>
      <c r="E63" s="249">
        <f t="shared" si="2"/>
        <v>0</v>
      </c>
    </row>
    <row r="64" spans="2:5" ht="12.75">
      <c r="B64" s="8" t="s">
        <v>187</v>
      </c>
      <c r="C64" s="292"/>
      <c r="D64" s="292"/>
      <c r="E64" s="249">
        <f t="shared" si="2"/>
        <v>0</v>
      </c>
    </row>
    <row r="65" spans="2:5" ht="12.75">
      <c r="B65" s="8" t="s">
        <v>187</v>
      </c>
      <c r="C65" s="292"/>
      <c r="D65" s="292"/>
      <c r="E65" s="249">
        <f t="shared" si="2"/>
        <v>0</v>
      </c>
    </row>
    <row r="66" spans="2:5" ht="12.75">
      <c r="B66" s="8" t="s">
        <v>187</v>
      </c>
      <c r="C66" s="292"/>
      <c r="D66" s="292"/>
      <c r="E66" s="249">
        <f t="shared" si="2"/>
        <v>0</v>
      </c>
    </row>
    <row r="67" spans="1:5" ht="12.75">
      <c r="A67" s="66"/>
      <c r="B67" s="8" t="s">
        <v>187</v>
      </c>
      <c r="C67" s="292"/>
      <c r="D67" s="292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49">
        <f t="shared" si="2"/>
        <v>0</v>
      </c>
    </row>
    <row r="69" spans="1:5" ht="12.75">
      <c r="A69" s="504"/>
      <c r="B69" s="8" t="s">
        <v>187</v>
      </c>
      <c r="C69" s="292"/>
      <c r="D69" s="292"/>
      <c r="E69" s="249">
        <f t="shared" si="2"/>
        <v>0</v>
      </c>
    </row>
    <row r="70" spans="1:5" ht="12.75">
      <c r="A70" s="504" t="s">
        <v>101</v>
      </c>
      <c r="B70" s="8" t="s">
        <v>187</v>
      </c>
      <c r="C70" s="292">
        <v>0</v>
      </c>
      <c r="D70" s="292"/>
      <c r="E70" s="249">
        <f t="shared" si="2"/>
        <v>0</v>
      </c>
    </row>
    <row r="71" spans="1:5" ht="12.75">
      <c r="A71" s="504" t="s">
        <v>101</v>
      </c>
      <c r="B71" s="8"/>
      <c r="C71" s="292">
        <v>0</v>
      </c>
      <c r="D71" s="292"/>
      <c r="E71" s="249"/>
    </row>
    <row r="72" spans="1:5" ht="12.75">
      <c r="A72" s="505" t="s">
        <v>101</v>
      </c>
      <c r="B72" s="8" t="s">
        <v>187</v>
      </c>
      <c r="C72" s="292">
        <v>0</v>
      </c>
      <c r="D72" s="292"/>
      <c r="E72" s="249">
        <f t="shared" si="2"/>
        <v>0</v>
      </c>
    </row>
    <row r="73" spans="1:5" ht="12.75">
      <c r="A73" s="513" t="s">
        <v>101</v>
      </c>
      <c r="B73" s="8" t="s">
        <v>187</v>
      </c>
      <c r="C73" s="292">
        <v>0</v>
      </c>
      <c r="D73" s="292"/>
      <c r="E73" s="277">
        <f t="shared" si="2"/>
        <v>0</v>
      </c>
    </row>
    <row r="74" spans="1:5" ht="12.75">
      <c r="A74" s="442" t="s">
        <v>387</v>
      </c>
      <c r="B74" s="8" t="s">
        <v>188</v>
      </c>
      <c r="C74" s="249">
        <f>SUM(C51:C73)</f>
        <v>0</v>
      </c>
      <c r="D74" s="249">
        <f>SUM(D51:D73)</f>
        <v>0</v>
      </c>
      <c r="E74" s="249">
        <f>SUM(E51:E73)</f>
        <v>0</v>
      </c>
    </row>
    <row r="75" ht="12.75">
      <c r="A75" s="66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5">
      <selection activeCell="A59" sqref="A59:F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2" t="str">
        <f>REGINFO!A1</f>
        <v>PILs TAXES - EB-2010-</v>
      </c>
      <c r="B1" s="383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299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Erie Thames Powerlines Corporation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2005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8" t="s">
        <v>329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6" t="s">
        <v>471</v>
      </c>
      <c r="B8" s="527"/>
      <c r="C8" s="527"/>
      <c r="D8" s="527"/>
      <c r="E8" s="341"/>
      <c r="F8" s="380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71">
        <v>0</v>
      </c>
      <c r="D9" s="371"/>
      <c r="E9" s="371">
        <v>400001</v>
      </c>
      <c r="F9" s="372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473</v>
      </c>
      <c r="B10" s="325"/>
      <c r="C10" s="373" t="s">
        <v>110</v>
      </c>
      <c r="D10" s="373"/>
      <c r="E10" s="373" t="s">
        <v>110</v>
      </c>
      <c r="F10" s="374" t="s">
        <v>467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75">
        <v>400000</v>
      </c>
      <c r="D11" s="375"/>
      <c r="E11" s="375">
        <v>1128000</v>
      </c>
      <c r="F11" s="376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292</v>
      </c>
      <c r="B13" s="407">
        <v>2005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291</v>
      </c>
      <c r="B14" s="244"/>
      <c r="C14" s="326">
        <v>0.1312</v>
      </c>
      <c r="D14" s="326"/>
      <c r="E14" s="327">
        <v>0.1775</v>
      </c>
      <c r="F14" s="327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296</v>
      </c>
      <c r="B15" s="244"/>
      <c r="C15" s="328">
        <v>0.055</v>
      </c>
      <c r="D15" s="328"/>
      <c r="E15" s="329">
        <v>0.0975</v>
      </c>
      <c r="F15" s="329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256</v>
      </c>
      <c r="B16" s="244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0.00175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324</v>
      </c>
      <c r="B21" s="404" t="s">
        <v>472</v>
      </c>
      <c r="C21" s="359">
        <v>7500000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325</v>
      </c>
      <c r="B22" s="405" t="s">
        <v>466</v>
      </c>
      <c r="C22" s="360">
        <v>50000000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20" t="s">
        <v>478</v>
      </c>
      <c r="B23" s="521"/>
      <c r="C23" s="521"/>
      <c r="D23" s="521"/>
      <c r="E23" s="521"/>
      <c r="F23" s="521"/>
      <c r="G23" s="432"/>
      <c r="H23" s="418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9"/>
      <c r="B24" s="410"/>
      <c r="C24" s="410"/>
      <c r="D24" s="410"/>
      <c r="E24" s="410"/>
      <c r="F24" s="410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7"/>
      <c r="B25" s="378"/>
      <c r="C25" s="381"/>
      <c r="D25" s="341"/>
      <c r="E25" s="341"/>
      <c r="F25" s="408" t="s">
        <v>330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6" t="s">
        <v>474</v>
      </c>
      <c r="B26" s="527"/>
      <c r="C26" s="527"/>
      <c r="D26" s="527"/>
      <c r="E26" s="527"/>
      <c r="F26" s="527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65">
        <v>0</v>
      </c>
      <c r="D27" s="365">
        <v>250001</v>
      </c>
      <c r="E27" s="365">
        <v>400001</v>
      </c>
      <c r="F27" s="366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432</v>
      </c>
      <c r="B28" s="325"/>
      <c r="C28" s="367" t="s">
        <v>110</v>
      </c>
      <c r="D28" s="367" t="s">
        <v>110</v>
      </c>
      <c r="E28" s="367" t="s">
        <v>110</v>
      </c>
      <c r="F28" s="368" t="s">
        <v>467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69">
        <v>250000</v>
      </c>
      <c r="D29" s="369">
        <v>400000</v>
      </c>
      <c r="E29" s="369">
        <v>1128000</v>
      </c>
      <c r="F29" s="370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407">
        <v>2005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291</v>
      </c>
      <c r="B32" s="407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28</v>
      </c>
      <c r="B33" s="407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256</v>
      </c>
      <c r="B34" s="407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407">
        <v>2005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407">
        <v>2005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407">
        <v>2005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476</v>
      </c>
      <c r="B39" s="404" t="s">
        <v>472</v>
      </c>
      <c r="C39" s="359">
        <v>7500000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477</v>
      </c>
      <c r="B40" s="405" t="s">
        <v>466</v>
      </c>
      <c r="C40" s="360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22" t="s">
        <v>327</v>
      </c>
      <c r="B41" s="521"/>
      <c r="C41" s="521"/>
      <c r="D41" s="521"/>
      <c r="E41" s="521"/>
      <c r="F41" s="521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23"/>
      <c r="B42" s="523"/>
      <c r="C42" s="523"/>
      <c r="D42" s="523"/>
      <c r="E42" s="523"/>
      <c r="F42" s="523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7"/>
      <c r="B43" s="378"/>
      <c r="C43" s="379"/>
      <c r="D43" s="378"/>
      <c r="E43" s="378"/>
      <c r="F43" s="408" t="s">
        <v>331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6" t="s">
        <v>475</v>
      </c>
      <c r="B44" s="363"/>
      <c r="C44" s="364"/>
      <c r="D44" s="363"/>
      <c r="E44" s="341"/>
      <c r="F44" s="380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111</v>
      </c>
      <c r="B45" s="324"/>
      <c r="C45" s="365">
        <v>0</v>
      </c>
      <c r="D45" s="365">
        <v>250001</v>
      </c>
      <c r="E45" s="365">
        <v>400001</v>
      </c>
      <c r="F45" s="366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7" t="s">
        <v>110</v>
      </c>
      <c r="D46" s="367" t="s">
        <v>110</v>
      </c>
      <c r="E46" s="367" t="s">
        <v>110</v>
      </c>
      <c r="F46" s="368" t="s">
        <v>467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115</v>
      </c>
      <c r="C47" s="369">
        <v>250000</v>
      </c>
      <c r="D47" s="369">
        <v>400000</v>
      </c>
      <c r="E47" s="369">
        <v>1128000</v>
      </c>
      <c r="F47" s="370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114</v>
      </c>
      <c r="B49" s="407">
        <v>2005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291</v>
      </c>
      <c r="B50" s="244"/>
      <c r="C50" s="350">
        <v>0.1312</v>
      </c>
      <c r="D50" s="350">
        <v>0.2212</v>
      </c>
      <c r="E50" s="351">
        <v>0.2212</v>
      </c>
      <c r="F50" s="351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28</v>
      </c>
      <c r="B51" s="244"/>
      <c r="C51" s="352">
        <v>0.055</v>
      </c>
      <c r="D51" s="352">
        <v>0.055</v>
      </c>
      <c r="E51" s="353">
        <v>0.14</v>
      </c>
      <c r="F51" s="353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256</v>
      </c>
      <c r="B52" s="244"/>
      <c r="C52" s="330">
        <f>SUM(C50:C51)</f>
        <v>0.1862</v>
      </c>
      <c r="D52" s="330">
        <f>SUM(D50:D51)</f>
        <v>0.2762</v>
      </c>
      <c r="E52" s="331">
        <f>SUM(E50:E51)</f>
        <v>0.3612</v>
      </c>
      <c r="F52" s="331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108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109</v>
      </c>
      <c r="B55" s="237"/>
      <c r="C55" s="507">
        <v>0.00175</v>
      </c>
      <c r="D55" s="355"/>
      <c r="E55" s="356"/>
      <c r="F55" s="356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112</v>
      </c>
      <c r="B56" s="237"/>
      <c r="C56" s="355">
        <v>0.0112</v>
      </c>
      <c r="D56" s="357"/>
      <c r="E56" s="358"/>
      <c r="F56" s="358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341</v>
      </c>
      <c r="B57" s="404" t="s">
        <v>472</v>
      </c>
      <c r="C57" s="497">
        <v>5369797</v>
      </c>
      <c r="D57" s="357"/>
      <c r="E57" s="358"/>
      <c r="F57" s="358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342</v>
      </c>
      <c r="B58" s="405" t="s">
        <v>466</v>
      </c>
      <c r="C58" s="498">
        <v>25000000</v>
      </c>
      <c r="D58" s="361"/>
      <c r="E58" s="362"/>
      <c r="F58" s="362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20" t="s">
        <v>343</v>
      </c>
      <c r="B59" s="524"/>
      <c r="C59" s="524"/>
      <c r="D59" s="524"/>
      <c r="E59" s="524"/>
      <c r="F59" s="524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25"/>
      <c r="B60" s="525"/>
      <c r="C60" s="525"/>
      <c r="D60" s="525"/>
      <c r="E60" s="525"/>
      <c r="F60" s="525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90" zoomScaleNormal="90" zoomScalePageLayoutView="0" workbookViewId="0" topLeftCell="A1">
      <selection activeCell="R30" sqref="R3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EB-2010-</v>
      </c>
    </row>
    <row r="2" spans="1:2" ht="12.75">
      <c r="A2" s="2" t="s">
        <v>450</v>
      </c>
      <c r="B2" s="2"/>
    </row>
    <row r="3" spans="1:15" ht="12.75">
      <c r="A3" s="2" t="str">
        <f>REGINFO!A3</f>
        <v>Utility Name: Erie Thames Powerlines Corporation</v>
      </c>
      <c r="O3" s="414" t="str">
        <f>REGINFO!E1</f>
        <v>Version 2009.1</v>
      </c>
    </row>
    <row r="4" spans="1:15" ht="12.75">
      <c r="A4" s="2" t="str">
        <f>REGINFO!A4</f>
        <v>Reporting period:  2005</v>
      </c>
      <c r="E4" s="415" t="s">
        <v>313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37104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0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188</v>
      </c>
      <c r="C11" s="392">
        <v>0</v>
      </c>
      <c r="D11" s="388"/>
      <c r="E11" s="394">
        <f>C22</f>
        <v>0</v>
      </c>
      <c r="F11" s="417"/>
      <c r="G11" s="394">
        <f>E22</f>
        <v>0</v>
      </c>
      <c r="H11" s="417"/>
      <c r="I11" s="394">
        <f>G22</f>
        <v>0</v>
      </c>
      <c r="J11" s="388"/>
      <c r="K11" s="394">
        <f>I22</f>
        <v>0</v>
      </c>
      <c r="L11" s="388"/>
      <c r="M11" s="394">
        <f>K22</f>
        <v>0</v>
      </c>
      <c r="N11" s="388"/>
      <c r="O11" s="394">
        <f>C11</f>
        <v>0</v>
      </c>
    </row>
    <row r="12" spans="1:17" ht="27" customHeight="1">
      <c r="A12" s="80" t="s">
        <v>389</v>
      </c>
      <c r="B12" s="65" t="s">
        <v>189</v>
      </c>
      <c r="C12" s="495"/>
      <c r="D12" s="389"/>
      <c r="E12" s="495"/>
      <c r="F12" s="94"/>
      <c r="G12" s="416">
        <f>C12+E12</f>
        <v>0</v>
      </c>
      <c r="H12" s="94"/>
      <c r="I12" s="416">
        <f>(E12/12*9)+(G12/12*3)</f>
        <v>0</v>
      </c>
      <c r="J12" s="389"/>
      <c r="K12" s="416">
        <f>E12/12*3</f>
        <v>0</v>
      </c>
      <c r="L12" s="389"/>
      <c r="M12" s="416"/>
      <c r="N12" s="389"/>
      <c r="O12" s="394">
        <f aca="true" t="shared" si="0" ref="O12:O20">SUM(C12:N12)</f>
        <v>0</v>
      </c>
      <c r="Q12" s="22"/>
    </row>
    <row r="13" spans="1:15" ht="27" customHeight="1">
      <c r="A13" s="80" t="s">
        <v>431</v>
      </c>
      <c r="B13" s="65"/>
      <c r="C13" s="393"/>
      <c r="D13" s="94"/>
      <c r="E13" s="393"/>
      <c r="F13" s="94"/>
      <c r="G13" s="495"/>
      <c r="H13" s="94"/>
      <c r="I13" s="393"/>
      <c r="J13" s="389"/>
      <c r="K13" s="495"/>
      <c r="L13" s="389"/>
      <c r="M13" s="393"/>
      <c r="N13" s="389"/>
      <c r="O13" s="394">
        <f t="shared" si="0"/>
        <v>0</v>
      </c>
    </row>
    <row r="14" spans="1:15" ht="25.5">
      <c r="A14" s="80" t="s">
        <v>390</v>
      </c>
      <c r="B14" s="65" t="s">
        <v>189</v>
      </c>
      <c r="C14" s="393"/>
      <c r="D14" s="389"/>
      <c r="E14" s="495"/>
      <c r="F14" s="94"/>
      <c r="G14" s="393">
        <v>0</v>
      </c>
      <c r="H14" s="94"/>
      <c r="I14" s="422"/>
      <c r="J14" s="389"/>
      <c r="K14" s="393"/>
      <c r="L14" s="389"/>
      <c r="M14" s="393"/>
      <c r="N14" s="389"/>
      <c r="O14" s="394">
        <f t="shared" si="0"/>
        <v>0</v>
      </c>
    </row>
    <row r="15" spans="1:15" ht="27" customHeight="1">
      <c r="A15" s="80" t="s">
        <v>391</v>
      </c>
      <c r="B15" s="65" t="s">
        <v>189</v>
      </c>
      <c r="C15" s="393"/>
      <c r="D15" s="389"/>
      <c r="E15" s="393">
        <v>0</v>
      </c>
      <c r="F15" s="94"/>
      <c r="G15" s="495"/>
      <c r="H15" s="94"/>
      <c r="I15" s="495"/>
      <c r="J15" s="389"/>
      <c r="K15" s="495"/>
      <c r="L15" s="389"/>
      <c r="M15" s="393">
        <f>TAXCALC!E133</f>
        <v>-17741.138461538463</v>
      </c>
      <c r="N15" s="389"/>
      <c r="O15" s="394">
        <f t="shared" si="0"/>
        <v>-17741.138461538463</v>
      </c>
    </row>
    <row r="16" spans="1:15" ht="27" customHeight="1">
      <c r="A16" s="80" t="s">
        <v>392</v>
      </c>
      <c r="B16" s="65"/>
      <c r="C16" s="393"/>
      <c r="D16" s="389"/>
      <c r="E16" s="393"/>
      <c r="F16" s="94"/>
      <c r="G16" s="393"/>
      <c r="H16" s="94"/>
      <c r="I16" s="393"/>
      <c r="J16" s="389"/>
      <c r="K16" s="393">
        <v>0</v>
      </c>
      <c r="L16" s="389"/>
      <c r="M16" s="393"/>
      <c r="N16" s="389"/>
      <c r="O16" s="394">
        <f t="shared" si="0"/>
        <v>0</v>
      </c>
    </row>
    <row r="17" spans="1:15" ht="27.75" customHeight="1">
      <c r="A17" s="80" t="s">
        <v>393</v>
      </c>
      <c r="B17" s="65" t="s">
        <v>189</v>
      </c>
      <c r="C17" s="393"/>
      <c r="D17" s="389"/>
      <c r="E17" s="393">
        <v>0</v>
      </c>
      <c r="F17" s="94"/>
      <c r="G17" s="495"/>
      <c r="H17" s="94"/>
      <c r="I17" s="495"/>
      <c r="J17" s="389"/>
      <c r="K17" s="495"/>
      <c r="L17" s="389"/>
      <c r="M17" s="393">
        <f>TAXCALC!E182</f>
        <v>126347.16692629184</v>
      </c>
      <c r="N17" s="389"/>
      <c r="O17" s="394">
        <f t="shared" si="0"/>
        <v>126347.16692629184</v>
      </c>
    </row>
    <row r="18" spans="1:15" ht="25.5">
      <c r="A18" s="80" t="s">
        <v>394</v>
      </c>
      <c r="B18" s="65" t="s">
        <v>189</v>
      </c>
      <c r="C18" s="393"/>
      <c r="D18" s="389"/>
      <c r="E18" s="393"/>
      <c r="F18" s="94"/>
      <c r="G18" s="393"/>
      <c r="H18" s="94"/>
      <c r="I18" s="393"/>
      <c r="J18" s="389"/>
      <c r="K18" s="393"/>
      <c r="L18" s="389"/>
      <c r="M18" s="393"/>
      <c r="N18" s="389"/>
      <c r="O18" s="394">
        <f t="shared" si="0"/>
        <v>0</v>
      </c>
    </row>
    <row r="19" spans="1:17" ht="24" customHeight="1">
      <c r="A19" s="426" t="s">
        <v>395</v>
      </c>
      <c r="B19" s="65" t="s">
        <v>189</v>
      </c>
      <c r="C19" s="393"/>
      <c r="D19" s="389"/>
      <c r="E19" s="495"/>
      <c r="F19" s="94"/>
      <c r="G19" s="495"/>
      <c r="H19" s="94"/>
      <c r="I19" s="495"/>
      <c r="J19" s="389"/>
      <c r="K19" s="495"/>
      <c r="L19" s="389"/>
      <c r="M19" s="495"/>
      <c r="N19" s="389"/>
      <c r="O19" s="394">
        <f t="shared" si="0"/>
        <v>0</v>
      </c>
      <c r="Q19" s="22"/>
    </row>
    <row r="20" spans="1:17" ht="24.75" customHeight="1">
      <c r="A20" s="80" t="s">
        <v>461</v>
      </c>
      <c r="B20" s="65" t="s">
        <v>187</v>
      </c>
      <c r="C20" s="393">
        <v>0</v>
      </c>
      <c r="D20" s="389"/>
      <c r="E20" s="495"/>
      <c r="F20" s="94"/>
      <c r="G20" s="495"/>
      <c r="H20" s="94"/>
      <c r="I20" s="495"/>
      <c r="J20" s="389"/>
      <c r="K20" s="495"/>
      <c r="L20" s="389"/>
      <c r="M20" s="495"/>
      <c r="N20" s="389"/>
      <c r="O20" s="394">
        <f t="shared" si="0"/>
        <v>0</v>
      </c>
      <c r="Q20" s="483"/>
    </row>
    <row r="21" spans="1:15" ht="12.75">
      <c r="A21" s="64"/>
      <c r="C21" s="389"/>
      <c r="D21" s="94"/>
      <c r="E21" s="389"/>
      <c r="F21" s="94"/>
      <c r="G21" s="389"/>
      <c r="H21" s="94"/>
      <c r="I21" s="389"/>
      <c r="J21" s="389"/>
      <c r="K21" s="389"/>
      <c r="L21" s="389"/>
      <c r="M21" s="389"/>
      <c r="N21" s="389"/>
      <c r="O21" s="417"/>
    </row>
    <row r="22" spans="1:15" ht="13.5" thickBot="1">
      <c r="A22" s="80" t="s">
        <v>365</v>
      </c>
      <c r="B22" s="34"/>
      <c r="C22" s="395">
        <f>SUM(C11:C20)</f>
        <v>0</v>
      </c>
      <c r="D22" s="417"/>
      <c r="E22" s="395">
        <f>SUM(E11:E20)</f>
        <v>0</v>
      </c>
      <c r="F22" s="417"/>
      <c r="G22" s="395">
        <f>SUM(G11:G20)</f>
        <v>0</v>
      </c>
      <c r="H22" s="417"/>
      <c r="I22" s="395">
        <f>SUM(I11:I20)</f>
        <v>0</v>
      </c>
      <c r="J22" s="388"/>
      <c r="K22" s="395">
        <f>SUM(K11:K20)</f>
        <v>0</v>
      </c>
      <c r="L22" s="388"/>
      <c r="M22" s="395">
        <f>SUM(M11:M21)</f>
        <v>108606.02846475338</v>
      </c>
      <c r="N22" s="388"/>
      <c r="O22" s="480">
        <f>SUM(O11:O20)</f>
        <v>108606.02846475338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7"/>
      <c r="M23" s="436"/>
      <c r="N23" s="187"/>
      <c r="O23" s="436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7"/>
      <c r="B25" s="428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7" t="s">
        <v>396</v>
      </c>
      <c r="B26" s="428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7"/>
      <c r="M27" s="187"/>
      <c r="N27" s="187"/>
      <c r="O27" s="187"/>
    </row>
    <row r="28" spans="1:15" ht="12.75">
      <c r="A28" s="427" t="s">
        <v>397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7"/>
      <c r="M28" s="187"/>
      <c r="N28" s="187"/>
      <c r="O28" s="187"/>
    </row>
    <row r="29" spans="1:15" ht="12.75">
      <c r="A29" s="430" t="s">
        <v>398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7"/>
      <c r="M29" s="187"/>
      <c r="N29" s="187"/>
      <c r="O29" s="187"/>
    </row>
    <row r="30" spans="1:15" ht="9" customHeight="1">
      <c r="A30" s="187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7"/>
      <c r="M30" s="187"/>
      <c r="N30" s="187"/>
      <c r="O30" s="187"/>
    </row>
    <row r="31" spans="1:15" ht="12.75">
      <c r="A31" s="444" t="s">
        <v>399</v>
      </c>
      <c r="B31" s="79"/>
      <c r="C31" s="79"/>
      <c r="D31" s="79"/>
      <c r="E31" s="79"/>
      <c r="F31" s="79"/>
      <c r="G31" s="79"/>
      <c r="H31" s="79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29" t="s">
        <v>400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418"/>
      <c r="Q33" s="418"/>
      <c r="R33" s="418"/>
      <c r="S33" s="418"/>
    </row>
    <row r="34" spans="1:19" ht="12.75">
      <c r="A34" s="528" t="s">
        <v>401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418"/>
      <c r="Q34" s="418"/>
      <c r="R34" s="418"/>
      <c r="S34" s="418"/>
    </row>
    <row r="35" spans="1:19" ht="12.75">
      <c r="A35" s="528" t="s">
        <v>422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418"/>
      <c r="Q35" s="418"/>
      <c r="R35" s="418"/>
      <c r="S35" s="418"/>
    </row>
    <row r="36" spans="1:19" ht="12.75">
      <c r="A36" s="528" t="s">
        <v>402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418"/>
      <c r="Q36" s="418"/>
      <c r="R36" s="418"/>
      <c r="S36" s="418"/>
    </row>
    <row r="37" spans="1:19" ht="12.75">
      <c r="A37" s="431" t="s">
        <v>362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8"/>
      <c r="Q37" s="418"/>
      <c r="R37" s="418"/>
      <c r="S37" s="418"/>
    </row>
    <row r="38" spans="1:19" ht="12.75">
      <c r="A38" s="431" t="s">
        <v>363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8"/>
      <c r="Q38" s="418"/>
      <c r="R38" s="418"/>
      <c r="S38" s="418"/>
    </row>
    <row r="39" spans="1:19" ht="12.75">
      <c r="A39" s="431" t="s">
        <v>403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8"/>
      <c r="Q39" s="418"/>
      <c r="R39" s="418"/>
      <c r="S39" s="418"/>
    </row>
    <row r="40" spans="1:19" ht="12.75">
      <c r="A40" s="431" t="s">
        <v>404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8"/>
      <c r="Q40" s="418"/>
      <c r="R40" s="418"/>
      <c r="S40" s="418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8"/>
      <c r="Q41" s="418"/>
      <c r="R41" s="418"/>
      <c r="S41" s="418"/>
    </row>
    <row r="42" spans="1:15" ht="12.75">
      <c r="A42" s="433" t="s">
        <v>405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7"/>
      <c r="M42" s="187"/>
      <c r="N42" s="187"/>
      <c r="O42" s="187"/>
    </row>
    <row r="43" spans="1:15" ht="12.75">
      <c r="A43" s="428" t="s">
        <v>406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7"/>
      <c r="M43" s="187"/>
      <c r="N43" s="187"/>
      <c r="O43" s="187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7"/>
      <c r="M44" s="187"/>
      <c r="N44" s="187"/>
      <c r="O44" s="187"/>
    </row>
    <row r="45" spans="1:15" ht="12.75">
      <c r="A45" s="433" t="s">
        <v>407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7"/>
      <c r="M45" s="187"/>
      <c r="N45" s="187"/>
      <c r="O45" s="187"/>
    </row>
    <row r="46" spans="1:15" ht="12.75">
      <c r="A46" s="428" t="s">
        <v>408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7"/>
      <c r="M46" s="187"/>
      <c r="N46" s="187"/>
      <c r="O46" s="187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7"/>
      <c r="M47" s="187"/>
      <c r="N47" s="187"/>
      <c r="O47" s="187"/>
    </row>
    <row r="48" spans="1:15" ht="12.75">
      <c r="A48" s="433" t="s">
        <v>409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7"/>
      <c r="M48" s="187"/>
      <c r="N48" s="187"/>
      <c r="O48" s="187"/>
    </row>
    <row r="49" spans="1:15" ht="12.75">
      <c r="A49" s="428" t="s">
        <v>410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7"/>
      <c r="M49" s="187"/>
      <c r="N49" s="187"/>
      <c r="O49" s="187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7"/>
      <c r="M50" s="187"/>
      <c r="N50" s="187"/>
      <c r="O50" s="187"/>
    </row>
    <row r="51" spans="1:15" ht="12.75">
      <c r="A51" s="433" t="s">
        <v>411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7"/>
      <c r="M51" s="187"/>
      <c r="N51" s="187"/>
      <c r="O51" s="187"/>
    </row>
    <row r="52" spans="1:15" ht="12.75">
      <c r="A52" s="428" t="s">
        <v>408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7"/>
      <c r="M52" s="187"/>
      <c r="N52" s="187"/>
      <c r="O52" s="187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7"/>
      <c r="M53" s="187"/>
      <c r="N53" s="187"/>
      <c r="O53" s="187"/>
    </row>
    <row r="54" spans="1:15" ht="12.75">
      <c r="A54" s="428" t="s">
        <v>412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7"/>
      <c r="M54" s="187"/>
      <c r="N54" s="187"/>
      <c r="O54" s="187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7"/>
      <c r="M55" s="187"/>
      <c r="N55" s="187"/>
      <c r="O55" s="187"/>
    </row>
    <row r="56" spans="1:15" ht="12.75" customHeight="1">
      <c r="A56" s="433" t="s">
        <v>413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7"/>
      <c r="M56" s="187"/>
      <c r="N56" s="187"/>
      <c r="O56" s="187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7"/>
      <c r="M57" s="187"/>
      <c r="N57" s="187"/>
      <c r="O57" s="187"/>
    </row>
    <row r="58" spans="1:15" ht="12.75">
      <c r="A58" s="428" t="s">
        <v>414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7"/>
      <c r="M58" s="187"/>
      <c r="N58" s="187"/>
      <c r="O58" s="187"/>
    </row>
    <row r="59" spans="1:15" ht="12.75">
      <c r="A59" s="428" t="s">
        <v>415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7"/>
      <c r="M59" s="187"/>
      <c r="N59" s="187"/>
      <c r="O59" s="187"/>
    </row>
    <row r="60" spans="1:15" ht="12.75">
      <c r="A60" s="428" t="s">
        <v>416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7"/>
      <c r="M60" s="187"/>
      <c r="N60" s="187"/>
      <c r="O60" s="187"/>
    </row>
    <row r="61" spans="1:15" ht="12.75">
      <c r="A61" s="428" t="s">
        <v>372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7"/>
      <c r="M61" s="187"/>
      <c r="N61" s="187"/>
      <c r="O61" s="187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7"/>
      <c r="M62" s="187"/>
      <c r="N62" s="187"/>
      <c r="O62" s="187"/>
    </row>
    <row r="63" spans="1:15" ht="12.75">
      <c r="A63" s="428" t="s">
        <v>417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7"/>
      <c r="M63" s="187"/>
      <c r="N63" s="187"/>
      <c r="O63" s="187"/>
    </row>
    <row r="64" spans="1:15" ht="12.75">
      <c r="A64" s="428" t="s">
        <v>418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7"/>
      <c r="M64" s="187"/>
      <c r="N64" s="187"/>
      <c r="O64" s="187"/>
    </row>
    <row r="65" spans="1:15" ht="12.75">
      <c r="A65" s="428" t="s">
        <v>374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7"/>
      <c r="M65" s="187"/>
      <c r="N65" s="187"/>
      <c r="O65" s="187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7"/>
      <c r="M66" s="187"/>
      <c r="N66" s="187"/>
      <c r="O66" s="187"/>
    </row>
    <row r="67" spans="1:15" ht="12.75">
      <c r="A67" s="428" t="s">
        <v>373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7"/>
      <c r="M67" s="187"/>
      <c r="N67" s="187"/>
      <c r="O67" s="187"/>
    </row>
    <row r="68" spans="1:15" ht="12.75">
      <c r="A68" s="428" t="s">
        <v>375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7"/>
      <c r="M68" s="187"/>
      <c r="N68" s="187"/>
      <c r="O68" s="187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7"/>
      <c r="M69" s="187"/>
      <c r="N69" s="187"/>
      <c r="O69" s="187"/>
    </row>
    <row r="70" spans="1:15" ht="12.75">
      <c r="A70" s="428" t="s">
        <v>419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7"/>
      <c r="M70" s="187"/>
      <c r="N70" s="187"/>
      <c r="O70" s="187"/>
    </row>
    <row r="71" spans="1:15" ht="12.75">
      <c r="A71" s="428" t="s">
        <v>420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7"/>
      <c r="M71" s="187"/>
      <c r="N71" s="187"/>
      <c r="O71" s="187"/>
    </row>
    <row r="72" spans="1:15" ht="12.75">
      <c r="A72" s="428" t="s">
        <v>421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7"/>
      <c r="M72" s="187"/>
      <c r="N72" s="187"/>
      <c r="O72" s="187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7"/>
      <c r="M73" s="187"/>
      <c r="N73" s="187"/>
      <c r="O73" s="187"/>
    </row>
    <row r="74" spans="1:15" ht="12.75" customHeight="1">
      <c r="A74" s="528" t="s">
        <v>451</v>
      </c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</row>
    <row r="75" spans="1:15" ht="12.75">
      <c r="A75" s="428" t="s">
        <v>364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7"/>
      <c r="M75" s="187"/>
      <c r="N75" s="187"/>
      <c r="O75" s="187"/>
    </row>
    <row r="76" spans="1:15" ht="12.75">
      <c r="A76" s="187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7"/>
      <c r="M76" s="187"/>
      <c r="N76" s="187"/>
      <c r="O76" s="187"/>
    </row>
    <row r="77" spans="1:15" ht="12.75">
      <c r="A77" s="187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7"/>
      <c r="M77" s="187"/>
      <c r="N77" s="187"/>
      <c r="O77" s="187"/>
    </row>
    <row r="78" spans="1:17" ht="12.75">
      <c r="A78" s="187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7"/>
      <c r="O78" s="187"/>
      <c r="P78" s="187"/>
      <c r="Q78" s="187"/>
    </row>
    <row r="79" spans="1:17" ht="12.75">
      <c r="A79" s="187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7"/>
      <c r="O79" s="187"/>
      <c r="P79" s="187"/>
      <c r="Q79" s="187"/>
    </row>
    <row r="80" spans="1:17" ht="12.75">
      <c r="A80" s="187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7"/>
      <c r="O80" s="187"/>
      <c r="P80" s="187"/>
      <c r="Q80" s="187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7"/>
      <c r="O81" s="187"/>
      <c r="P81" s="187"/>
      <c r="Q81" s="187"/>
    </row>
    <row r="82" spans="1:17" ht="12.75">
      <c r="A82" s="187"/>
      <c r="B82" s="187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7"/>
      <c r="O82" s="187"/>
      <c r="P82" s="187"/>
      <c r="Q82" s="187"/>
    </row>
    <row r="83" spans="1:17" ht="12.75">
      <c r="A83" s="187"/>
      <c r="B83" s="187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7"/>
      <c r="O83" s="187"/>
      <c r="P83" s="187"/>
      <c r="Q83" s="187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7"/>
      <c r="O84" s="187"/>
      <c r="P84" s="187"/>
      <c r="Q84" s="187"/>
    </row>
    <row r="85" spans="1:17" ht="12.75">
      <c r="A85" s="187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7"/>
      <c r="O85" s="187"/>
      <c r="P85" s="187"/>
      <c r="Q85" s="187"/>
    </row>
    <row r="86" spans="1:17" ht="12.75">
      <c r="A86" s="187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7"/>
      <c r="O86" s="187"/>
      <c r="P86" s="187"/>
      <c r="Q86" s="187"/>
    </row>
    <row r="87" spans="1:17" ht="12.75">
      <c r="A87" s="187"/>
      <c r="B87" s="187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7"/>
      <c r="O87" s="187"/>
      <c r="P87" s="187"/>
      <c r="Q87" s="187"/>
    </row>
    <row r="88" spans="1:17" ht="12.75">
      <c r="A88" s="187"/>
      <c r="B88" s="187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7"/>
      <c r="O88" s="187"/>
      <c r="P88" s="187"/>
      <c r="Q88" s="187"/>
    </row>
    <row r="89" spans="1:17" ht="12.75">
      <c r="A89" s="187"/>
      <c r="B89" s="187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7"/>
      <c r="O89" s="187"/>
      <c r="P89" s="187"/>
      <c r="Q89" s="187"/>
    </row>
    <row r="90" spans="1:17" ht="12.75">
      <c r="A90" s="187"/>
      <c r="B90" s="187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7"/>
      <c r="O90" s="187"/>
      <c r="P90" s="187"/>
      <c r="Q90" s="187"/>
    </row>
    <row r="91" spans="1:17" ht="12.75">
      <c r="A91" s="187"/>
      <c r="B91" s="187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7"/>
      <c r="O91" s="187"/>
      <c r="P91" s="187"/>
      <c r="Q91" s="187"/>
    </row>
    <row r="92" spans="1:17" ht="12.75">
      <c r="A92" s="187"/>
      <c r="B92" s="187"/>
      <c r="C92" s="528"/>
      <c r="D92" s="528"/>
      <c r="E92" s="528"/>
      <c r="F92" s="528"/>
      <c r="G92" s="528"/>
      <c r="H92" s="528"/>
      <c r="I92" s="528"/>
      <c r="J92" s="528"/>
      <c r="K92" s="528"/>
      <c r="L92" s="528"/>
      <c r="M92" s="528"/>
      <c r="N92" s="528"/>
      <c r="O92" s="528"/>
      <c r="P92" s="528"/>
      <c r="Q92" s="528"/>
    </row>
    <row r="93" spans="1:17" ht="12.75">
      <c r="A93" s="187"/>
      <c r="B93" s="187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</cp:lastModifiedBy>
  <cp:lastPrinted>2010-08-24T19:34:28Z</cp:lastPrinted>
  <dcterms:created xsi:type="dcterms:W3CDTF">2001-11-07T16:15:53Z</dcterms:created>
  <dcterms:modified xsi:type="dcterms:W3CDTF">2012-10-18T22:10:12Z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