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9090" activeTab="3"/>
  </bookViews>
  <sheets>
    <sheet name="Cover" sheetId="10" r:id="rId1"/>
    <sheet name="Rates" sheetId="1" r:id="rId2"/>
    <sheet name="Residential R1 Impact" sheetId="4" r:id="rId3"/>
    <sheet name="Residential R1 Impact Non-RPP" sheetId="13" r:id="rId4"/>
    <sheet name="Residential R1 Impact (2)" sheetId="12" r:id="rId5"/>
    <sheet name="Resident R1 Impact (2) Non-RPP" sheetId="14" r:id="rId6"/>
    <sheet name="Residential R2 Impact" sheetId="6" r:id="rId7"/>
    <sheet name="Residential R2 Impact No-RPP" sheetId="15" r:id="rId8"/>
    <sheet name="Residential R2 Impact Interval" sheetId="7" r:id="rId9"/>
    <sheet name="Res R2 Impact Interval Non-RPP" sheetId="16" r:id="rId10"/>
    <sheet name="Seasonal Impact" sheetId="8" r:id="rId11"/>
    <sheet name="Seasonal Impact Non-RPP" sheetId="17" r:id="rId12"/>
    <sheet name="Street Light Impact" sheetId="9" r:id="rId13"/>
    <sheet name="Street Light Impact Non-RPP" sheetId="18" r:id="rId14"/>
    <sheet name="Summary" sheetId="11" r:id="rId15"/>
  </sheets>
  <definedNames>
    <definedName name="_xlnm.Print_Area" localSheetId="10">'Seasonal Impact'!$A$1:$K$63</definedName>
    <definedName name="_xlnm.Print_Area" localSheetId="11">'Seasonal Impact Non-RPP'!$A$1:$K$63</definedName>
    <definedName name="_xlnm.Print_Area" localSheetId="12">'Street Light Impact'!$A$1:$K$54</definedName>
    <definedName name="_xlnm.Print_Area" localSheetId="13">'Street Light Impact Non-RPP'!$A$1:$K$54</definedName>
  </definedNames>
  <calcPr calcId="125725" iterate="1" calcOnSave="0"/>
</workbook>
</file>

<file path=xl/calcChain.xml><?xml version="1.0" encoding="utf-8"?>
<calcChain xmlns="http://schemas.openxmlformats.org/spreadsheetml/2006/main">
  <c r="F52" i="18"/>
  <c r="C52"/>
  <c r="F50"/>
  <c r="G50" s="1"/>
  <c r="E50"/>
  <c r="C50"/>
  <c r="B50"/>
  <c r="D50" s="1"/>
  <c r="F48"/>
  <c r="E48"/>
  <c r="G48" s="1"/>
  <c r="B48"/>
  <c r="F47"/>
  <c r="G47" s="1"/>
  <c r="E47"/>
  <c r="C47"/>
  <c r="B47"/>
  <c r="B46"/>
  <c r="F45"/>
  <c r="B45"/>
  <c r="D45" s="1"/>
  <c r="A45"/>
  <c r="F42"/>
  <c r="E42"/>
  <c r="G42" s="1"/>
  <c r="B42"/>
  <c r="C41"/>
  <c r="D41" s="1"/>
  <c r="B41"/>
  <c r="G39"/>
  <c r="F39"/>
  <c r="E39"/>
  <c r="C39"/>
  <c r="B39"/>
  <c r="D39" s="1"/>
  <c r="F38"/>
  <c r="E38"/>
  <c r="G38" s="1"/>
  <c r="B38"/>
  <c r="F37"/>
  <c r="G37" s="1"/>
  <c r="E37"/>
  <c r="C37"/>
  <c r="B37"/>
  <c r="H36"/>
  <c r="I36" s="1"/>
  <c r="F36"/>
  <c r="E36"/>
  <c r="G36" s="1"/>
  <c r="D36"/>
  <c r="B36"/>
  <c r="A36"/>
  <c r="F35"/>
  <c r="G35" s="1"/>
  <c r="E35"/>
  <c r="B35"/>
  <c r="H34"/>
  <c r="I34" s="1"/>
  <c r="F34"/>
  <c r="E34"/>
  <c r="G34" s="1"/>
  <c r="D34"/>
  <c r="B34"/>
  <c r="F33"/>
  <c r="G33" s="1"/>
  <c r="E33"/>
  <c r="C33"/>
  <c r="B33"/>
  <c r="D33" s="1"/>
  <c r="F32"/>
  <c r="E32"/>
  <c r="G32" s="1"/>
  <c r="D32"/>
  <c r="B32"/>
  <c r="F31"/>
  <c r="C31"/>
  <c r="B31"/>
  <c r="F30"/>
  <c r="E30"/>
  <c r="G30" s="1"/>
  <c r="D30"/>
  <c r="F28"/>
  <c r="C28"/>
  <c r="B28"/>
  <c r="D28" s="1"/>
  <c r="F27"/>
  <c r="C27"/>
  <c r="D27" s="1"/>
  <c r="B27"/>
  <c r="E23"/>
  <c r="H22"/>
  <c r="D19"/>
  <c r="C19"/>
  <c r="C48" s="1"/>
  <c r="D48" s="1"/>
  <c r="B19"/>
  <c r="A19"/>
  <c r="A48" s="1"/>
  <c r="D18"/>
  <c r="C18"/>
  <c r="B18"/>
  <c r="A18"/>
  <c r="D17"/>
  <c r="F46" s="1"/>
  <c r="C17"/>
  <c r="C46" s="1"/>
  <c r="D46" s="1"/>
  <c r="B17"/>
  <c r="A17"/>
  <c r="A46" s="1"/>
  <c r="D16"/>
  <c r="C16"/>
  <c r="C45" s="1"/>
  <c r="B16"/>
  <c r="A16"/>
  <c r="D15"/>
  <c r="C15"/>
  <c r="C42" s="1"/>
  <c r="B15"/>
  <c r="A15"/>
  <c r="A42" s="1"/>
  <c r="D14"/>
  <c r="F41" s="1"/>
  <c r="C14"/>
  <c r="B14"/>
  <c r="A14"/>
  <c r="A41" s="1"/>
  <c r="D13"/>
  <c r="C13"/>
  <c r="B13"/>
  <c r="A13"/>
  <c r="A39" s="1"/>
  <c r="D12"/>
  <c r="C12"/>
  <c r="C38" s="1"/>
  <c r="D38" s="1"/>
  <c r="B12"/>
  <c r="A12"/>
  <c r="A38" s="1"/>
  <c r="D11"/>
  <c r="C11"/>
  <c r="B11"/>
  <c r="A11"/>
  <c r="A37" s="1"/>
  <c r="D10"/>
  <c r="C10"/>
  <c r="C36" s="1"/>
  <c r="B10"/>
  <c r="A10"/>
  <c r="D9"/>
  <c r="C9"/>
  <c r="C35" s="1"/>
  <c r="B9"/>
  <c r="A9"/>
  <c r="A35" s="1"/>
  <c r="D8"/>
  <c r="C8"/>
  <c r="C34" s="1"/>
  <c r="B8"/>
  <c r="A8"/>
  <c r="A34" s="1"/>
  <c r="D7"/>
  <c r="C7"/>
  <c r="B7"/>
  <c r="A7"/>
  <c r="A33" s="1"/>
  <c r="D6"/>
  <c r="C6"/>
  <c r="C32" s="1"/>
  <c r="B6"/>
  <c r="A6"/>
  <c r="A32" s="1"/>
  <c r="D5"/>
  <c r="C5"/>
  <c r="B5"/>
  <c r="A5"/>
  <c r="A31" s="1"/>
  <c r="D4"/>
  <c r="C4"/>
  <c r="C30" s="1"/>
  <c r="B4"/>
  <c r="A4"/>
  <c r="A30" s="1"/>
  <c r="D3"/>
  <c r="C3"/>
  <c r="B3"/>
  <c r="A3"/>
  <c r="A25" s="1"/>
  <c r="F58" i="17"/>
  <c r="C58"/>
  <c r="F56"/>
  <c r="G56" s="1"/>
  <c r="E56"/>
  <c r="C56"/>
  <c r="B56"/>
  <c r="D56" s="1"/>
  <c r="F54"/>
  <c r="E54"/>
  <c r="G54" s="1"/>
  <c r="B54"/>
  <c r="F53"/>
  <c r="G53" s="1"/>
  <c r="E53"/>
  <c r="C53"/>
  <c r="B53"/>
  <c r="D53" s="1"/>
  <c r="B52"/>
  <c r="B51"/>
  <c r="D51" s="1"/>
  <c r="D55" s="1"/>
  <c r="B48"/>
  <c r="D48" s="1"/>
  <c r="B47"/>
  <c r="F45"/>
  <c r="G45" s="1"/>
  <c r="E45"/>
  <c r="B45"/>
  <c r="D45" s="1"/>
  <c r="F44"/>
  <c r="E44"/>
  <c r="G44" s="1"/>
  <c r="D44"/>
  <c r="B44"/>
  <c r="F43"/>
  <c r="G43" s="1"/>
  <c r="E43"/>
  <c r="B43"/>
  <c r="F42"/>
  <c r="E42"/>
  <c r="G42" s="1"/>
  <c r="B42"/>
  <c r="D42" s="1"/>
  <c r="F41"/>
  <c r="G41" s="1"/>
  <c r="E41"/>
  <c r="B41"/>
  <c r="D41" s="1"/>
  <c r="H41" s="1"/>
  <c r="I41" s="1"/>
  <c r="F40"/>
  <c r="E40"/>
  <c r="G40" s="1"/>
  <c r="B40"/>
  <c r="D40" s="1"/>
  <c r="F39"/>
  <c r="G39" s="1"/>
  <c r="E39"/>
  <c r="B39"/>
  <c r="D39" s="1"/>
  <c r="H39" s="1"/>
  <c r="I39" s="1"/>
  <c r="F38"/>
  <c r="E38"/>
  <c r="G38" s="1"/>
  <c r="B38"/>
  <c r="D38" s="1"/>
  <c r="F37"/>
  <c r="G37" s="1"/>
  <c r="E37"/>
  <c r="B37"/>
  <c r="D37" s="1"/>
  <c r="H37" s="1"/>
  <c r="I37" s="1"/>
  <c r="F36"/>
  <c r="E36"/>
  <c r="G36" s="1"/>
  <c r="B36"/>
  <c r="D36" s="1"/>
  <c r="F35"/>
  <c r="G35" s="1"/>
  <c r="E35"/>
  <c r="B35"/>
  <c r="D35" s="1"/>
  <c r="H35" s="1"/>
  <c r="I35" s="1"/>
  <c r="F34"/>
  <c r="D34"/>
  <c r="B34"/>
  <c r="E34" s="1"/>
  <c r="F33"/>
  <c r="G33" s="1"/>
  <c r="E33"/>
  <c r="F31"/>
  <c r="C31"/>
  <c r="B31"/>
  <c r="D31" s="1"/>
  <c r="F30"/>
  <c r="C30"/>
  <c r="B30"/>
  <c r="E26"/>
  <c r="H25"/>
  <c r="D22"/>
  <c r="C22"/>
  <c r="C54" s="1"/>
  <c r="D54" s="1"/>
  <c r="B22"/>
  <c r="A22"/>
  <c r="A54" s="1"/>
  <c r="D21"/>
  <c r="C21"/>
  <c r="B21"/>
  <c r="A21"/>
  <c r="D20"/>
  <c r="F52" s="1"/>
  <c r="C20"/>
  <c r="C52" s="1"/>
  <c r="D52" s="1"/>
  <c r="B20"/>
  <c r="A20"/>
  <c r="A52" s="1"/>
  <c r="D19"/>
  <c r="F51" s="1"/>
  <c r="C19"/>
  <c r="C51" s="1"/>
  <c r="B19"/>
  <c r="A19"/>
  <c r="A51" s="1"/>
  <c r="D18"/>
  <c r="F48" s="1"/>
  <c r="C18"/>
  <c r="C48" s="1"/>
  <c r="B18"/>
  <c r="A18"/>
  <c r="A48" s="1"/>
  <c r="D17"/>
  <c r="F47" s="1"/>
  <c r="C17"/>
  <c r="C47" s="1"/>
  <c r="D47" s="1"/>
  <c r="B17"/>
  <c r="A17"/>
  <c r="A47" s="1"/>
  <c r="D16"/>
  <c r="C16"/>
  <c r="C45" s="1"/>
  <c r="B16"/>
  <c r="A16"/>
  <c r="A45" s="1"/>
  <c r="D15"/>
  <c r="C15"/>
  <c r="C44" s="1"/>
  <c r="B15"/>
  <c r="A15"/>
  <c r="A44" s="1"/>
  <c r="D14"/>
  <c r="C14"/>
  <c r="C43" s="1"/>
  <c r="B14"/>
  <c r="A14"/>
  <c r="A43" s="1"/>
  <c r="D13"/>
  <c r="C13"/>
  <c r="C42" s="1"/>
  <c r="B13"/>
  <c r="A13"/>
  <c r="A42" s="1"/>
  <c r="D12"/>
  <c r="C12"/>
  <c r="C41" s="1"/>
  <c r="B12"/>
  <c r="A12"/>
  <c r="A41" s="1"/>
  <c r="D11"/>
  <c r="C11"/>
  <c r="C40" s="1"/>
  <c r="B11"/>
  <c r="A11"/>
  <c r="A40" s="1"/>
  <c r="D10"/>
  <c r="C10"/>
  <c r="C39" s="1"/>
  <c r="B10"/>
  <c r="A10"/>
  <c r="A39" s="1"/>
  <c r="D9"/>
  <c r="C9"/>
  <c r="C38" s="1"/>
  <c r="B9"/>
  <c r="A9"/>
  <c r="A38" s="1"/>
  <c r="D8"/>
  <c r="C8"/>
  <c r="C37" s="1"/>
  <c r="B8"/>
  <c r="A8"/>
  <c r="A37" s="1"/>
  <c r="D7"/>
  <c r="C7"/>
  <c r="C36" s="1"/>
  <c r="B7"/>
  <c r="A7"/>
  <c r="A36" s="1"/>
  <c r="D6"/>
  <c r="C6"/>
  <c r="C35" s="1"/>
  <c r="B6"/>
  <c r="A6"/>
  <c r="A35" s="1"/>
  <c r="D5"/>
  <c r="C5"/>
  <c r="C34" s="1"/>
  <c r="B5"/>
  <c r="A5"/>
  <c r="A34" s="1"/>
  <c r="D4"/>
  <c r="C4"/>
  <c r="C33" s="1"/>
  <c r="D33" s="1"/>
  <c r="B4"/>
  <c r="A4"/>
  <c r="A33" s="1"/>
  <c r="D3"/>
  <c r="C3"/>
  <c r="B3"/>
  <c r="A3"/>
  <c r="A28" s="1"/>
  <c r="D10" i="6"/>
  <c r="D10" i="12"/>
  <c r="D10" i="4"/>
  <c r="F54" i="16"/>
  <c r="C54"/>
  <c r="F52"/>
  <c r="E52"/>
  <c r="G52" s="1"/>
  <c r="D52"/>
  <c r="C52"/>
  <c r="B52"/>
  <c r="F50"/>
  <c r="G50" s="1"/>
  <c r="E50"/>
  <c r="B50"/>
  <c r="D50" s="1"/>
  <c r="F49"/>
  <c r="E49"/>
  <c r="G49" s="1"/>
  <c r="D49"/>
  <c r="C49"/>
  <c r="B49"/>
  <c r="B48"/>
  <c r="D48" s="1"/>
  <c r="B47"/>
  <c r="B44"/>
  <c r="B43"/>
  <c r="D43" s="1"/>
  <c r="D45" s="1"/>
  <c r="F41"/>
  <c r="E41"/>
  <c r="G41" s="1"/>
  <c r="B41"/>
  <c r="F40"/>
  <c r="G40" s="1"/>
  <c r="E40"/>
  <c r="B40"/>
  <c r="F39"/>
  <c r="E39"/>
  <c r="G39" s="1"/>
  <c r="B39"/>
  <c r="F38"/>
  <c r="G38" s="1"/>
  <c r="E38"/>
  <c r="B38"/>
  <c r="D38" s="1"/>
  <c r="H37"/>
  <c r="I37" s="1"/>
  <c r="F37"/>
  <c r="E37"/>
  <c r="G37" s="1"/>
  <c r="D37"/>
  <c r="B37"/>
  <c r="F36"/>
  <c r="G36" s="1"/>
  <c r="E36"/>
  <c r="B36"/>
  <c r="D36" s="1"/>
  <c r="F35"/>
  <c r="E35"/>
  <c r="G35" s="1"/>
  <c r="D35"/>
  <c r="B35"/>
  <c r="F34"/>
  <c r="G34" s="1"/>
  <c r="E34"/>
  <c r="B34"/>
  <c r="F33"/>
  <c r="D33"/>
  <c r="H33" s="1"/>
  <c r="I33" s="1"/>
  <c r="B33"/>
  <c r="E33" s="1"/>
  <c r="G33" s="1"/>
  <c r="F32"/>
  <c r="G32" s="1"/>
  <c r="E32"/>
  <c r="F30"/>
  <c r="D30"/>
  <c r="C30"/>
  <c r="B30"/>
  <c r="F29"/>
  <c r="C29"/>
  <c r="B29"/>
  <c r="D29" s="1"/>
  <c r="D31" s="1"/>
  <c r="E25"/>
  <c r="H24"/>
  <c r="D21"/>
  <c r="C21"/>
  <c r="C50" s="1"/>
  <c r="B21"/>
  <c r="A21"/>
  <c r="A50" s="1"/>
  <c r="D20"/>
  <c r="C20"/>
  <c r="B20"/>
  <c r="A20"/>
  <c r="D19"/>
  <c r="F48" s="1"/>
  <c r="C19"/>
  <c r="C48" s="1"/>
  <c r="B19"/>
  <c r="A19"/>
  <c r="A48" s="1"/>
  <c r="D18"/>
  <c r="F47" s="1"/>
  <c r="C18"/>
  <c r="C47" s="1"/>
  <c r="D47" s="1"/>
  <c r="B18"/>
  <c r="A18"/>
  <c r="A47" s="1"/>
  <c r="D17"/>
  <c r="F44" s="1"/>
  <c r="C17"/>
  <c r="C44" s="1"/>
  <c r="D44" s="1"/>
  <c r="B17"/>
  <c r="A17"/>
  <c r="A44" s="1"/>
  <c r="D16"/>
  <c r="F43" s="1"/>
  <c r="C16"/>
  <c r="C43" s="1"/>
  <c r="B16"/>
  <c r="A16"/>
  <c r="A43" s="1"/>
  <c r="D15"/>
  <c r="C15"/>
  <c r="B15"/>
  <c r="A15"/>
  <c r="D14"/>
  <c r="C14"/>
  <c r="B14"/>
  <c r="A14"/>
  <c r="D13"/>
  <c r="C13"/>
  <c r="C41" s="1"/>
  <c r="D41" s="1"/>
  <c r="B13"/>
  <c r="A13"/>
  <c r="A41" s="1"/>
  <c r="D12"/>
  <c r="C12"/>
  <c r="C40" s="1"/>
  <c r="B12"/>
  <c r="A12"/>
  <c r="A40" s="1"/>
  <c r="D11"/>
  <c r="C11"/>
  <c r="C39" s="1"/>
  <c r="D39" s="1"/>
  <c r="B11"/>
  <c r="A11"/>
  <c r="A39" s="1"/>
  <c r="D10"/>
  <c r="C10"/>
  <c r="C38" s="1"/>
  <c r="B10"/>
  <c r="A10"/>
  <c r="A38" s="1"/>
  <c r="D9"/>
  <c r="C9"/>
  <c r="C37" s="1"/>
  <c r="B9"/>
  <c r="A9"/>
  <c r="A37" s="1"/>
  <c r="D8"/>
  <c r="C8"/>
  <c r="C36" s="1"/>
  <c r="B8"/>
  <c r="A8"/>
  <c r="A36" s="1"/>
  <c r="D7"/>
  <c r="C7"/>
  <c r="C35" s="1"/>
  <c r="B7"/>
  <c r="A7"/>
  <c r="A35" s="1"/>
  <c r="D6"/>
  <c r="C6"/>
  <c r="C34" s="1"/>
  <c r="B6"/>
  <c r="A6"/>
  <c r="A34" s="1"/>
  <c r="D5"/>
  <c r="C5"/>
  <c r="C33" s="1"/>
  <c r="B5"/>
  <c r="A5"/>
  <c r="A33" s="1"/>
  <c r="D4"/>
  <c r="C4"/>
  <c r="C32" s="1"/>
  <c r="D32" s="1"/>
  <c r="B4"/>
  <c r="A4"/>
  <c r="A32" s="1"/>
  <c r="D3"/>
  <c r="C3"/>
  <c r="B3"/>
  <c r="A3"/>
  <c r="A27" s="1"/>
  <c r="F54" i="15"/>
  <c r="C54"/>
  <c r="F52"/>
  <c r="E52"/>
  <c r="G52" s="1"/>
  <c r="D52"/>
  <c r="C52"/>
  <c r="B52"/>
  <c r="F50"/>
  <c r="G50" s="1"/>
  <c r="E50"/>
  <c r="B50"/>
  <c r="F49"/>
  <c r="E49"/>
  <c r="G49" s="1"/>
  <c r="D49"/>
  <c r="C49"/>
  <c r="B49"/>
  <c r="B48"/>
  <c r="D48" s="1"/>
  <c r="B47"/>
  <c r="B44"/>
  <c r="B43"/>
  <c r="D43" s="1"/>
  <c r="D45" s="1"/>
  <c r="F41"/>
  <c r="E41"/>
  <c r="G41" s="1"/>
  <c r="B41"/>
  <c r="F40"/>
  <c r="G40" s="1"/>
  <c r="E40"/>
  <c r="B40"/>
  <c r="F39"/>
  <c r="E39"/>
  <c r="G39" s="1"/>
  <c r="B39"/>
  <c r="F38"/>
  <c r="G38" s="1"/>
  <c r="E38"/>
  <c r="B38"/>
  <c r="D38" s="1"/>
  <c r="F37"/>
  <c r="E37"/>
  <c r="G37" s="1"/>
  <c r="B37"/>
  <c r="F36"/>
  <c r="G36" s="1"/>
  <c r="E36"/>
  <c r="B36"/>
  <c r="F35"/>
  <c r="E35"/>
  <c r="G35" s="1"/>
  <c r="B35"/>
  <c r="F34"/>
  <c r="G34" s="1"/>
  <c r="E34"/>
  <c r="B34"/>
  <c r="D34" s="1"/>
  <c r="F33"/>
  <c r="B33"/>
  <c r="E33" s="1"/>
  <c r="G33" s="1"/>
  <c r="F32"/>
  <c r="G32" s="1"/>
  <c r="E32"/>
  <c r="F30"/>
  <c r="D30"/>
  <c r="C30"/>
  <c r="B30"/>
  <c r="F29"/>
  <c r="C29"/>
  <c r="B29"/>
  <c r="E25"/>
  <c r="H24"/>
  <c r="D21"/>
  <c r="C21"/>
  <c r="C50" s="1"/>
  <c r="B21"/>
  <c r="A21"/>
  <c r="A50" s="1"/>
  <c r="D20"/>
  <c r="C20"/>
  <c r="B20"/>
  <c r="A20"/>
  <c r="D19"/>
  <c r="F48" s="1"/>
  <c r="C19"/>
  <c r="C48" s="1"/>
  <c r="B19"/>
  <c r="A19"/>
  <c r="A48" s="1"/>
  <c r="D18"/>
  <c r="F47" s="1"/>
  <c r="C18"/>
  <c r="C47" s="1"/>
  <c r="D47" s="1"/>
  <c r="B18"/>
  <c r="A18"/>
  <c r="A47" s="1"/>
  <c r="D17"/>
  <c r="C17"/>
  <c r="B17"/>
  <c r="A17"/>
  <c r="D16"/>
  <c r="C16"/>
  <c r="B16"/>
  <c r="A16"/>
  <c r="D15"/>
  <c r="F44" s="1"/>
  <c r="C15"/>
  <c r="C44" s="1"/>
  <c r="D44" s="1"/>
  <c r="B15"/>
  <c r="A15"/>
  <c r="A44" s="1"/>
  <c r="D14"/>
  <c r="F43" s="1"/>
  <c r="C14"/>
  <c r="C43" s="1"/>
  <c r="B14"/>
  <c r="A14"/>
  <c r="A43" s="1"/>
  <c r="D13"/>
  <c r="C13"/>
  <c r="C41" s="1"/>
  <c r="D41" s="1"/>
  <c r="B13"/>
  <c r="A13"/>
  <c r="A41" s="1"/>
  <c r="D12"/>
  <c r="C12"/>
  <c r="C40" s="1"/>
  <c r="B12"/>
  <c r="A12"/>
  <c r="A40" s="1"/>
  <c r="D11"/>
  <c r="C11"/>
  <c r="C39" s="1"/>
  <c r="D39" s="1"/>
  <c r="B11"/>
  <c r="A11"/>
  <c r="A39" s="1"/>
  <c r="D10"/>
  <c r="C10"/>
  <c r="C38" s="1"/>
  <c r="B10"/>
  <c r="A10"/>
  <c r="A38" s="1"/>
  <c r="D9"/>
  <c r="C9"/>
  <c r="C37" s="1"/>
  <c r="D37" s="1"/>
  <c r="B9"/>
  <c r="A9"/>
  <c r="A37" s="1"/>
  <c r="D8"/>
  <c r="C8"/>
  <c r="C36" s="1"/>
  <c r="B8"/>
  <c r="A8"/>
  <c r="A36" s="1"/>
  <c r="D7"/>
  <c r="C7"/>
  <c r="C35" s="1"/>
  <c r="D35" s="1"/>
  <c r="B7"/>
  <c r="A7"/>
  <c r="A35" s="1"/>
  <c r="D6"/>
  <c r="C6"/>
  <c r="C34" s="1"/>
  <c r="B6"/>
  <c r="A6"/>
  <c r="A34" s="1"/>
  <c r="D5"/>
  <c r="C5"/>
  <c r="C33" s="1"/>
  <c r="D33" s="1"/>
  <c r="B5"/>
  <c r="A5"/>
  <c r="A33" s="1"/>
  <c r="D4"/>
  <c r="C4"/>
  <c r="C32" s="1"/>
  <c r="D32" s="1"/>
  <c r="B4"/>
  <c r="A4"/>
  <c r="A32" s="1"/>
  <c r="D3"/>
  <c r="C3"/>
  <c r="B3"/>
  <c r="A3"/>
  <c r="A27" s="1"/>
  <c r="F56" i="14"/>
  <c r="C56"/>
  <c r="F54"/>
  <c r="G54" s="1"/>
  <c r="E54"/>
  <c r="D54"/>
  <c r="C54"/>
  <c r="B54"/>
  <c r="E52"/>
  <c r="G52" s="1"/>
  <c r="B52"/>
  <c r="F51"/>
  <c r="G51" s="1"/>
  <c r="E51"/>
  <c r="D51"/>
  <c r="C51"/>
  <c r="B51"/>
  <c r="E50"/>
  <c r="C50"/>
  <c r="D50" s="1"/>
  <c r="B50"/>
  <c r="A50"/>
  <c r="E49"/>
  <c r="C49"/>
  <c r="B49"/>
  <c r="D49" s="1"/>
  <c r="A49"/>
  <c r="E46"/>
  <c r="C46"/>
  <c r="B46"/>
  <c r="D46" s="1"/>
  <c r="A46"/>
  <c r="E45"/>
  <c r="C45"/>
  <c r="D45" s="1"/>
  <c r="D47" s="1"/>
  <c r="B45"/>
  <c r="A45"/>
  <c r="E43"/>
  <c r="B43"/>
  <c r="F42"/>
  <c r="E42"/>
  <c r="G42" s="1"/>
  <c r="C42"/>
  <c r="B42"/>
  <c r="D42" s="1"/>
  <c r="G41"/>
  <c r="F41"/>
  <c r="E41"/>
  <c r="C41"/>
  <c r="B41"/>
  <c r="F40"/>
  <c r="G40" s="1"/>
  <c r="E40"/>
  <c r="D40"/>
  <c r="C40"/>
  <c r="B40"/>
  <c r="E39"/>
  <c r="C39"/>
  <c r="D39" s="1"/>
  <c r="B39"/>
  <c r="A39"/>
  <c r="E38"/>
  <c r="C38"/>
  <c r="B38"/>
  <c r="D38" s="1"/>
  <c r="A38"/>
  <c r="E37"/>
  <c r="C37"/>
  <c r="D37" s="1"/>
  <c r="B37"/>
  <c r="A37"/>
  <c r="E36"/>
  <c r="C36"/>
  <c r="B36"/>
  <c r="D36" s="1"/>
  <c r="A36"/>
  <c r="E35"/>
  <c r="C35"/>
  <c r="D35" s="1"/>
  <c r="B35"/>
  <c r="A35"/>
  <c r="E34"/>
  <c r="C34"/>
  <c r="B34"/>
  <c r="D34" s="1"/>
  <c r="A34"/>
  <c r="E33"/>
  <c r="C33"/>
  <c r="D33" s="1"/>
  <c r="B33"/>
  <c r="A33"/>
  <c r="E32"/>
  <c r="C32"/>
  <c r="D32" s="1"/>
  <c r="F30"/>
  <c r="E30"/>
  <c r="G30" s="1"/>
  <c r="C30"/>
  <c r="D30" s="1"/>
  <c r="B30"/>
  <c r="F29"/>
  <c r="E29"/>
  <c r="G29" s="1"/>
  <c r="C29"/>
  <c r="B29"/>
  <c r="D29" s="1"/>
  <c r="D31" s="1"/>
  <c r="E25"/>
  <c r="H24"/>
  <c r="D21"/>
  <c r="F52" s="1"/>
  <c r="C21"/>
  <c r="C52" s="1"/>
  <c r="B21"/>
  <c r="A21"/>
  <c r="A52" s="1"/>
  <c r="D20"/>
  <c r="C20"/>
  <c r="B20"/>
  <c r="A20"/>
  <c r="D19"/>
  <c r="F50" s="1"/>
  <c r="C19"/>
  <c r="B19"/>
  <c r="A19"/>
  <c r="D18"/>
  <c r="F49" s="1"/>
  <c r="G49" s="1"/>
  <c r="C18"/>
  <c r="B18"/>
  <c r="A18"/>
  <c r="D17"/>
  <c r="F46" s="1"/>
  <c r="G46" s="1"/>
  <c r="C17"/>
  <c r="B17"/>
  <c r="A17"/>
  <c r="D16"/>
  <c r="F45" s="1"/>
  <c r="C16"/>
  <c r="B16"/>
  <c r="A16"/>
  <c r="D15"/>
  <c r="F43" s="1"/>
  <c r="G43" s="1"/>
  <c r="C15"/>
  <c r="C43" s="1"/>
  <c r="D43" s="1"/>
  <c r="B15"/>
  <c r="A15"/>
  <c r="A43" s="1"/>
  <c r="D11"/>
  <c r="F39" s="1"/>
  <c r="C11"/>
  <c r="B11"/>
  <c r="A11"/>
  <c r="D10"/>
  <c r="F38" s="1"/>
  <c r="G38" s="1"/>
  <c r="C10"/>
  <c r="B10"/>
  <c r="A10"/>
  <c r="D9"/>
  <c r="F37" s="1"/>
  <c r="C9"/>
  <c r="B9"/>
  <c r="A9"/>
  <c r="D8"/>
  <c r="F36" s="1"/>
  <c r="G36" s="1"/>
  <c r="C8"/>
  <c r="B8"/>
  <c r="A8"/>
  <c r="D7"/>
  <c r="F35" s="1"/>
  <c r="C7"/>
  <c r="B7"/>
  <c r="A7"/>
  <c r="D6"/>
  <c r="F34" s="1"/>
  <c r="G34" s="1"/>
  <c r="C6"/>
  <c r="B6"/>
  <c r="A6"/>
  <c r="D5"/>
  <c r="F33" s="1"/>
  <c r="C5"/>
  <c r="B5"/>
  <c r="A5"/>
  <c r="D4"/>
  <c r="F32" s="1"/>
  <c r="G32" s="1"/>
  <c r="C4"/>
  <c r="B4"/>
  <c r="A4"/>
  <c r="A32" s="1"/>
  <c r="D3"/>
  <c r="C3"/>
  <c r="B3"/>
  <c r="A3"/>
  <c r="A27" s="1"/>
  <c r="F56" i="13"/>
  <c r="C56"/>
  <c r="F54"/>
  <c r="E54"/>
  <c r="G54" s="1"/>
  <c r="C54"/>
  <c r="B54"/>
  <c r="D54" s="1"/>
  <c r="G52"/>
  <c r="E52"/>
  <c r="B52"/>
  <c r="F51"/>
  <c r="E51"/>
  <c r="G51" s="1"/>
  <c r="H51" s="1"/>
  <c r="I51" s="1"/>
  <c r="C51"/>
  <c r="B51"/>
  <c r="D51" s="1"/>
  <c r="F50"/>
  <c r="B50"/>
  <c r="F49"/>
  <c r="D49"/>
  <c r="B49"/>
  <c r="F46"/>
  <c r="D46"/>
  <c r="B46"/>
  <c r="F45"/>
  <c r="B45"/>
  <c r="F43"/>
  <c r="E43"/>
  <c r="G43" s="1"/>
  <c r="B43"/>
  <c r="G42"/>
  <c r="F42"/>
  <c r="E42"/>
  <c r="C42"/>
  <c r="D42" s="1"/>
  <c r="B42"/>
  <c r="H41"/>
  <c r="I41" s="1"/>
  <c r="F41"/>
  <c r="E41"/>
  <c r="G41" s="1"/>
  <c r="D41"/>
  <c r="C41"/>
  <c r="B41"/>
  <c r="F40"/>
  <c r="E40"/>
  <c r="G40" s="1"/>
  <c r="C40"/>
  <c r="B40"/>
  <c r="D40" s="1"/>
  <c r="G39"/>
  <c r="F39"/>
  <c r="E39"/>
  <c r="C39"/>
  <c r="B39"/>
  <c r="D39" s="1"/>
  <c r="F38"/>
  <c r="E38"/>
  <c r="G38" s="1"/>
  <c r="B38"/>
  <c r="F37"/>
  <c r="G37" s="1"/>
  <c r="E37"/>
  <c r="C37"/>
  <c r="B37"/>
  <c r="F36"/>
  <c r="E36"/>
  <c r="B36"/>
  <c r="D36" s="1"/>
  <c r="F35"/>
  <c r="G35" s="1"/>
  <c r="E35"/>
  <c r="C35"/>
  <c r="B35"/>
  <c r="D35" s="1"/>
  <c r="F34"/>
  <c r="E34"/>
  <c r="B34"/>
  <c r="D34" s="1"/>
  <c r="F33"/>
  <c r="B33"/>
  <c r="E33" s="1"/>
  <c r="G33" s="1"/>
  <c r="F32"/>
  <c r="E32"/>
  <c r="G32" s="1"/>
  <c r="F30"/>
  <c r="C30"/>
  <c r="D30" s="1"/>
  <c r="B30"/>
  <c r="F29"/>
  <c r="C29"/>
  <c r="D29" s="1"/>
  <c r="D31" s="1"/>
  <c r="B29"/>
  <c r="E25"/>
  <c r="H24"/>
  <c r="D21"/>
  <c r="F52" s="1"/>
  <c r="C21"/>
  <c r="C52" s="1"/>
  <c r="D52" s="1"/>
  <c r="B21"/>
  <c r="A21"/>
  <c r="A52" s="1"/>
  <c r="D20"/>
  <c r="C20"/>
  <c r="B20"/>
  <c r="A20"/>
  <c r="D19"/>
  <c r="C19"/>
  <c r="C50" s="1"/>
  <c r="B19"/>
  <c r="A19"/>
  <c r="A50" s="1"/>
  <c r="D18"/>
  <c r="C18"/>
  <c r="C49" s="1"/>
  <c r="B18"/>
  <c r="A18"/>
  <c r="A49" s="1"/>
  <c r="D17"/>
  <c r="C17"/>
  <c r="C46" s="1"/>
  <c r="B17"/>
  <c r="A17"/>
  <c r="A46" s="1"/>
  <c r="D16"/>
  <c r="C16"/>
  <c r="C45" s="1"/>
  <c r="B16"/>
  <c r="A16"/>
  <c r="A45" s="1"/>
  <c r="D15"/>
  <c r="C15"/>
  <c r="C43" s="1"/>
  <c r="B15"/>
  <c r="A15"/>
  <c r="A43" s="1"/>
  <c r="D11"/>
  <c r="C11"/>
  <c r="B11"/>
  <c r="A11"/>
  <c r="A39" s="1"/>
  <c r="D10"/>
  <c r="C10"/>
  <c r="C38" s="1"/>
  <c r="D38" s="1"/>
  <c r="B10"/>
  <c r="A10"/>
  <c r="A38" s="1"/>
  <c r="D9"/>
  <c r="C9"/>
  <c r="B9"/>
  <c r="A9"/>
  <c r="A37" s="1"/>
  <c r="D8"/>
  <c r="C8"/>
  <c r="C36" s="1"/>
  <c r="B8"/>
  <c r="A8"/>
  <c r="A36" s="1"/>
  <c r="D7"/>
  <c r="C7"/>
  <c r="B7"/>
  <c r="A7"/>
  <c r="A35" s="1"/>
  <c r="D6"/>
  <c r="C6"/>
  <c r="C34" s="1"/>
  <c r="B6"/>
  <c r="A6"/>
  <c r="A34" s="1"/>
  <c r="D5"/>
  <c r="C5"/>
  <c r="C33" s="1"/>
  <c r="B5"/>
  <c r="A5"/>
  <c r="A33" s="1"/>
  <c r="D4"/>
  <c r="C4"/>
  <c r="C32" s="1"/>
  <c r="D32" s="1"/>
  <c r="B4"/>
  <c r="A4"/>
  <c r="A32" s="1"/>
  <c r="D3"/>
  <c r="C3"/>
  <c r="B3"/>
  <c r="A3"/>
  <c r="A27" s="1"/>
  <c r="H47" i="18" l="1"/>
  <c r="I47" s="1"/>
  <c r="H33"/>
  <c r="I33" s="1"/>
  <c r="D43"/>
  <c r="D29"/>
  <c r="H50"/>
  <c r="I50" s="1"/>
  <c r="H39"/>
  <c r="I39" s="1"/>
  <c r="H42"/>
  <c r="I42" s="1"/>
  <c r="E28"/>
  <c r="G28" s="1"/>
  <c r="E46"/>
  <c r="G46" s="1"/>
  <c r="E41"/>
  <c r="G41" s="1"/>
  <c r="G40"/>
  <c r="E31"/>
  <c r="G31" s="1"/>
  <c r="D31"/>
  <c r="D40" s="1"/>
  <c r="D44" s="1"/>
  <c r="D35"/>
  <c r="H35" s="1"/>
  <c r="I35" s="1"/>
  <c r="H38"/>
  <c r="I38" s="1"/>
  <c r="E45"/>
  <c r="G45" s="1"/>
  <c r="H48"/>
  <c r="I48" s="1"/>
  <c r="E27"/>
  <c r="G27" s="1"/>
  <c r="H30"/>
  <c r="I30" s="1"/>
  <c r="H32"/>
  <c r="I32" s="1"/>
  <c r="D37"/>
  <c r="H37" s="1"/>
  <c r="I37" s="1"/>
  <c r="D42"/>
  <c r="D47"/>
  <c r="D49" s="1"/>
  <c r="D46" i="17"/>
  <c r="E52"/>
  <c r="G52" s="1"/>
  <c r="E47"/>
  <c r="G47" s="1"/>
  <c r="E31"/>
  <c r="G31" s="1"/>
  <c r="E51"/>
  <c r="G51" s="1"/>
  <c r="E48"/>
  <c r="G48" s="1"/>
  <c r="G46"/>
  <c r="H54"/>
  <c r="I54" s="1"/>
  <c r="H33"/>
  <c r="I33" s="1"/>
  <c r="H56"/>
  <c r="I56" s="1"/>
  <c r="E30"/>
  <c r="G30" s="1"/>
  <c r="D49"/>
  <c r="H36"/>
  <c r="I36" s="1"/>
  <c r="H38"/>
  <c r="I38" s="1"/>
  <c r="H40"/>
  <c r="I40" s="1"/>
  <c r="H42"/>
  <c r="I42" s="1"/>
  <c r="H45"/>
  <c r="I45" s="1"/>
  <c r="H53"/>
  <c r="I53" s="1"/>
  <c r="D30"/>
  <c r="D32" s="1"/>
  <c r="G34"/>
  <c r="D43"/>
  <c r="H43" s="1"/>
  <c r="I43" s="1"/>
  <c r="H44"/>
  <c r="I44" s="1"/>
  <c r="H50" i="16"/>
  <c r="I50" s="1"/>
  <c r="H32"/>
  <c r="I32" s="1"/>
  <c r="G42"/>
  <c r="H39"/>
  <c r="I39" s="1"/>
  <c r="H49"/>
  <c r="I49" s="1"/>
  <c r="H52"/>
  <c r="I52" s="1"/>
  <c r="E47"/>
  <c r="G47" s="1"/>
  <c r="E44"/>
  <c r="G44" s="1"/>
  <c r="E30"/>
  <c r="G30" s="1"/>
  <c r="E48"/>
  <c r="G48" s="1"/>
  <c r="E43"/>
  <c r="G43" s="1"/>
  <c r="H34"/>
  <c r="I34" s="1"/>
  <c r="E29"/>
  <c r="G29" s="1"/>
  <c r="H36"/>
  <c r="I36" s="1"/>
  <c r="D51"/>
  <c r="D34"/>
  <c r="H35"/>
  <c r="I35" s="1"/>
  <c r="H38"/>
  <c r="I38" s="1"/>
  <c r="D40"/>
  <c r="H40" s="1"/>
  <c r="I40" s="1"/>
  <c r="H41"/>
  <c r="I41" s="1"/>
  <c r="H35" i="15"/>
  <c r="I35" s="1"/>
  <c r="E47"/>
  <c r="G47" s="1"/>
  <c r="E44"/>
  <c r="G44" s="1"/>
  <c r="E30"/>
  <c r="G30" s="1"/>
  <c r="E48"/>
  <c r="G48" s="1"/>
  <c r="E43"/>
  <c r="G43" s="1"/>
  <c r="H49"/>
  <c r="I49" s="1"/>
  <c r="H52"/>
  <c r="I52" s="1"/>
  <c r="E29"/>
  <c r="G29" s="1"/>
  <c r="H39"/>
  <c r="I39" s="1"/>
  <c r="H32"/>
  <c r="I32" s="1"/>
  <c r="G42"/>
  <c r="D50"/>
  <c r="H50" s="1"/>
  <c r="I50" s="1"/>
  <c r="D29"/>
  <c r="D31" s="1"/>
  <c r="H33"/>
  <c r="I33" s="1"/>
  <c r="H34"/>
  <c r="I34" s="1"/>
  <c r="D36"/>
  <c r="D42" s="1"/>
  <c r="D46" s="1"/>
  <c r="H37"/>
  <c r="I37" s="1"/>
  <c r="H38"/>
  <c r="I38" s="1"/>
  <c r="D40"/>
  <c r="H40" s="1"/>
  <c r="I40" s="1"/>
  <c r="H41"/>
  <c r="I41" s="1"/>
  <c r="H32" i="14"/>
  <c r="I32" s="1"/>
  <c r="H34"/>
  <c r="I34" s="1"/>
  <c r="H36"/>
  <c r="I36" s="1"/>
  <c r="H38"/>
  <c r="I38" s="1"/>
  <c r="H46"/>
  <c r="I46" s="1"/>
  <c r="G33"/>
  <c r="G37"/>
  <c r="G45"/>
  <c r="G50"/>
  <c r="H54"/>
  <c r="I54" s="1"/>
  <c r="H43"/>
  <c r="I43" s="1"/>
  <c r="H49"/>
  <c r="I49" s="1"/>
  <c r="G53"/>
  <c r="G31"/>
  <c r="H29"/>
  <c r="I29" s="1"/>
  <c r="H40"/>
  <c r="I40" s="1"/>
  <c r="H42"/>
  <c r="I42" s="1"/>
  <c r="H51"/>
  <c r="I51" s="1"/>
  <c r="H30"/>
  <c r="I30" s="1"/>
  <c r="G35"/>
  <c r="G39"/>
  <c r="D41"/>
  <c r="D44" s="1"/>
  <c r="D48" s="1"/>
  <c r="D52"/>
  <c r="H52" s="1"/>
  <c r="I52" s="1"/>
  <c r="H38" i="13"/>
  <c r="I38" s="1"/>
  <c r="E50"/>
  <c r="G50" s="1"/>
  <c r="E45"/>
  <c r="G45" s="1"/>
  <c r="E30"/>
  <c r="G30" s="1"/>
  <c r="E49"/>
  <c r="G49" s="1"/>
  <c r="E46"/>
  <c r="G46" s="1"/>
  <c r="E29"/>
  <c r="G29" s="1"/>
  <c r="G44"/>
  <c r="H32"/>
  <c r="I32" s="1"/>
  <c r="H35"/>
  <c r="I35" s="1"/>
  <c r="H37"/>
  <c r="I37" s="1"/>
  <c r="H40"/>
  <c r="I40" s="1"/>
  <c r="H42"/>
  <c r="I42" s="1"/>
  <c r="H39"/>
  <c r="I39" s="1"/>
  <c r="D53"/>
  <c r="H54"/>
  <c r="I54" s="1"/>
  <c r="H43"/>
  <c r="I43" s="1"/>
  <c r="D45"/>
  <c r="D47" s="1"/>
  <c r="D50"/>
  <c r="H52"/>
  <c r="I52" s="1"/>
  <c r="D33"/>
  <c r="H33" s="1"/>
  <c r="I33" s="1"/>
  <c r="G34"/>
  <c r="G36"/>
  <c r="D37"/>
  <c r="D43"/>
  <c r="F38" i="9"/>
  <c r="G38"/>
  <c r="E38"/>
  <c r="B38"/>
  <c r="A12"/>
  <c r="A38" s="1"/>
  <c r="B12"/>
  <c r="C12"/>
  <c r="C38" s="1"/>
  <c r="D38" s="1"/>
  <c r="D12"/>
  <c r="C43" i="8"/>
  <c r="D43" s="1"/>
  <c r="C44"/>
  <c r="D44" s="1"/>
  <c r="E44"/>
  <c r="E43"/>
  <c r="E42"/>
  <c r="B44"/>
  <c r="B43"/>
  <c r="B42"/>
  <c r="A13"/>
  <c r="A42" s="1"/>
  <c r="B13"/>
  <c r="C13"/>
  <c r="C42" s="1"/>
  <c r="D42" s="1"/>
  <c r="D13"/>
  <c r="F42" s="1"/>
  <c r="G42" s="1"/>
  <c r="A14"/>
  <c r="A43" s="1"/>
  <c r="B14"/>
  <c r="C14"/>
  <c r="D14"/>
  <c r="F43" s="1"/>
  <c r="G43" s="1"/>
  <c r="A15"/>
  <c r="A44" s="1"/>
  <c r="B15"/>
  <c r="C15"/>
  <c r="D15"/>
  <c r="F44" s="1"/>
  <c r="G44" s="1"/>
  <c r="F40" i="7"/>
  <c r="G40" s="1"/>
  <c r="E40"/>
  <c r="B40"/>
  <c r="C40" i="6"/>
  <c r="D40" s="1"/>
  <c r="E40"/>
  <c r="B40"/>
  <c r="B12" i="7"/>
  <c r="C12"/>
  <c r="C40" s="1"/>
  <c r="D40" s="1"/>
  <c r="D12"/>
  <c r="A12"/>
  <c r="A40" s="1"/>
  <c r="C12" i="6"/>
  <c r="D12"/>
  <c r="F40" s="1"/>
  <c r="G40" s="1"/>
  <c r="H40" s="1"/>
  <c r="I40" s="1"/>
  <c r="B12"/>
  <c r="A12"/>
  <c r="A40" s="1"/>
  <c r="F41" i="12"/>
  <c r="G41" s="1"/>
  <c r="C40"/>
  <c r="D40" s="1"/>
  <c r="E42"/>
  <c r="E41"/>
  <c r="E40"/>
  <c r="B42"/>
  <c r="B41"/>
  <c r="B40"/>
  <c r="F41" i="4"/>
  <c r="G41" s="1"/>
  <c r="F42"/>
  <c r="G42" s="1"/>
  <c r="C42"/>
  <c r="D42" s="1"/>
  <c r="E42"/>
  <c r="E41"/>
  <c r="E40"/>
  <c r="B42"/>
  <c r="B41"/>
  <c r="B40"/>
  <c r="F40" i="12"/>
  <c r="G40" s="1"/>
  <c r="H40" s="1"/>
  <c r="I40" s="1"/>
  <c r="C41"/>
  <c r="D41" s="1"/>
  <c r="C42"/>
  <c r="D42" s="1"/>
  <c r="F42"/>
  <c r="G42" s="1"/>
  <c r="F40" i="4"/>
  <c r="G40" s="1"/>
  <c r="C40"/>
  <c r="D40" s="1"/>
  <c r="C41"/>
  <c r="D41" s="1"/>
  <c r="E37" i="9"/>
  <c r="E36"/>
  <c r="B37"/>
  <c r="B36"/>
  <c r="A19"/>
  <c r="A17"/>
  <c r="A16"/>
  <c r="A15"/>
  <c r="A14"/>
  <c r="A13"/>
  <c r="A11"/>
  <c r="A37" s="1"/>
  <c r="A10"/>
  <c r="A36" s="1"/>
  <c r="A9"/>
  <c r="A8"/>
  <c r="E40" i="8"/>
  <c r="E39"/>
  <c r="B40"/>
  <c r="B39"/>
  <c r="E39" i="7"/>
  <c r="E38"/>
  <c r="B39"/>
  <c r="B38"/>
  <c r="E39" i="6"/>
  <c r="E38"/>
  <c r="B39"/>
  <c r="B38"/>
  <c r="E39" i="12"/>
  <c r="E38"/>
  <c r="B39"/>
  <c r="B38"/>
  <c r="E39" i="4"/>
  <c r="E38"/>
  <c r="B39"/>
  <c r="B38"/>
  <c r="H27" i="18" l="1"/>
  <c r="I27" s="1"/>
  <c r="G29"/>
  <c r="H40"/>
  <c r="I40" s="1"/>
  <c r="G44"/>
  <c r="D51"/>
  <c r="G43"/>
  <c r="H41"/>
  <c r="I41" s="1"/>
  <c r="H45"/>
  <c r="I45" s="1"/>
  <c r="G49"/>
  <c r="H31"/>
  <c r="I31" s="1"/>
  <c r="H46"/>
  <c r="I46" s="1"/>
  <c r="H28"/>
  <c r="I28" s="1"/>
  <c r="H31" i="17"/>
  <c r="I31" s="1"/>
  <c r="D50"/>
  <c r="D57"/>
  <c r="H51"/>
  <c r="I51" s="1"/>
  <c r="G55"/>
  <c r="H30"/>
  <c r="I30" s="1"/>
  <c r="G32"/>
  <c r="H46"/>
  <c r="I46" s="1"/>
  <c r="G49"/>
  <c r="H47"/>
  <c r="I47" s="1"/>
  <c r="H34"/>
  <c r="I34" s="1"/>
  <c r="H48"/>
  <c r="I48" s="1"/>
  <c r="H52"/>
  <c r="I52" s="1"/>
  <c r="H44" i="16"/>
  <c r="I44" s="1"/>
  <c r="D42"/>
  <c r="D46" s="1"/>
  <c r="D53" s="1"/>
  <c r="H43"/>
  <c r="I43" s="1"/>
  <c r="G45"/>
  <c r="G51"/>
  <c r="H47"/>
  <c r="I47" s="1"/>
  <c r="H48"/>
  <c r="I48" s="1"/>
  <c r="H29"/>
  <c r="I29" s="1"/>
  <c r="G31"/>
  <c r="H30"/>
  <c r="I30" s="1"/>
  <c r="G46"/>
  <c r="H42"/>
  <c r="I42" s="1"/>
  <c r="G46" i="15"/>
  <c r="H42"/>
  <c r="I42" s="1"/>
  <c r="H44"/>
  <c r="I44" s="1"/>
  <c r="H36"/>
  <c r="I36" s="1"/>
  <c r="H43"/>
  <c r="I43" s="1"/>
  <c r="G45"/>
  <c r="G51"/>
  <c r="H47"/>
  <c r="I47" s="1"/>
  <c r="D51"/>
  <c r="D53" s="1"/>
  <c r="H29"/>
  <c r="I29" s="1"/>
  <c r="G31"/>
  <c r="H48"/>
  <c r="I48" s="1"/>
  <c r="H30"/>
  <c r="I30" s="1"/>
  <c r="D53" i="14"/>
  <c r="D55" s="1"/>
  <c r="H39"/>
  <c r="I39" s="1"/>
  <c r="H31"/>
  <c r="I31" s="1"/>
  <c r="H37"/>
  <c r="I37" s="1"/>
  <c r="H35"/>
  <c r="I35" s="1"/>
  <c r="H50"/>
  <c r="I50" s="1"/>
  <c r="H33"/>
  <c r="I33" s="1"/>
  <c r="G44"/>
  <c r="H41"/>
  <c r="I41" s="1"/>
  <c r="G47"/>
  <c r="H45"/>
  <c r="I45" s="1"/>
  <c r="D44" i="13"/>
  <c r="D48" s="1"/>
  <c r="D55" s="1"/>
  <c r="H44"/>
  <c r="I44" s="1"/>
  <c r="H30"/>
  <c r="I30" s="1"/>
  <c r="G31"/>
  <c r="H29"/>
  <c r="I29" s="1"/>
  <c r="H45"/>
  <c r="I45" s="1"/>
  <c r="G47"/>
  <c r="H36"/>
  <c r="I36" s="1"/>
  <c r="H46"/>
  <c r="I46" s="1"/>
  <c r="H50"/>
  <c r="I50" s="1"/>
  <c r="H34"/>
  <c r="I34" s="1"/>
  <c r="G53"/>
  <c r="H49"/>
  <c r="I49" s="1"/>
  <c r="H42" i="12"/>
  <c r="I42" s="1"/>
  <c r="H42" i="4"/>
  <c r="I42" s="1"/>
  <c r="H40"/>
  <c r="I40" s="1"/>
  <c r="H41"/>
  <c r="I41" s="1"/>
  <c r="H44" i="8"/>
  <c r="I44" s="1"/>
  <c r="H42"/>
  <c r="I42" s="1"/>
  <c r="H43"/>
  <c r="I43" s="1"/>
  <c r="H38" i="9"/>
  <c r="I38" s="1"/>
  <c r="H40" i="7"/>
  <c r="I40" s="1"/>
  <c r="H41" i="12"/>
  <c r="I41" s="1"/>
  <c r="C11" i="8"/>
  <c r="D11"/>
  <c r="C12"/>
  <c r="C10" i="7"/>
  <c r="C38" s="1"/>
  <c r="D38" s="1"/>
  <c r="D10"/>
  <c r="F38" s="1"/>
  <c r="G38" s="1"/>
  <c r="C11"/>
  <c r="C39" s="1"/>
  <c r="D39" s="1"/>
  <c r="F39"/>
  <c r="G39" s="1"/>
  <c r="C10" i="6"/>
  <c r="C38" s="1"/>
  <c r="D38" s="1"/>
  <c r="F38"/>
  <c r="G38" s="1"/>
  <c r="C11"/>
  <c r="C39" s="1"/>
  <c r="D39" s="1"/>
  <c r="F39"/>
  <c r="G39" s="1"/>
  <c r="C10" i="12"/>
  <c r="C38" s="1"/>
  <c r="D38" s="1"/>
  <c r="F38"/>
  <c r="G38" s="1"/>
  <c r="C11"/>
  <c r="C39" s="1"/>
  <c r="D39" s="1"/>
  <c r="F39"/>
  <c r="G39" s="1"/>
  <c r="C10" i="4"/>
  <c r="C38" s="1"/>
  <c r="D38" s="1"/>
  <c r="F38"/>
  <c r="G38" s="1"/>
  <c r="C11"/>
  <c r="C39" s="1"/>
  <c r="D39" s="1"/>
  <c r="F39"/>
  <c r="G39" s="1"/>
  <c r="C10" i="9"/>
  <c r="C36" s="1"/>
  <c r="D36" s="1"/>
  <c r="D10"/>
  <c r="F36" s="1"/>
  <c r="G36" s="1"/>
  <c r="C11"/>
  <c r="C37" s="1"/>
  <c r="D37" s="1"/>
  <c r="F37"/>
  <c r="G37" s="1"/>
  <c r="B11" i="8"/>
  <c r="B12"/>
  <c r="B10" i="7"/>
  <c r="B11"/>
  <c r="B10" i="6"/>
  <c r="B11"/>
  <c r="B10" i="12"/>
  <c r="B11"/>
  <c r="B10" i="4"/>
  <c r="B11"/>
  <c r="B10" i="9"/>
  <c r="B11"/>
  <c r="A11" i="8"/>
  <c r="A40" s="1"/>
  <c r="A12"/>
  <c r="A41" s="1"/>
  <c r="A10" i="7"/>
  <c r="A38" s="1"/>
  <c r="A11"/>
  <c r="A39" s="1"/>
  <c r="A10" i="6"/>
  <c r="A38" s="1"/>
  <c r="A11"/>
  <c r="A39" s="1"/>
  <c r="A10" i="12"/>
  <c r="A38" s="1"/>
  <c r="A11"/>
  <c r="A39" s="1"/>
  <c r="A10" i="4"/>
  <c r="A38" s="1"/>
  <c r="A11"/>
  <c r="A39" s="1"/>
  <c r="C9" i="9"/>
  <c r="C35" s="1"/>
  <c r="C9" i="8"/>
  <c r="C38" s="1"/>
  <c r="C9" i="7"/>
  <c r="C37" s="1"/>
  <c r="D37" s="1"/>
  <c r="C9" i="6"/>
  <c r="C37" s="1"/>
  <c r="D37" s="1"/>
  <c r="C9" i="12"/>
  <c r="C37" s="1"/>
  <c r="D37" s="1"/>
  <c r="C9" i="4"/>
  <c r="C37" s="1"/>
  <c r="E33" i="9"/>
  <c r="B33"/>
  <c r="E36" i="8"/>
  <c r="B36"/>
  <c r="E35" i="7"/>
  <c r="B35"/>
  <c r="E35" i="6"/>
  <c r="B35"/>
  <c r="E35" i="12"/>
  <c r="B35"/>
  <c r="E35" i="4"/>
  <c r="B35"/>
  <c r="D7" i="9"/>
  <c r="F33" s="1"/>
  <c r="G33" s="1"/>
  <c r="C7"/>
  <c r="C33" s="1"/>
  <c r="D33" s="1"/>
  <c r="B7"/>
  <c r="A7"/>
  <c r="A33" s="1"/>
  <c r="D7" i="8"/>
  <c r="F36" s="1"/>
  <c r="G36" s="1"/>
  <c r="C7"/>
  <c r="C36" s="1"/>
  <c r="B7"/>
  <c r="A7"/>
  <c r="A36" s="1"/>
  <c r="D7" i="7"/>
  <c r="F35" s="1"/>
  <c r="G35" s="1"/>
  <c r="C7"/>
  <c r="C35" s="1"/>
  <c r="D35" s="1"/>
  <c r="B7"/>
  <c r="A7"/>
  <c r="A35" s="1"/>
  <c r="D7" i="6"/>
  <c r="F35" s="1"/>
  <c r="G35" s="1"/>
  <c r="C7"/>
  <c r="C35" s="1"/>
  <c r="D35" s="1"/>
  <c r="B7"/>
  <c r="A7"/>
  <c r="A35" s="1"/>
  <c r="D7" i="12"/>
  <c r="F35" s="1"/>
  <c r="G35" s="1"/>
  <c r="C7"/>
  <c r="C35" s="1"/>
  <c r="D35" s="1"/>
  <c r="B7"/>
  <c r="A7"/>
  <c r="A35" s="1"/>
  <c r="D7" i="4"/>
  <c r="F35" s="1"/>
  <c r="C7"/>
  <c r="C35" s="1"/>
  <c r="B7"/>
  <c r="A7"/>
  <c r="A35" s="1"/>
  <c r="E35" i="9"/>
  <c r="B35"/>
  <c r="E38" i="8"/>
  <c r="B38"/>
  <c r="E37" i="7"/>
  <c r="B37"/>
  <c r="E37" i="6"/>
  <c r="B37"/>
  <c r="E37" i="12"/>
  <c r="B37"/>
  <c r="E37" i="4"/>
  <c r="B37"/>
  <c r="D9" i="9"/>
  <c r="F35" s="1"/>
  <c r="B9"/>
  <c r="A35"/>
  <c r="D9" i="8"/>
  <c r="F38" s="1"/>
  <c r="B9"/>
  <c r="A9"/>
  <c r="A38" s="1"/>
  <c r="D9" i="7"/>
  <c r="F37" s="1"/>
  <c r="G37" s="1"/>
  <c r="B8"/>
  <c r="B9"/>
  <c r="A9"/>
  <c r="A37" s="1"/>
  <c r="D9" i="6"/>
  <c r="F37" s="1"/>
  <c r="G37" s="1"/>
  <c r="B9"/>
  <c r="B8"/>
  <c r="A9"/>
  <c r="A37" s="1"/>
  <c r="D9" i="12"/>
  <c r="F37" s="1"/>
  <c r="G37" s="1"/>
  <c r="B9"/>
  <c r="B8"/>
  <c r="B8" i="4"/>
  <c r="B9"/>
  <c r="A9" i="12"/>
  <c r="A37" s="1"/>
  <c r="A9" i="4"/>
  <c r="A37" s="1"/>
  <c r="D9"/>
  <c r="F37" s="1"/>
  <c r="F56" i="12"/>
  <c r="C56"/>
  <c r="F54"/>
  <c r="E54"/>
  <c r="C54"/>
  <c r="B54"/>
  <c r="E52"/>
  <c r="B52"/>
  <c r="F51"/>
  <c r="E51"/>
  <c r="C51"/>
  <c r="B51"/>
  <c r="B50"/>
  <c r="B49"/>
  <c r="B46"/>
  <c r="B45"/>
  <c r="E43"/>
  <c r="B43"/>
  <c r="E36"/>
  <c r="B36"/>
  <c r="E34"/>
  <c r="B34"/>
  <c r="B33"/>
  <c r="E33" s="1"/>
  <c r="E32"/>
  <c r="F30"/>
  <c r="C30"/>
  <c r="B30"/>
  <c r="F29"/>
  <c r="C29"/>
  <c r="B29"/>
  <c r="E25"/>
  <c r="H24"/>
  <c r="E46" s="1"/>
  <c r="D21"/>
  <c r="F52" s="1"/>
  <c r="C21"/>
  <c r="C52" s="1"/>
  <c r="B21"/>
  <c r="A21"/>
  <c r="A52" s="1"/>
  <c r="D20"/>
  <c r="C20"/>
  <c r="B20"/>
  <c r="A20"/>
  <c r="D19"/>
  <c r="F50" s="1"/>
  <c r="C19"/>
  <c r="C50" s="1"/>
  <c r="B19"/>
  <c r="A19"/>
  <c r="A50" s="1"/>
  <c r="D18"/>
  <c r="F49" s="1"/>
  <c r="C18"/>
  <c r="C49" s="1"/>
  <c r="D49" s="1"/>
  <c r="B18"/>
  <c r="A18"/>
  <c r="A49" s="1"/>
  <c r="D17"/>
  <c r="F46" s="1"/>
  <c r="C17"/>
  <c r="C46" s="1"/>
  <c r="B17"/>
  <c r="A17"/>
  <c r="A46" s="1"/>
  <c r="D16"/>
  <c r="F45" s="1"/>
  <c r="C16"/>
  <c r="C45" s="1"/>
  <c r="B16"/>
  <c r="A16"/>
  <c r="A45" s="1"/>
  <c r="D15"/>
  <c r="F43" s="1"/>
  <c r="G43" s="1"/>
  <c r="C15"/>
  <c r="C43" s="1"/>
  <c r="D43" s="1"/>
  <c r="B15"/>
  <c r="A15"/>
  <c r="A43" s="1"/>
  <c r="D8"/>
  <c r="F36" s="1"/>
  <c r="G36" s="1"/>
  <c r="C8"/>
  <c r="C36" s="1"/>
  <c r="D36" s="1"/>
  <c r="A8"/>
  <c r="A36" s="1"/>
  <c r="D6"/>
  <c r="F34" s="1"/>
  <c r="G34" s="1"/>
  <c r="C6"/>
  <c r="C34" s="1"/>
  <c r="D34" s="1"/>
  <c r="B6"/>
  <c r="A6"/>
  <c r="A34" s="1"/>
  <c r="D5"/>
  <c r="F33" s="1"/>
  <c r="C5"/>
  <c r="C33" s="1"/>
  <c r="D33" s="1"/>
  <c r="B5"/>
  <c r="A5"/>
  <c r="A33" s="1"/>
  <c r="D4"/>
  <c r="F32" s="1"/>
  <c r="G32" s="1"/>
  <c r="C4"/>
  <c r="C32" s="1"/>
  <c r="D32" s="1"/>
  <c r="B4"/>
  <c r="A4"/>
  <c r="A32" s="1"/>
  <c r="D3"/>
  <c r="C3"/>
  <c r="B3"/>
  <c r="A3"/>
  <c r="A27" s="1"/>
  <c r="D18" i="9"/>
  <c r="C18"/>
  <c r="B18"/>
  <c r="A18"/>
  <c r="D21" i="8"/>
  <c r="C21"/>
  <c r="B21"/>
  <c r="A21"/>
  <c r="D20" i="7"/>
  <c r="C20"/>
  <c r="B20"/>
  <c r="A20"/>
  <c r="D20" i="6"/>
  <c r="A20" i="4"/>
  <c r="C20" i="6"/>
  <c r="B20"/>
  <c r="A20"/>
  <c r="D20" i="4"/>
  <c r="C20"/>
  <c r="B20"/>
  <c r="F52" i="9"/>
  <c r="C52"/>
  <c r="F58" i="8"/>
  <c r="C58"/>
  <c r="F54" i="7"/>
  <c r="C54"/>
  <c r="F54" i="6"/>
  <c r="C54"/>
  <c r="F56" i="4"/>
  <c r="C56"/>
  <c r="F27" i="9"/>
  <c r="H22"/>
  <c r="E27" s="1"/>
  <c r="F28"/>
  <c r="D4"/>
  <c r="F30" s="1"/>
  <c r="G30" s="1"/>
  <c r="E30"/>
  <c r="D5"/>
  <c r="F31" s="1"/>
  <c r="G31" s="1"/>
  <c r="B31"/>
  <c r="E31" s="1"/>
  <c r="D6"/>
  <c r="F32" s="1"/>
  <c r="G32" s="1"/>
  <c r="E32"/>
  <c r="D8"/>
  <c r="F34" s="1"/>
  <c r="G34" s="1"/>
  <c r="E34"/>
  <c r="D13"/>
  <c r="F39" s="1"/>
  <c r="G39" s="1"/>
  <c r="E39"/>
  <c r="D14"/>
  <c r="F41" s="1"/>
  <c r="D15"/>
  <c r="F42" s="1"/>
  <c r="D16"/>
  <c r="F45" s="1"/>
  <c r="D17"/>
  <c r="F46" s="1"/>
  <c r="E47"/>
  <c r="F47"/>
  <c r="D19"/>
  <c r="F48" s="1"/>
  <c r="E48"/>
  <c r="E50"/>
  <c r="F50"/>
  <c r="B47"/>
  <c r="C47"/>
  <c r="F30" i="8"/>
  <c r="H25"/>
  <c r="E31" s="1"/>
  <c r="F31"/>
  <c r="D4"/>
  <c r="F33" s="1"/>
  <c r="D5"/>
  <c r="F34" s="1"/>
  <c r="D6"/>
  <c r="F35" s="1"/>
  <c r="E35"/>
  <c r="D8"/>
  <c r="F37" s="1"/>
  <c r="E37"/>
  <c r="D10"/>
  <c r="F39" s="1"/>
  <c r="E41"/>
  <c r="D16"/>
  <c r="F45" s="1"/>
  <c r="E45"/>
  <c r="D17"/>
  <c r="F47" s="1"/>
  <c r="D18"/>
  <c r="F48" s="1"/>
  <c r="D19"/>
  <c r="F51" s="1"/>
  <c r="D20"/>
  <c r="F52" s="1"/>
  <c r="E53"/>
  <c r="F53"/>
  <c r="D22"/>
  <c r="F54" s="1"/>
  <c r="E56"/>
  <c r="F56"/>
  <c r="B53"/>
  <c r="C53"/>
  <c r="F29" i="7"/>
  <c r="H24"/>
  <c r="E30" s="1"/>
  <c r="F30"/>
  <c r="D4"/>
  <c r="F32" s="1"/>
  <c r="D5"/>
  <c r="F33" s="1"/>
  <c r="D6"/>
  <c r="F34" s="1"/>
  <c r="G34" s="1"/>
  <c r="E34"/>
  <c r="D8"/>
  <c r="F36" s="1"/>
  <c r="E36"/>
  <c r="D13"/>
  <c r="F41" s="1"/>
  <c r="G41" s="1"/>
  <c r="E41"/>
  <c r="D16"/>
  <c r="F43" s="1"/>
  <c r="D17"/>
  <c r="F44" s="1"/>
  <c r="D18"/>
  <c r="F47" s="1"/>
  <c r="D19"/>
  <c r="F48" s="1"/>
  <c r="E49"/>
  <c r="F49"/>
  <c r="D21"/>
  <c r="F50" s="1"/>
  <c r="E52"/>
  <c r="F52"/>
  <c r="B49"/>
  <c r="C49"/>
  <c r="F29" i="6"/>
  <c r="H24"/>
  <c r="E30" s="1"/>
  <c r="F30"/>
  <c r="D4"/>
  <c r="F32" s="1"/>
  <c r="D5"/>
  <c r="F33" s="1"/>
  <c r="D6"/>
  <c r="F34" s="1"/>
  <c r="D8"/>
  <c r="F36" s="1"/>
  <c r="D13"/>
  <c r="F41" s="1"/>
  <c r="D14"/>
  <c r="F43" s="1"/>
  <c r="D15"/>
  <c r="F44" s="1"/>
  <c r="D18"/>
  <c r="F47" s="1"/>
  <c r="D19"/>
  <c r="F48" s="1"/>
  <c r="E49"/>
  <c r="F49"/>
  <c r="D21"/>
  <c r="F50" s="1"/>
  <c r="E52"/>
  <c r="F52"/>
  <c r="B49"/>
  <c r="C49"/>
  <c r="E51" i="4"/>
  <c r="F51"/>
  <c r="H24"/>
  <c r="E50" s="1"/>
  <c r="F29"/>
  <c r="F30"/>
  <c r="D4"/>
  <c r="F32" s="1"/>
  <c r="E32"/>
  <c r="D5"/>
  <c r="F33" s="1"/>
  <c r="B33"/>
  <c r="E33"/>
  <c r="D6"/>
  <c r="F34" s="1"/>
  <c r="E34"/>
  <c r="D8"/>
  <c r="F36" s="1"/>
  <c r="E36"/>
  <c r="D15"/>
  <c r="F43" s="1"/>
  <c r="E43"/>
  <c r="D16"/>
  <c r="F45" s="1"/>
  <c r="D17"/>
  <c r="F46" s="1"/>
  <c r="D18"/>
  <c r="F49" s="1"/>
  <c r="D19"/>
  <c r="F50" s="1"/>
  <c r="E52"/>
  <c r="D21"/>
  <c r="F52" s="1"/>
  <c r="E54"/>
  <c r="F54"/>
  <c r="B51"/>
  <c r="C51"/>
  <c r="C4"/>
  <c r="C32" s="1"/>
  <c r="D32" s="1"/>
  <c r="C5"/>
  <c r="C33" s="1"/>
  <c r="C6"/>
  <c r="C34" s="1"/>
  <c r="C8"/>
  <c r="C36" s="1"/>
  <c r="C15"/>
  <c r="C43" s="1"/>
  <c r="C16"/>
  <c r="C45" s="1"/>
  <c r="C17"/>
  <c r="C46" s="1"/>
  <c r="C18"/>
  <c r="C49" s="1"/>
  <c r="C19"/>
  <c r="C50" s="1"/>
  <c r="C21"/>
  <c r="C52" s="1"/>
  <c r="C54"/>
  <c r="B28" i="9"/>
  <c r="B31" i="8"/>
  <c r="B30" i="7"/>
  <c r="B30" i="6"/>
  <c r="B30" i="4"/>
  <c r="C5" i="9"/>
  <c r="C31" s="1"/>
  <c r="D31" s="1"/>
  <c r="B42"/>
  <c r="B41"/>
  <c r="C19"/>
  <c r="C48" s="1"/>
  <c r="C6"/>
  <c r="C32" s="1"/>
  <c r="D32" s="1"/>
  <c r="C8"/>
  <c r="C34" s="1"/>
  <c r="D34" s="1"/>
  <c r="C13"/>
  <c r="C39" s="1"/>
  <c r="D39" s="1"/>
  <c r="C14"/>
  <c r="C41" s="1"/>
  <c r="C15"/>
  <c r="C42" s="1"/>
  <c r="C16"/>
  <c r="C45" s="1"/>
  <c r="C17"/>
  <c r="C46" s="1"/>
  <c r="C4"/>
  <c r="C30" s="1"/>
  <c r="D30" s="1"/>
  <c r="B19"/>
  <c r="B6"/>
  <c r="B8"/>
  <c r="B13"/>
  <c r="B14"/>
  <c r="B15"/>
  <c r="B16"/>
  <c r="B17"/>
  <c r="B5"/>
  <c r="B4"/>
  <c r="A3"/>
  <c r="A25" s="1"/>
  <c r="B3"/>
  <c r="C3"/>
  <c r="D3"/>
  <c r="A4"/>
  <c r="A30" s="1"/>
  <c r="A5"/>
  <c r="A31" s="1"/>
  <c r="A6"/>
  <c r="A32" s="1"/>
  <c r="A34"/>
  <c r="A39"/>
  <c r="A41"/>
  <c r="A42"/>
  <c r="A45"/>
  <c r="A46"/>
  <c r="A48"/>
  <c r="E23"/>
  <c r="B27"/>
  <c r="C27"/>
  <c r="C28"/>
  <c r="B32"/>
  <c r="B34"/>
  <c r="B39"/>
  <c r="B45"/>
  <c r="B46"/>
  <c r="B48"/>
  <c r="B50"/>
  <c r="C50"/>
  <c r="C22" i="8"/>
  <c r="C54" s="1"/>
  <c r="C6"/>
  <c r="C35" s="1"/>
  <c r="D35" s="1"/>
  <c r="C8"/>
  <c r="C37" s="1"/>
  <c r="C10"/>
  <c r="C39" s="1"/>
  <c r="C16"/>
  <c r="C45" s="1"/>
  <c r="C17"/>
  <c r="C47" s="1"/>
  <c r="C18"/>
  <c r="C48" s="1"/>
  <c r="C19"/>
  <c r="C51" s="1"/>
  <c r="C20"/>
  <c r="C52" s="1"/>
  <c r="C5"/>
  <c r="C34" s="1"/>
  <c r="C4"/>
  <c r="C33" s="1"/>
  <c r="D33" s="1"/>
  <c r="B22"/>
  <c r="B8"/>
  <c r="B10"/>
  <c r="B16"/>
  <c r="B17"/>
  <c r="B18"/>
  <c r="B19"/>
  <c r="B20"/>
  <c r="B6"/>
  <c r="B5"/>
  <c r="B4"/>
  <c r="A6"/>
  <c r="A35" s="1"/>
  <c r="A8"/>
  <c r="A37" s="1"/>
  <c r="A10"/>
  <c r="A39" s="1"/>
  <c r="A16"/>
  <c r="A45" s="1"/>
  <c r="A17"/>
  <c r="A47" s="1"/>
  <c r="A18"/>
  <c r="A48" s="1"/>
  <c r="A19"/>
  <c r="A51" s="1"/>
  <c r="A20"/>
  <c r="A52" s="1"/>
  <c r="A22"/>
  <c r="A54" s="1"/>
  <c r="A5"/>
  <c r="A34" s="1"/>
  <c r="A4"/>
  <c r="A33" s="1"/>
  <c r="A3"/>
  <c r="A28" s="1"/>
  <c r="B3"/>
  <c r="C3"/>
  <c r="D3"/>
  <c r="E26"/>
  <c r="B30"/>
  <c r="C30"/>
  <c r="C31"/>
  <c r="D31" s="1"/>
  <c r="E33"/>
  <c r="B34"/>
  <c r="E34" s="1"/>
  <c r="B35"/>
  <c r="B37"/>
  <c r="B41"/>
  <c r="B45"/>
  <c r="B47"/>
  <c r="B48"/>
  <c r="B51"/>
  <c r="B52"/>
  <c r="B54"/>
  <c r="E54"/>
  <c r="B56"/>
  <c r="C56"/>
  <c r="A17" i="7"/>
  <c r="A44" s="1"/>
  <c r="A16"/>
  <c r="A43" s="1"/>
  <c r="C17"/>
  <c r="C44" s="1"/>
  <c r="C16"/>
  <c r="C43" s="1"/>
  <c r="A3"/>
  <c r="A27" s="1"/>
  <c r="B3"/>
  <c r="C3"/>
  <c r="D3"/>
  <c r="A4"/>
  <c r="A32" s="1"/>
  <c r="B4"/>
  <c r="C4"/>
  <c r="C32" s="1"/>
  <c r="D32" s="1"/>
  <c r="A5"/>
  <c r="A33" s="1"/>
  <c r="B5"/>
  <c r="C5"/>
  <c r="C33" s="1"/>
  <c r="D33" s="1"/>
  <c r="A6"/>
  <c r="A34" s="1"/>
  <c r="B6"/>
  <c r="C6"/>
  <c r="C34" s="1"/>
  <c r="A8"/>
  <c r="A36" s="1"/>
  <c r="C8"/>
  <c r="C36" s="1"/>
  <c r="D36" s="1"/>
  <c r="A13"/>
  <c r="A41" s="1"/>
  <c r="B13"/>
  <c r="C13"/>
  <c r="C41" s="1"/>
  <c r="D41" s="1"/>
  <c r="A14"/>
  <c r="B14"/>
  <c r="C14"/>
  <c r="D14"/>
  <c r="A15"/>
  <c r="B15"/>
  <c r="C15"/>
  <c r="D15"/>
  <c r="B16"/>
  <c r="B17"/>
  <c r="A18"/>
  <c r="A47" s="1"/>
  <c r="B18"/>
  <c r="C18"/>
  <c r="C47" s="1"/>
  <c r="A19"/>
  <c r="A48" s="1"/>
  <c r="B19"/>
  <c r="C19"/>
  <c r="C48" s="1"/>
  <c r="A21"/>
  <c r="A50" s="1"/>
  <c r="B21"/>
  <c r="C21"/>
  <c r="C50" s="1"/>
  <c r="E25"/>
  <c r="B29"/>
  <c r="C29"/>
  <c r="C30"/>
  <c r="E32"/>
  <c r="B33"/>
  <c r="E33"/>
  <c r="B34"/>
  <c r="B36"/>
  <c r="B41"/>
  <c r="B43"/>
  <c r="B44"/>
  <c r="B47"/>
  <c r="B48"/>
  <c r="B50"/>
  <c r="E50"/>
  <c r="B52"/>
  <c r="C52"/>
  <c r="B44" i="6"/>
  <c r="B43"/>
  <c r="E41"/>
  <c r="E36"/>
  <c r="E34"/>
  <c r="B41"/>
  <c r="B36"/>
  <c r="B34"/>
  <c r="A3"/>
  <c r="A27" s="1"/>
  <c r="D16"/>
  <c r="D17"/>
  <c r="C5"/>
  <c r="C33" s="1"/>
  <c r="C6"/>
  <c r="C34" s="1"/>
  <c r="D34" s="1"/>
  <c r="C8"/>
  <c r="C36" s="1"/>
  <c r="D36" s="1"/>
  <c r="C13"/>
  <c r="C41" s="1"/>
  <c r="C14"/>
  <c r="C43" s="1"/>
  <c r="C15"/>
  <c r="C44" s="1"/>
  <c r="D44" s="1"/>
  <c r="C16"/>
  <c r="C17"/>
  <c r="C18"/>
  <c r="C47" s="1"/>
  <c r="C19"/>
  <c r="C48" s="1"/>
  <c r="C21"/>
  <c r="C50" s="1"/>
  <c r="C4"/>
  <c r="C32" s="1"/>
  <c r="D32" s="1"/>
  <c r="B5"/>
  <c r="B6"/>
  <c r="B13"/>
  <c r="B14"/>
  <c r="B15"/>
  <c r="B16"/>
  <c r="B17"/>
  <c r="B18"/>
  <c r="B19"/>
  <c r="B21"/>
  <c r="B4"/>
  <c r="A21"/>
  <c r="A50" s="1"/>
  <c r="A19"/>
  <c r="A48" s="1"/>
  <c r="A18"/>
  <c r="A47" s="1"/>
  <c r="A17"/>
  <c r="A16"/>
  <c r="A15"/>
  <c r="A44" s="1"/>
  <c r="A14"/>
  <c r="A43" s="1"/>
  <c r="A13"/>
  <c r="A41" s="1"/>
  <c r="A8"/>
  <c r="A36" s="1"/>
  <c r="A6"/>
  <c r="A34" s="1"/>
  <c r="A5"/>
  <c r="A33" s="1"/>
  <c r="A4"/>
  <c r="A32" s="1"/>
  <c r="B3"/>
  <c r="C3"/>
  <c r="D3"/>
  <c r="E25"/>
  <c r="B29"/>
  <c r="C29"/>
  <c r="C30"/>
  <c r="E32"/>
  <c r="B33"/>
  <c r="E33" s="1"/>
  <c r="B47"/>
  <c r="B48"/>
  <c r="B50"/>
  <c r="E50"/>
  <c r="B52"/>
  <c r="C52"/>
  <c r="B34" i="4"/>
  <c r="B36"/>
  <c r="B43"/>
  <c r="B45"/>
  <c r="B46"/>
  <c r="B49"/>
  <c r="B50"/>
  <c r="B52"/>
  <c r="B54"/>
  <c r="B29"/>
  <c r="C29"/>
  <c r="C30"/>
  <c r="A19"/>
  <c r="A50" s="1"/>
  <c r="A21"/>
  <c r="A52" s="1"/>
  <c r="A18"/>
  <c r="A49" s="1"/>
  <c r="A17"/>
  <c r="A46" s="1"/>
  <c r="A16"/>
  <c r="A45" s="1"/>
  <c r="A5"/>
  <c r="A33" s="1"/>
  <c r="A6"/>
  <c r="A34" s="1"/>
  <c r="A8"/>
  <c r="A36" s="1"/>
  <c r="A15"/>
  <c r="A43" s="1"/>
  <c r="A4"/>
  <c r="A32" s="1"/>
  <c r="A3"/>
  <c r="A27" s="1"/>
  <c r="E25"/>
  <c r="B3"/>
  <c r="D3"/>
  <c r="B5"/>
  <c r="B6"/>
  <c r="B15"/>
  <c r="B16"/>
  <c r="B17"/>
  <c r="B18"/>
  <c r="B19"/>
  <c r="B21"/>
  <c r="B4"/>
  <c r="C3"/>
  <c r="H49" i="18" l="1"/>
  <c r="I49" s="1"/>
  <c r="H44"/>
  <c r="I44" s="1"/>
  <c r="H43"/>
  <c r="I43" s="1"/>
  <c r="D52"/>
  <c r="D53" s="1"/>
  <c r="H29"/>
  <c r="I29" s="1"/>
  <c r="G51"/>
  <c r="D59" i="17"/>
  <c r="D58"/>
  <c r="H55"/>
  <c r="I55" s="1"/>
  <c r="H49"/>
  <c r="I49" s="1"/>
  <c r="G57"/>
  <c r="H32"/>
  <c r="I32" s="1"/>
  <c r="G50"/>
  <c r="H51" i="16"/>
  <c r="I51" s="1"/>
  <c r="D54"/>
  <c r="D55" s="1"/>
  <c r="H46"/>
  <c r="I46" s="1"/>
  <c r="H31"/>
  <c r="I31" s="1"/>
  <c r="G53"/>
  <c r="H45"/>
  <c r="I45" s="1"/>
  <c r="D54" i="15"/>
  <c r="D55" s="1"/>
  <c r="H46"/>
  <c r="I46" s="1"/>
  <c r="H51"/>
  <c r="I51" s="1"/>
  <c r="H31"/>
  <c r="I31" s="1"/>
  <c r="G53"/>
  <c r="H45"/>
  <c r="I45" s="1"/>
  <c r="D56" i="14"/>
  <c r="D57" s="1"/>
  <c r="H47"/>
  <c r="I47" s="1"/>
  <c r="H44"/>
  <c r="I44" s="1"/>
  <c r="G48"/>
  <c r="H53"/>
  <c r="I53" s="1"/>
  <c r="H31" i="13"/>
  <c r="I31" s="1"/>
  <c r="H47"/>
  <c r="I47" s="1"/>
  <c r="G48"/>
  <c r="H53"/>
  <c r="I53" s="1"/>
  <c r="D56"/>
  <c r="D57" s="1"/>
  <c r="D39" i="8"/>
  <c r="C40"/>
  <c r="D40" s="1"/>
  <c r="H37" i="9"/>
  <c r="I37" s="1"/>
  <c r="H39" i="12"/>
  <c r="I39" s="1"/>
  <c r="F41" i="8"/>
  <c r="G41" s="1"/>
  <c r="C41"/>
  <c r="G39"/>
  <c r="F40"/>
  <c r="G40" s="1"/>
  <c r="H39" i="7"/>
  <c r="I39" s="1"/>
  <c r="H39" i="6"/>
  <c r="I39" s="1"/>
  <c r="E47"/>
  <c r="G47" s="1"/>
  <c r="G52"/>
  <c r="H39" i="4"/>
  <c r="I39" s="1"/>
  <c r="H36" i="9"/>
  <c r="I36" s="1"/>
  <c r="H38" i="12"/>
  <c r="I38" s="1"/>
  <c r="H38" i="6"/>
  <c r="I38" s="1"/>
  <c r="H38" i="7"/>
  <c r="I38" s="1"/>
  <c r="H39" i="8"/>
  <c r="I39" s="1"/>
  <c r="D35" i="4"/>
  <c r="G33"/>
  <c r="G35"/>
  <c r="G43"/>
  <c r="G34"/>
  <c r="D34"/>
  <c r="H38"/>
  <c r="I38" s="1"/>
  <c r="D30" i="12"/>
  <c r="D52" i="8"/>
  <c r="D37"/>
  <c r="D36"/>
  <c r="H36" s="1"/>
  <c r="I36" s="1"/>
  <c r="D34"/>
  <c r="G34"/>
  <c r="G45"/>
  <c r="G37"/>
  <c r="G38"/>
  <c r="D41"/>
  <c r="D52" i="6"/>
  <c r="D51" i="12"/>
  <c r="D45" i="4"/>
  <c r="D54"/>
  <c r="G56" i="8"/>
  <c r="G50" i="9"/>
  <c r="E47" i="8"/>
  <c r="G47" s="1"/>
  <c r="E48"/>
  <c r="G48" s="1"/>
  <c r="E48" i="7"/>
  <c r="G48" s="1"/>
  <c r="E41" i="9"/>
  <c r="G41" s="1"/>
  <c r="D56" i="8"/>
  <c r="G49" i="7"/>
  <c r="D46" i="12"/>
  <c r="D54"/>
  <c r="E51" i="8"/>
  <c r="G51" s="1"/>
  <c r="E29" i="12"/>
  <c r="G29" s="1"/>
  <c r="E43" i="7"/>
  <c r="G43" s="1"/>
  <c r="G54" i="12"/>
  <c r="H54" s="1"/>
  <c r="I54" s="1"/>
  <c r="E52" i="8"/>
  <c r="G52" s="1"/>
  <c r="H52" s="1"/>
  <c r="I52" s="1"/>
  <c r="G51" i="4"/>
  <c r="G52" i="12"/>
  <c r="E43" i="6"/>
  <c r="G43" s="1"/>
  <c r="E48"/>
  <c r="G48" s="1"/>
  <c r="D30"/>
  <c r="E44"/>
  <c r="G44" s="1"/>
  <c r="H44" s="1"/>
  <c r="I44" s="1"/>
  <c r="D49" i="7"/>
  <c r="G31" i="8"/>
  <c r="H31" s="1"/>
  <c r="I31" s="1"/>
  <c r="G52" i="7"/>
  <c r="D53" i="8"/>
  <c r="D29" i="12"/>
  <c r="D31" s="1"/>
  <c r="D28" i="9"/>
  <c r="G50" i="6"/>
  <c r="D50" i="9"/>
  <c r="E30" i="8"/>
  <c r="G30" s="1"/>
  <c r="E44" i="7"/>
  <c r="G44" s="1"/>
  <c r="E47"/>
  <c r="G47" s="1"/>
  <c r="D50" i="6"/>
  <c r="D43" i="7"/>
  <c r="D29"/>
  <c r="G54" i="4"/>
  <c r="G49" i="6"/>
  <c r="E29"/>
  <c r="G29" s="1"/>
  <c r="G47" i="9"/>
  <c r="G27"/>
  <c r="D41"/>
  <c r="E29" i="7"/>
  <c r="G29" s="1"/>
  <c r="E49" i="12"/>
  <c r="G49" s="1"/>
  <c r="H49" s="1"/>
  <c r="I49" s="1"/>
  <c r="D48" i="6"/>
  <c r="D47" i="7"/>
  <c r="D30" i="8"/>
  <c r="D32" s="1"/>
  <c r="E29" i="4"/>
  <c r="G29" s="1"/>
  <c r="D49" i="6"/>
  <c r="G54" i="8"/>
  <c r="D45" i="12"/>
  <c r="E42" i="9"/>
  <c r="G42" s="1"/>
  <c r="D47"/>
  <c r="E50" i="12"/>
  <c r="G50" s="1"/>
  <c r="E45" i="9"/>
  <c r="G45" s="1"/>
  <c r="D52" i="7"/>
  <c r="D48"/>
  <c r="D46" i="9"/>
  <c r="D30" i="4"/>
  <c r="E45"/>
  <c r="G45" s="1"/>
  <c r="D33"/>
  <c r="G53" i="8"/>
  <c r="E28" i="9"/>
  <c r="G28" s="1"/>
  <c r="D52" i="12"/>
  <c r="D48" i="9"/>
  <c r="D50" i="12"/>
  <c r="E30"/>
  <c r="G30" s="1"/>
  <c r="H30" s="1"/>
  <c r="I30" s="1"/>
  <c r="E45"/>
  <c r="G45" s="1"/>
  <c r="E46" i="9"/>
  <c r="G46" s="1"/>
  <c r="D29" i="6"/>
  <c r="G50" i="7"/>
  <c r="D30"/>
  <c r="D47" i="8"/>
  <c r="G52" i="4"/>
  <c r="E49"/>
  <c r="G49" s="1"/>
  <c r="H41" i="7"/>
  <c r="I41" s="1"/>
  <c r="G33" i="12"/>
  <c r="H33" s="1"/>
  <c r="I33" s="1"/>
  <c r="D45" i="8"/>
  <c r="D45" i="9"/>
  <c r="G36" i="4"/>
  <c r="G32"/>
  <c r="G36" i="6"/>
  <c r="H36" s="1"/>
  <c r="I36" s="1"/>
  <c r="G33" i="7"/>
  <c r="H33" s="1"/>
  <c r="I33" s="1"/>
  <c r="G30"/>
  <c r="G33" i="8"/>
  <c r="H33" s="1"/>
  <c r="I33" s="1"/>
  <c r="G51" i="12"/>
  <c r="D29" i="4"/>
  <c r="D50" i="7"/>
  <c r="D49" i="4"/>
  <c r="D47" i="6"/>
  <c r="D41"/>
  <c r="D33"/>
  <c r="D51" i="8"/>
  <c r="D54"/>
  <c r="D27" i="9"/>
  <c r="D42"/>
  <c r="D43" i="4"/>
  <c r="G32" i="6"/>
  <c r="G36" i="7"/>
  <c r="H36" s="1"/>
  <c r="I36" s="1"/>
  <c r="G35" i="8"/>
  <c r="D46" i="4"/>
  <c r="D34" i="7"/>
  <c r="D42" s="1"/>
  <c r="D44"/>
  <c r="D48" i="8"/>
  <c r="D52" i="4"/>
  <c r="D36"/>
  <c r="D51"/>
  <c r="G34" i="6"/>
  <c r="H34" s="1"/>
  <c r="I34" s="1"/>
  <c r="G32" i="7"/>
  <c r="D35" i="9"/>
  <c r="D37" i="4"/>
  <c r="D50"/>
  <c r="G41" i="6"/>
  <c r="G33"/>
  <c r="G37" i="4"/>
  <c r="H37" i="12"/>
  <c r="I37" s="1"/>
  <c r="G35" i="9"/>
  <c r="G40" s="1"/>
  <c r="D38" i="8"/>
  <c r="G30" i="6"/>
  <c r="G50" i="4"/>
  <c r="H37" i="7"/>
  <c r="I37" s="1"/>
  <c r="H37" i="6"/>
  <c r="I37" s="1"/>
  <c r="H30" i="9"/>
  <c r="I30" s="1"/>
  <c r="D44" i="12"/>
  <c r="D43" i="6"/>
  <c r="D45" s="1"/>
  <c r="H43" i="12"/>
  <c r="I43" s="1"/>
  <c r="H39" i="9"/>
  <c r="I39" s="1"/>
  <c r="H35" i="7"/>
  <c r="I35" s="1"/>
  <c r="H31" i="9"/>
  <c r="I31" s="1"/>
  <c r="G46" i="12"/>
  <c r="H35"/>
  <c r="I35" s="1"/>
  <c r="H33" i="9"/>
  <c r="I33" s="1"/>
  <c r="H32" i="12"/>
  <c r="I32" s="1"/>
  <c r="G48" i="9"/>
  <c r="H34"/>
  <c r="I34" s="1"/>
  <c r="H32"/>
  <c r="I32" s="1"/>
  <c r="H34" i="12"/>
  <c r="I34" s="1"/>
  <c r="H36"/>
  <c r="I36" s="1"/>
  <c r="H35" i="6"/>
  <c r="I35" s="1"/>
  <c r="E46" i="4"/>
  <c r="G46" s="1"/>
  <c r="E30"/>
  <c r="G30" s="1"/>
  <c r="H51" i="18" l="1"/>
  <c r="I51" s="1"/>
  <c r="G53"/>
  <c r="G52"/>
  <c r="D61" i="17"/>
  <c r="D62" s="1"/>
  <c r="H57"/>
  <c r="I57" s="1"/>
  <c r="G59"/>
  <c r="J50" s="1"/>
  <c r="J57"/>
  <c r="G58"/>
  <c r="H50"/>
  <c r="I50" s="1"/>
  <c r="H53" i="16"/>
  <c r="I53" s="1"/>
  <c r="G54"/>
  <c r="H53" i="15"/>
  <c r="I53" s="1"/>
  <c r="G54"/>
  <c r="D59" i="14"/>
  <c r="D60"/>
  <c r="H48"/>
  <c r="I48" s="1"/>
  <c r="G55"/>
  <c r="D59" i="13"/>
  <c r="D60"/>
  <c r="H48"/>
  <c r="I48" s="1"/>
  <c r="G55"/>
  <c r="H33" i="4"/>
  <c r="I33" s="1"/>
  <c r="H40" i="8"/>
  <c r="I40" s="1"/>
  <c r="H30"/>
  <c r="I30" s="1"/>
  <c r="H30" i="6"/>
  <c r="I30" s="1"/>
  <c r="D31"/>
  <c r="H50" i="9"/>
  <c r="I50" s="1"/>
  <c r="H52" i="6"/>
  <c r="I52" s="1"/>
  <c r="H41" i="8"/>
  <c r="I41" s="1"/>
  <c r="H29" i="7"/>
  <c r="I29" s="1"/>
  <c r="H43"/>
  <c r="I43" s="1"/>
  <c r="H35" i="4"/>
  <c r="I35" s="1"/>
  <c r="H37" i="8"/>
  <c r="I37" s="1"/>
  <c r="H43" i="4"/>
  <c r="I43" s="1"/>
  <c r="H34"/>
  <c r="I34" s="1"/>
  <c r="H48" i="7"/>
  <c r="I48" s="1"/>
  <c r="D31"/>
  <c r="D47" i="12"/>
  <c r="D48" s="1"/>
  <c r="F7" i="11" s="1"/>
  <c r="H51" i="4"/>
  <c r="I51" s="1"/>
  <c r="H45" i="8"/>
  <c r="I45" s="1"/>
  <c r="G49"/>
  <c r="H34"/>
  <c r="I34" s="1"/>
  <c r="H56"/>
  <c r="I56" s="1"/>
  <c r="H38"/>
  <c r="I38" s="1"/>
  <c r="D43" i="9"/>
  <c r="H47"/>
  <c r="I47" s="1"/>
  <c r="H28"/>
  <c r="I28" s="1"/>
  <c r="G32" i="8"/>
  <c r="H32" s="1"/>
  <c r="I32" s="1"/>
  <c r="G46"/>
  <c r="G50" s="1"/>
  <c r="G51" i="7"/>
  <c r="H49"/>
  <c r="I49" s="1"/>
  <c r="H44"/>
  <c r="I44" s="1"/>
  <c r="H30"/>
  <c r="I30" s="1"/>
  <c r="H51" i="12"/>
  <c r="I51" s="1"/>
  <c r="H54" i="4"/>
  <c r="I54" s="1"/>
  <c r="D47"/>
  <c r="H45"/>
  <c r="I45" s="1"/>
  <c r="H47" i="8"/>
  <c r="I47" s="1"/>
  <c r="H50" i="6"/>
  <c r="I50" s="1"/>
  <c r="H33"/>
  <c r="I33" s="1"/>
  <c r="H45" i="12"/>
  <c r="I45" s="1"/>
  <c r="H52"/>
  <c r="I52" s="1"/>
  <c r="H52" i="7"/>
  <c r="I52" s="1"/>
  <c r="G44" i="12"/>
  <c r="H44" s="1"/>
  <c r="I44" s="1"/>
  <c r="D42" i="6"/>
  <c r="D46" s="1"/>
  <c r="H36" i="4"/>
  <c r="I36" s="1"/>
  <c r="G45" i="7"/>
  <c r="H35" i="9"/>
  <c r="I35" s="1"/>
  <c r="H50" i="7"/>
  <c r="I50" s="1"/>
  <c r="H37" i="4"/>
  <c r="I37" s="1"/>
  <c r="H27" i="9"/>
  <c r="I27" s="1"/>
  <c r="D53" i="12"/>
  <c r="H53" i="8"/>
  <c r="I53" s="1"/>
  <c r="H54"/>
  <c r="I54" s="1"/>
  <c r="G31" i="6"/>
  <c r="H43"/>
  <c r="I43" s="1"/>
  <c r="H42" i="9"/>
  <c r="I42" s="1"/>
  <c r="H49" i="6"/>
  <c r="I49" s="1"/>
  <c r="D40" i="9"/>
  <c r="G42" i="7"/>
  <c r="H42" s="1"/>
  <c r="I42" s="1"/>
  <c r="G53" i="12"/>
  <c r="H29" i="4"/>
  <c r="I29" s="1"/>
  <c r="H47" i="7"/>
  <c r="I47" s="1"/>
  <c r="G45" i="6"/>
  <c r="H45" s="1"/>
  <c r="I45" s="1"/>
  <c r="H29" i="12"/>
  <c r="I29" s="1"/>
  <c r="H46" i="9"/>
  <c r="I46" s="1"/>
  <c r="H35" i="8"/>
  <c r="I35" s="1"/>
  <c r="H34" i="7"/>
  <c r="I34" s="1"/>
  <c r="H50" i="12"/>
  <c r="I50" s="1"/>
  <c r="H41" i="6"/>
  <c r="I41" s="1"/>
  <c r="D44" i="4"/>
  <c r="D49" i="8"/>
  <c r="D55"/>
  <c r="D51" i="6"/>
  <c r="D31" i="4"/>
  <c r="H45" i="9"/>
  <c r="I45" s="1"/>
  <c r="D29"/>
  <c r="H41"/>
  <c r="I41" s="1"/>
  <c r="D51" i="7"/>
  <c r="G55" i="8"/>
  <c r="G31" i="12"/>
  <c r="H31" s="1"/>
  <c r="I31" s="1"/>
  <c r="H48" i="6"/>
  <c r="I48" s="1"/>
  <c r="H29"/>
  <c r="I29" s="1"/>
  <c r="D49" i="9"/>
  <c r="H51" i="8"/>
  <c r="I51" s="1"/>
  <c r="G43" i="9"/>
  <c r="G44" s="1"/>
  <c r="H32" i="7"/>
  <c r="I32" s="1"/>
  <c r="D46" i="8"/>
  <c r="G29" i="9"/>
  <c r="H52" i="4"/>
  <c r="I52" s="1"/>
  <c r="H47" i="6"/>
  <c r="I47" s="1"/>
  <c r="G51"/>
  <c r="G42"/>
  <c r="H32"/>
  <c r="I32" s="1"/>
  <c r="G31" i="7"/>
  <c r="D53" i="4"/>
  <c r="H48" i="8"/>
  <c r="I48" s="1"/>
  <c r="D45" i="7"/>
  <c r="H32" i="4"/>
  <c r="I32" s="1"/>
  <c r="G44"/>
  <c r="H49"/>
  <c r="I49" s="1"/>
  <c r="H50"/>
  <c r="I50" s="1"/>
  <c r="G53"/>
  <c r="H46"/>
  <c r="I46" s="1"/>
  <c r="G47"/>
  <c r="H30"/>
  <c r="I30" s="1"/>
  <c r="G31"/>
  <c r="H48" i="9"/>
  <c r="I48" s="1"/>
  <c r="H46" i="12"/>
  <c r="I46" s="1"/>
  <c r="G47"/>
  <c r="G49" i="9"/>
  <c r="H53" i="18" l="1"/>
  <c r="I53" s="1"/>
  <c r="J53"/>
  <c r="J47"/>
  <c r="J35"/>
  <c r="J38"/>
  <c r="J30"/>
  <c r="J39"/>
  <c r="J37"/>
  <c r="J42"/>
  <c r="J33"/>
  <c r="J34"/>
  <c r="J36"/>
  <c r="J50"/>
  <c r="J48"/>
  <c r="J32"/>
  <c r="J31"/>
  <c r="J45"/>
  <c r="J46"/>
  <c r="J27"/>
  <c r="J41"/>
  <c r="J40"/>
  <c r="J28"/>
  <c r="J44"/>
  <c r="J29"/>
  <c r="J49"/>
  <c r="J43"/>
  <c r="H52"/>
  <c r="I52" s="1"/>
  <c r="J52"/>
  <c r="J51"/>
  <c r="G61" i="17"/>
  <c r="G62" s="1"/>
  <c r="H62" s="1"/>
  <c r="I62" s="1"/>
  <c r="H59"/>
  <c r="I59" s="1"/>
  <c r="J59"/>
  <c r="J41"/>
  <c r="J39"/>
  <c r="J37"/>
  <c r="J35"/>
  <c r="J36"/>
  <c r="J56"/>
  <c r="J33"/>
  <c r="J40"/>
  <c r="J42"/>
  <c r="J43"/>
  <c r="J53"/>
  <c r="J54"/>
  <c r="J44"/>
  <c r="J38"/>
  <c r="J45"/>
  <c r="J31"/>
  <c r="J30"/>
  <c r="J34"/>
  <c r="J52"/>
  <c r="J51"/>
  <c r="J47"/>
  <c r="J46"/>
  <c r="J48"/>
  <c r="J55"/>
  <c r="J32"/>
  <c r="J49"/>
  <c r="H58"/>
  <c r="I58" s="1"/>
  <c r="J58"/>
  <c r="H54" i="16"/>
  <c r="I54" s="1"/>
  <c r="G55"/>
  <c r="J54" i="15"/>
  <c r="H54"/>
  <c r="I54" s="1"/>
  <c r="G55"/>
  <c r="H55" i="14"/>
  <c r="I55" s="1"/>
  <c r="G56"/>
  <c r="H55" i="13"/>
  <c r="I55" s="1"/>
  <c r="G56"/>
  <c r="H31" i="6"/>
  <c r="I31" s="1"/>
  <c r="H49" i="8"/>
  <c r="I49" s="1"/>
  <c r="H31" i="7"/>
  <c r="I31" s="1"/>
  <c r="G46" i="6"/>
  <c r="G8" i="11" s="1"/>
  <c r="D44" i="9"/>
  <c r="H44" s="1"/>
  <c r="I44" s="1"/>
  <c r="H51" i="7"/>
  <c r="I51" s="1"/>
  <c r="D55" i="12"/>
  <c r="D56" s="1"/>
  <c r="D57" s="1"/>
  <c r="D59" s="1"/>
  <c r="D60" s="1"/>
  <c r="J7" i="11" s="1"/>
  <c r="D48" i="4"/>
  <c r="F6" i="11" s="1"/>
  <c r="G46" i="7"/>
  <c r="G53" s="1"/>
  <c r="H53" i="12"/>
  <c r="I53" s="1"/>
  <c r="G48"/>
  <c r="H48" s="1"/>
  <c r="I48" s="1"/>
  <c r="H45" i="7"/>
  <c r="I45" s="1"/>
  <c r="H55" i="8"/>
  <c r="I55" s="1"/>
  <c r="D46" i="7"/>
  <c r="H29" i="9"/>
  <c r="I29" s="1"/>
  <c r="H43"/>
  <c r="I43" s="1"/>
  <c r="H40"/>
  <c r="I40" s="1"/>
  <c r="D53" i="7"/>
  <c r="D54" s="1"/>
  <c r="D55" s="1"/>
  <c r="H44" i="4"/>
  <c r="I44" s="1"/>
  <c r="H51" i="6"/>
  <c r="I51" s="1"/>
  <c r="D50" i="8"/>
  <c r="H50" s="1"/>
  <c r="I50" s="1"/>
  <c r="H42" i="6"/>
  <c r="I42" s="1"/>
  <c r="H46" i="8"/>
  <c r="I46" s="1"/>
  <c r="G53" i="6"/>
  <c r="G54" s="1"/>
  <c r="H53" i="4"/>
  <c r="I53" s="1"/>
  <c r="G9" i="11"/>
  <c r="G57" i="8"/>
  <c r="G51" i="9"/>
  <c r="G10" i="11"/>
  <c r="H49" i="9"/>
  <c r="I49" s="1"/>
  <c r="F8" i="11"/>
  <c r="H46" i="6"/>
  <c r="I46" s="1"/>
  <c r="D53"/>
  <c r="H31" i="4"/>
  <c r="I31" s="1"/>
  <c r="H47" i="12"/>
  <c r="I47" s="1"/>
  <c r="G48" i="4"/>
  <c r="G55" s="1"/>
  <c r="H47"/>
  <c r="I47" s="1"/>
  <c r="J55" i="16" l="1"/>
  <c r="H55"/>
  <c r="I55" s="1"/>
  <c r="J52"/>
  <c r="J37"/>
  <c r="J33"/>
  <c r="J35"/>
  <c r="J40"/>
  <c r="J32"/>
  <c r="J38"/>
  <c r="J50"/>
  <c r="J39"/>
  <c r="J49"/>
  <c r="J34"/>
  <c r="J36"/>
  <c r="J41"/>
  <c r="J44"/>
  <c r="J29"/>
  <c r="J42"/>
  <c r="J43"/>
  <c r="J47"/>
  <c r="J48"/>
  <c r="J30"/>
  <c r="J51"/>
  <c r="J46"/>
  <c r="J31"/>
  <c r="J45"/>
  <c r="J53"/>
  <c r="J54"/>
  <c r="J55" i="15"/>
  <c r="H55"/>
  <c r="I55" s="1"/>
  <c r="J35"/>
  <c r="J39"/>
  <c r="J32"/>
  <c r="J33"/>
  <c r="J38"/>
  <c r="J37"/>
  <c r="J50"/>
  <c r="J41"/>
  <c r="J49"/>
  <c r="J52"/>
  <c r="J36"/>
  <c r="J40"/>
  <c r="J34"/>
  <c r="J44"/>
  <c r="J42"/>
  <c r="J43"/>
  <c r="J47"/>
  <c r="J48"/>
  <c r="J29"/>
  <c r="J30"/>
  <c r="J51"/>
  <c r="J31"/>
  <c r="J45"/>
  <c r="J46"/>
  <c r="J53"/>
  <c r="H56" i="14"/>
  <c r="I56" s="1"/>
  <c r="J56"/>
  <c r="G57"/>
  <c r="H56" i="13"/>
  <c r="I56" s="1"/>
  <c r="G57"/>
  <c r="H8" i="11"/>
  <c r="G55" i="12"/>
  <c r="G56" s="1"/>
  <c r="G57" s="1"/>
  <c r="D55" i="4"/>
  <c r="D56" s="1"/>
  <c r="D57" s="1"/>
  <c r="D59" s="1"/>
  <c r="D60" s="1"/>
  <c r="J6" i="11" s="1"/>
  <c r="F10"/>
  <c r="H10" s="1"/>
  <c r="D51" i="9"/>
  <c r="D52" s="1"/>
  <c r="D53" s="1"/>
  <c r="J10" i="11" s="1"/>
  <c r="H46" i="7"/>
  <c r="I46" s="1"/>
  <c r="G7" i="11"/>
  <c r="H7" s="1"/>
  <c r="D57" i="8"/>
  <c r="D58" s="1"/>
  <c r="D59" s="1"/>
  <c r="D61" s="1"/>
  <c r="D62" s="1"/>
  <c r="J9" i="11" s="1"/>
  <c r="F9"/>
  <c r="H9" s="1"/>
  <c r="G55" i="6"/>
  <c r="G56" i="4"/>
  <c r="G57" s="1"/>
  <c r="H53" i="6"/>
  <c r="I53" s="1"/>
  <c r="D54"/>
  <c r="H54" s="1"/>
  <c r="I54" s="1"/>
  <c r="G58" i="8"/>
  <c r="H53" i="7"/>
  <c r="I53" s="1"/>
  <c r="G54"/>
  <c r="G55" s="1"/>
  <c r="J40" s="1"/>
  <c r="G6" i="11"/>
  <c r="H6" s="1"/>
  <c r="H48" i="4"/>
  <c r="I48" s="1"/>
  <c r="G52" i="9"/>
  <c r="G53" s="1"/>
  <c r="G59" i="14" l="1"/>
  <c r="G60" s="1"/>
  <c r="H60" s="1"/>
  <c r="I60" s="1"/>
  <c r="H57"/>
  <c r="I57" s="1"/>
  <c r="J57"/>
  <c r="J29"/>
  <c r="J34"/>
  <c r="J38"/>
  <c r="J46"/>
  <c r="J49"/>
  <c r="J51"/>
  <c r="J52"/>
  <c r="J42"/>
  <c r="J41"/>
  <c r="J32"/>
  <c r="J36"/>
  <c r="J43"/>
  <c r="J30"/>
  <c r="J40"/>
  <c r="J54"/>
  <c r="J45"/>
  <c r="J31"/>
  <c r="J35"/>
  <c r="J50"/>
  <c r="J33"/>
  <c r="J39"/>
  <c r="J37"/>
  <c r="J53"/>
  <c r="J44"/>
  <c r="J47"/>
  <c r="J48"/>
  <c r="J55"/>
  <c r="J57" i="13"/>
  <c r="H57"/>
  <c r="I57" s="1"/>
  <c r="G59"/>
  <c r="G60" s="1"/>
  <c r="H60" s="1"/>
  <c r="I60" s="1"/>
  <c r="J51"/>
  <c r="J37"/>
  <c r="J32"/>
  <c r="J33"/>
  <c r="J35"/>
  <c r="J40"/>
  <c r="J54"/>
  <c r="J42"/>
  <c r="J39"/>
  <c r="J43"/>
  <c r="J38"/>
  <c r="J52"/>
  <c r="J41"/>
  <c r="J30"/>
  <c r="J36"/>
  <c r="J49"/>
  <c r="J44"/>
  <c r="J50"/>
  <c r="J29"/>
  <c r="J46"/>
  <c r="J34"/>
  <c r="J45"/>
  <c r="J31"/>
  <c r="J47"/>
  <c r="J53"/>
  <c r="J48"/>
  <c r="J55"/>
  <c r="J56"/>
  <c r="J37" i="9"/>
  <c r="J38"/>
  <c r="J39" i="6"/>
  <c r="J40"/>
  <c r="J39" i="12"/>
  <c r="J42"/>
  <c r="J40"/>
  <c r="J41"/>
  <c r="H55"/>
  <c r="I55" s="1"/>
  <c r="J41" i="4"/>
  <c r="J40"/>
  <c r="J42"/>
  <c r="H55"/>
  <c r="I55" s="1"/>
  <c r="J51" i="9"/>
  <c r="J36"/>
  <c r="H51"/>
  <c r="I51" s="1"/>
  <c r="J38" i="7"/>
  <c r="J39"/>
  <c r="J54" i="6"/>
  <c r="J38"/>
  <c r="J55" i="12"/>
  <c r="J38"/>
  <c r="J38" i="4"/>
  <c r="J39"/>
  <c r="H57" i="8"/>
  <c r="I57" s="1"/>
  <c r="J36" i="6"/>
  <c r="J35"/>
  <c r="J29"/>
  <c r="J51"/>
  <c r="J49"/>
  <c r="J30"/>
  <c r="J41"/>
  <c r="J50"/>
  <c r="J52"/>
  <c r="J31"/>
  <c r="J37"/>
  <c r="J48"/>
  <c r="J42"/>
  <c r="J45"/>
  <c r="J53"/>
  <c r="J33"/>
  <c r="J34"/>
  <c r="J43"/>
  <c r="J46"/>
  <c r="J32"/>
  <c r="J44"/>
  <c r="J55"/>
  <c r="J47"/>
  <c r="K8" i="11"/>
  <c r="J34" i="4"/>
  <c r="J32"/>
  <c r="J45"/>
  <c r="J36"/>
  <c r="J50"/>
  <c r="J51"/>
  <c r="J33"/>
  <c r="J44"/>
  <c r="J52"/>
  <c r="G59"/>
  <c r="G60" s="1"/>
  <c r="H57"/>
  <c r="I57" s="1"/>
  <c r="J57"/>
  <c r="J43"/>
  <c r="J54"/>
  <c r="J35"/>
  <c r="J29"/>
  <c r="J37"/>
  <c r="J49"/>
  <c r="J53"/>
  <c r="J30"/>
  <c r="J46"/>
  <c r="J31"/>
  <c r="J47"/>
  <c r="J55"/>
  <c r="J48"/>
  <c r="J34" i="7"/>
  <c r="J43"/>
  <c r="J37"/>
  <c r="J41"/>
  <c r="J52"/>
  <c r="J50"/>
  <c r="J30"/>
  <c r="J44"/>
  <c r="J42"/>
  <c r="J31"/>
  <c r="H55"/>
  <c r="I55" s="1"/>
  <c r="J55"/>
  <c r="J36"/>
  <c r="J32"/>
  <c r="J47"/>
  <c r="J49"/>
  <c r="J35"/>
  <c r="J33"/>
  <c r="J48"/>
  <c r="J29"/>
  <c r="J51"/>
  <c r="J45"/>
  <c r="J46"/>
  <c r="H58" i="8"/>
  <c r="I58" s="1"/>
  <c r="H52" i="9"/>
  <c r="I52" s="1"/>
  <c r="J52"/>
  <c r="J57" i="12"/>
  <c r="J43"/>
  <c r="J30"/>
  <c r="J35"/>
  <c r="J52"/>
  <c r="J33"/>
  <c r="J36"/>
  <c r="J45"/>
  <c r="G59"/>
  <c r="G60" s="1"/>
  <c r="J37"/>
  <c r="H57"/>
  <c r="I57" s="1"/>
  <c r="J31"/>
  <c r="J29"/>
  <c r="J54"/>
  <c r="J51"/>
  <c r="J49"/>
  <c r="J32"/>
  <c r="J34"/>
  <c r="J50"/>
  <c r="J44"/>
  <c r="J46"/>
  <c r="J53"/>
  <c r="J48"/>
  <c r="J47"/>
  <c r="H56"/>
  <c r="I56" s="1"/>
  <c r="J56"/>
  <c r="H54" i="7"/>
  <c r="I54" s="1"/>
  <c r="J54"/>
  <c r="G59" i="8"/>
  <c r="J53" i="7"/>
  <c r="D55" i="6"/>
  <c r="K10" i="11"/>
  <c r="L10" s="1"/>
  <c r="J45" i="9"/>
  <c r="J35"/>
  <c r="J30"/>
  <c r="J46"/>
  <c r="J47"/>
  <c r="J33"/>
  <c r="J42"/>
  <c r="J50"/>
  <c r="J40"/>
  <c r="H53"/>
  <c r="I53" s="1"/>
  <c r="J53"/>
  <c r="J41"/>
  <c r="J27"/>
  <c r="J31"/>
  <c r="J29"/>
  <c r="J39"/>
  <c r="J28"/>
  <c r="J34"/>
  <c r="J32"/>
  <c r="J48"/>
  <c r="J43"/>
  <c r="J44"/>
  <c r="J49"/>
  <c r="H56" i="4"/>
  <c r="I56" s="1"/>
  <c r="J56"/>
  <c r="J44" i="8" l="1"/>
  <c r="J43"/>
  <c r="J42"/>
  <c r="J39"/>
  <c r="J40"/>
  <c r="H60" i="12"/>
  <c r="I60" s="1"/>
  <c r="K7" i="11"/>
  <c r="L7" s="1"/>
  <c r="H60" i="4"/>
  <c r="I60" s="1"/>
  <c r="K6" i="11"/>
  <c r="L6" s="1"/>
  <c r="J8"/>
  <c r="L8" s="1"/>
  <c r="H55" i="6"/>
  <c r="I55" s="1"/>
  <c r="J59" i="8"/>
  <c r="J36"/>
  <c r="J53"/>
  <c r="J54"/>
  <c r="J41"/>
  <c r="J45"/>
  <c r="J30"/>
  <c r="J52"/>
  <c r="J49"/>
  <c r="J32"/>
  <c r="H59"/>
  <c r="I59" s="1"/>
  <c r="J38"/>
  <c r="J37"/>
  <c r="J33"/>
  <c r="J31"/>
  <c r="J55"/>
  <c r="G61"/>
  <c r="G62" s="1"/>
  <c r="J35"/>
  <c r="J34"/>
  <c r="J56"/>
  <c r="J48"/>
  <c r="J47"/>
  <c r="J51"/>
  <c r="J46"/>
  <c r="J50"/>
  <c r="J57"/>
  <c r="J58"/>
  <c r="H62" l="1"/>
  <c r="I62" s="1"/>
  <c r="K9" i="11"/>
  <c r="L9" s="1"/>
</calcChain>
</file>

<file path=xl/sharedStrings.xml><?xml version="1.0" encoding="utf-8"?>
<sst xmlns="http://schemas.openxmlformats.org/spreadsheetml/2006/main" count="588" uniqueCount="76">
  <si>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</si>
  <si>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</si>
  <si>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</si>
  <si>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</si>
  <si>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</si>
  <si>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</si>
  <si>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</si>
  <si>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</si>
  <si>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</si>
  <si>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</si>
  <si>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</si>
  <si>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</si>
  <si>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</si>
  <si>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</si>
  <si>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</si>
  <si>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</si>
  <si>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</si>
  <si>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</si>
  <si>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</si>
  <si>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</si>
  <si>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</si>
  <si>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</si>
  <si>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</si>
  <si>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</si>
  <si>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</si>
  <si>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</si>
  <si>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</si>
  <si>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</si>
  <si>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</si>
  <si>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</si>
  <si>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</si>
  <si>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</si>
  <si>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</si>
  <si>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</si>
  <si>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</si>
  <si>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</si>
  <si>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</si>
  <si>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</si>
  <si>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</si>
  <si>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</si>
  <si>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</si>
  <si>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</si>
  <si>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</si>
  <si>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</si>
  <si>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</si>
  <si>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Special Purpose Charge</t>
  </si>
  <si>
    <t>GST / HST</t>
  </si>
  <si>
    <t>Algoma Power Inc.</t>
  </si>
  <si>
    <t>Residential Customers with an Interval Meter</t>
  </si>
  <si>
    <t>Current Approved Rates</t>
  </si>
  <si>
    <t>Rate Rider for Deferral/Variance Account Disposition - effective until May 31, 2013</t>
  </si>
  <si>
    <t>Rate Rider for Deferral/Variance Account Disposition - effective until November 30, 2015</t>
  </si>
  <si>
    <t>Rate Rider for Tax Changes - effective until December 31, 2012</t>
  </si>
  <si>
    <t>Customer Class</t>
  </si>
  <si>
    <t>Usage Profile</t>
  </si>
  <si>
    <t>Delivery Charges</t>
  </si>
  <si>
    <t>Current</t>
  </si>
  <si>
    <t>Proposed</t>
  </si>
  <si>
    <t>% Chg.</t>
  </si>
  <si>
    <t>Residential R1</t>
  </si>
  <si>
    <t>Residential R2</t>
  </si>
  <si>
    <t>Electricty Distribution Rate Proposal</t>
  </si>
  <si>
    <t>OCEB Credit</t>
  </si>
  <si>
    <t>Balance after OCEB Credit has been applied</t>
  </si>
  <si>
    <t>Rate Rider for Foregone Revenue Recovery - effective until December 31, 2012</t>
  </si>
  <si>
    <t>EB-2012-0104</t>
  </si>
  <si>
    <t>Proposed January 1, 2013</t>
  </si>
  <si>
    <t>Rate Rider for Deferral/Variance Account Disposition (2012) - effective until December 31, 2013</t>
  </si>
  <si>
    <t>Rate Rider for Global Adjustment Sub-Account Disposition (2012) - effective until December 31, 2013</t>
  </si>
  <si>
    <t>Rate Rider for PILs - effective until December 31, 2013</t>
  </si>
  <si>
    <t>Rate Impacts Summary Arising from the Rate Design Proposal</t>
  </si>
  <si>
    <t>Smart Meter Cost Recovery Rate Rider - Net Deferred Revenue Requirement, effective until December 31, 2013</t>
  </si>
  <si>
    <t>Smart Meter Cost Recovery Rate Rider - Incremental Revenue Requirement, effective until December 31, 2013</t>
  </si>
  <si>
    <t>October 22, 2012</t>
  </si>
  <si>
    <t>2013 Distribution Rate Impact Module</t>
  </si>
  <si>
    <t>2013 IR</t>
  </si>
</sst>
</file>

<file path=xl/styles.xml><?xml version="1.0" encoding="utf-8"?>
<styleSheet xmlns="http://schemas.openxmlformats.org/spreadsheetml/2006/main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_);_(* \(#,##0.0000\);_(* &quot;-&quot;??_);_(@_)"/>
    <numFmt numFmtId="167" formatCode="0.0%"/>
    <numFmt numFmtId="168" formatCode="0.0000"/>
    <numFmt numFmtId="169" formatCode="_(* #,##0_);_(* \(#,##0\);_(* &quot;-&quot;??_);_(@_)"/>
    <numFmt numFmtId="170" formatCode="0.0"/>
    <numFmt numFmtId="171" formatCode="_(* #,##0.0000000_);_(* \(#,##0.0000000\);_(* &quot;-&quot;??_);_(@_)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5" fontId="0" fillId="0" borderId="0" xfId="1" applyFont="1"/>
    <xf numFmtId="166" fontId="0" fillId="0" borderId="0" xfId="1" applyNumberFormat="1" applyFont="1"/>
    <xf numFmtId="167" fontId="0" fillId="0" borderId="0" xfId="3" applyNumberFormat="1" applyFont="1"/>
    <xf numFmtId="165" fontId="0" fillId="0" borderId="0" xfId="0" applyNumberFormat="1"/>
    <xf numFmtId="167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165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5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165" fontId="5" fillId="0" borderId="11" xfId="0" applyNumberFormat="1" applyFont="1" applyBorder="1"/>
    <xf numFmtId="165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165" fontId="5" fillId="0" borderId="14" xfId="0" applyNumberFormat="1" applyFont="1" applyBorder="1"/>
    <xf numFmtId="165" fontId="5" fillId="0" borderId="15" xfId="0" applyNumberFormat="1" applyFont="1" applyBorder="1"/>
    <xf numFmtId="166" fontId="5" fillId="0" borderId="14" xfId="0" applyNumberFormat="1" applyFont="1" applyBorder="1"/>
    <xf numFmtId="166" fontId="5" fillId="0" borderId="15" xfId="0" applyNumberFormat="1" applyFont="1" applyBorder="1"/>
    <xf numFmtId="0" fontId="3" fillId="0" borderId="5" xfId="0" applyFont="1" applyBorder="1"/>
    <xf numFmtId="169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8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8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7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70" fontId="5" fillId="0" borderId="17" xfId="0" applyNumberFormat="1" applyFont="1" applyBorder="1" applyAlignment="1">
      <alignment horizontal="center"/>
    </xf>
    <xf numFmtId="170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71" fontId="0" fillId="0" borderId="0" xfId="1" applyNumberFormat="1" applyFont="1"/>
    <xf numFmtId="16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166" fontId="0" fillId="0" borderId="0" xfId="1" applyNumberFormat="1" applyFont="1" applyFill="1"/>
    <xf numFmtId="0" fontId="1" fillId="0" borderId="0" xfId="0" applyFont="1"/>
    <xf numFmtId="0" fontId="0" fillId="0" borderId="16" xfId="0" applyBorder="1" applyAlignment="1">
      <alignment horizontal="center"/>
    </xf>
    <xf numFmtId="169" fontId="0" fillId="0" borderId="16" xfId="1" applyNumberFormat="1" applyFont="1" applyBorder="1"/>
    <xf numFmtId="165" fontId="0" fillId="0" borderId="16" xfId="1" applyFont="1" applyBorder="1"/>
    <xf numFmtId="167" fontId="0" fillId="0" borderId="16" xfId="3" applyNumberFormat="1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/>
    <xf numFmtId="167" fontId="0" fillId="0" borderId="24" xfId="3" applyNumberFormat="1" applyFont="1" applyBorder="1"/>
    <xf numFmtId="0" fontId="0" fillId="0" borderId="36" xfId="0" applyBorder="1"/>
    <xf numFmtId="169" fontId="0" fillId="0" borderId="19" xfId="1" applyNumberFormat="1" applyFont="1" applyBorder="1"/>
    <xf numFmtId="165" fontId="0" fillId="0" borderId="19" xfId="1" applyFont="1" applyBorder="1"/>
    <xf numFmtId="167" fontId="0" fillId="0" borderId="19" xfId="3" applyNumberFormat="1" applyFont="1" applyBorder="1"/>
    <xf numFmtId="167" fontId="0" fillId="0" borderId="20" xfId="3" applyNumberFormat="1" applyFont="1" applyBorder="1"/>
    <xf numFmtId="0" fontId="0" fillId="0" borderId="28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9" fontId="11" fillId="5" borderId="16" xfId="1" applyNumberFormat="1" applyFont="1" applyFill="1" applyBorder="1"/>
    <xf numFmtId="169" fontId="11" fillId="5" borderId="19" xfId="1" applyNumberFormat="1" applyFont="1" applyFill="1" applyBorder="1"/>
    <xf numFmtId="167" fontId="11" fillId="5" borderId="16" xfId="3" applyNumberFormat="1" applyFont="1" applyFill="1" applyBorder="1"/>
    <xf numFmtId="167" fontId="11" fillId="5" borderId="19" xfId="3" applyNumberFormat="1" applyFont="1" applyFill="1" applyBorder="1"/>
    <xf numFmtId="0" fontId="5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6" fillId="0" borderId="4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41" xfId="0" applyFont="1" applyBorder="1"/>
    <xf numFmtId="0" fontId="6" fillId="6" borderId="1" xfId="0" applyFont="1" applyFill="1" applyBorder="1"/>
    <xf numFmtId="0" fontId="6" fillId="6" borderId="42" xfId="0" applyFont="1" applyFill="1" applyBorder="1" applyAlignment="1">
      <alignment horizontal="center"/>
    </xf>
    <xf numFmtId="0" fontId="6" fillId="6" borderId="42" xfId="0" applyFont="1" applyFill="1" applyBorder="1"/>
    <xf numFmtId="164" fontId="6" fillId="6" borderId="42" xfId="0" applyNumberFormat="1" applyFont="1" applyFill="1" applyBorder="1"/>
    <xf numFmtId="0" fontId="6" fillId="6" borderId="2" xfId="0" applyFont="1" applyFill="1" applyBorder="1"/>
    <xf numFmtId="164" fontId="6" fillId="6" borderId="42" xfId="0" applyNumberFormat="1" applyFont="1" applyFill="1" applyBorder="1" applyAlignment="1">
      <alignment horizontal="center"/>
    </xf>
    <xf numFmtId="10" fontId="6" fillId="6" borderId="42" xfId="3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8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8"/>
  <sheetViews>
    <sheetView view="pageLayout" zoomScaleNormal="100" workbookViewId="0">
      <selection activeCell="I7" sqref="I7"/>
    </sheetView>
  </sheetViews>
  <sheetFormatPr defaultRowHeight="12.75"/>
  <cols>
    <col min="1" max="1" width="5" customWidth="1"/>
    <col min="9" max="9" width="47" customWidth="1"/>
  </cols>
  <sheetData>
    <row r="20" spans="2:9" ht="33.75">
      <c r="B20" s="147" t="s">
        <v>47</v>
      </c>
      <c r="C20" s="147"/>
      <c r="D20" s="147"/>
      <c r="E20" s="147"/>
      <c r="F20" s="147"/>
      <c r="G20" s="147"/>
      <c r="H20" s="147"/>
      <c r="I20" s="147"/>
    </row>
    <row r="21" spans="2:9" ht="33.75">
      <c r="B21" s="147" t="s">
        <v>74</v>
      </c>
      <c r="C21" s="147"/>
      <c r="D21" s="147"/>
      <c r="E21" s="147"/>
      <c r="F21" s="147"/>
      <c r="G21" s="147"/>
      <c r="H21" s="147"/>
      <c r="I21" s="147"/>
    </row>
    <row r="22" spans="2:9" ht="33.75">
      <c r="B22" s="147" t="s">
        <v>75</v>
      </c>
      <c r="C22" s="147"/>
      <c r="D22" s="147"/>
      <c r="E22" s="147"/>
      <c r="F22" s="147"/>
      <c r="G22" s="147"/>
      <c r="H22" s="147"/>
      <c r="I22" s="147"/>
    </row>
    <row r="23" spans="2:9" ht="33.75">
      <c r="B23" s="147" t="s">
        <v>61</v>
      </c>
      <c r="C23" s="147"/>
      <c r="D23" s="147"/>
      <c r="E23" s="147"/>
      <c r="F23" s="147"/>
      <c r="G23" s="147"/>
      <c r="H23" s="147"/>
      <c r="I23" s="147"/>
    </row>
    <row r="24" spans="2:9" ht="33.75">
      <c r="B24" s="147" t="s">
        <v>65</v>
      </c>
      <c r="C24" s="147"/>
      <c r="D24" s="147"/>
      <c r="E24" s="147"/>
      <c r="F24" s="147"/>
      <c r="G24" s="147"/>
      <c r="H24" s="147"/>
      <c r="I24" s="147"/>
    </row>
    <row r="25" spans="2:9" ht="33.75">
      <c r="B25" s="148"/>
      <c r="C25" s="148"/>
      <c r="D25" s="148"/>
      <c r="E25" s="148"/>
      <c r="F25" s="148"/>
      <c r="G25" s="148"/>
      <c r="H25" s="148"/>
      <c r="I25" s="148"/>
    </row>
    <row r="26" spans="2:9" ht="33.75">
      <c r="B26" s="148" t="s">
        <v>73</v>
      </c>
      <c r="C26" s="148"/>
      <c r="D26" s="148"/>
      <c r="E26" s="148"/>
      <c r="F26" s="148"/>
      <c r="G26" s="148"/>
      <c r="H26" s="148"/>
      <c r="I26" s="148"/>
    </row>
    <row r="27" spans="2:9" ht="33.75">
      <c r="B27" s="147"/>
      <c r="C27" s="148"/>
      <c r="D27" s="148"/>
      <c r="E27" s="148"/>
      <c r="F27" s="148"/>
      <c r="G27" s="148"/>
      <c r="H27" s="148"/>
      <c r="I27" s="148"/>
    </row>
    <row r="28" spans="2:9" ht="33.75">
      <c r="B28" s="147"/>
      <c r="C28" s="148"/>
      <c r="D28" s="148"/>
      <c r="E28" s="148"/>
      <c r="F28" s="148"/>
      <c r="G28" s="148"/>
      <c r="H28" s="148"/>
      <c r="I28" s="148"/>
    </row>
  </sheetData>
  <mergeCells count="9">
    <mergeCell ref="B28:I28"/>
    <mergeCell ref="B27:I27"/>
    <mergeCell ref="B26:I26"/>
    <mergeCell ref="B25:I25"/>
    <mergeCell ref="B20:I20"/>
    <mergeCell ref="B21:I21"/>
    <mergeCell ref="B22:I22"/>
    <mergeCell ref="B24:I24"/>
    <mergeCell ref="B23:I23"/>
  </mergeCells>
  <phoneticPr fontId="2" type="noConversion"/>
  <pageMargins left="0.75" right="0.75" top="1" bottom="1" header="0.5" footer="0.5"/>
  <pageSetup scale="78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5"/>
  <sheetViews>
    <sheetView view="pageBreakPreview" zoomScale="60" zoomScaleNormal="100" workbookViewId="0">
      <selection activeCell="G4" sqref="G4"/>
    </sheetView>
  </sheetViews>
  <sheetFormatPr defaultRowHeight="1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>
      <c r="A2" s="107" t="s">
        <v>48</v>
      </c>
    </row>
    <row r="3" spans="1:4" ht="36.75" thickBot="1">
      <c r="A3" s="14" t="str">
        <f>Rates!A21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Rates!A22</f>
        <v>Monthly Service Charge</v>
      </c>
      <c r="B4" s="24" t="str">
        <f>Rates!B22</f>
        <v>$</v>
      </c>
      <c r="C4" s="25">
        <f>Rates!D22</f>
        <v>596.12</v>
      </c>
      <c r="D4" s="26">
        <f>Rates!F22</f>
        <v>596.12</v>
      </c>
    </row>
    <row r="5" spans="1:4">
      <c r="A5" s="27" t="str">
        <f>Rates!A23</f>
        <v>Smart Meter Rate Adder</v>
      </c>
      <c r="B5" s="28" t="str">
        <f>Rates!B23</f>
        <v>$</v>
      </c>
      <c r="C5" s="29">
        <f>Rates!D23</f>
        <v>1</v>
      </c>
      <c r="D5" s="30">
        <f>Rates!F23</f>
        <v>0</v>
      </c>
    </row>
    <row r="6" spans="1:4">
      <c r="A6" s="27" t="str">
        <f>Rates!A24</f>
        <v>Distribution Volumetric Rate</v>
      </c>
      <c r="B6" s="28" t="str">
        <f>Rates!B24</f>
        <v>$/kW</v>
      </c>
      <c r="C6" s="31">
        <f>Rates!D24</f>
        <v>2.7086000000000001</v>
      </c>
      <c r="D6" s="32">
        <f>Rates!F24</f>
        <v>2.8481999999999998</v>
      </c>
    </row>
    <row r="7" spans="1:4">
      <c r="A7" s="27" t="str">
        <f>Rates!A25</f>
        <v>Rate Rider for Foregone Revenue Recovery - effective until December 31, 2012</v>
      </c>
      <c r="B7" s="28" t="str">
        <f>Rates!B25</f>
        <v>$/kW</v>
      </c>
      <c r="C7" s="31">
        <f>Rates!D25</f>
        <v>2.7199999999999998E-2</v>
      </c>
      <c r="D7" s="32">
        <f>Rates!F25</f>
        <v>0</v>
      </c>
    </row>
    <row r="8" spans="1:4">
      <c r="A8" s="27" t="str">
        <f>Rates!A26</f>
        <v>Rate Rider for Deferral/Variance Account Disposition - effective until May 31, 2013</v>
      </c>
      <c r="B8" s="28" t="str">
        <f>Rates!B26</f>
        <v>$/kW</v>
      </c>
      <c r="C8" s="31">
        <f>Rates!D26</f>
        <v>2.2664</v>
      </c>
      <c r="D8" s="32">
        <f>Rates!F26</f>
        <v>2.2664</v>
      </c>
    </row>
    <row r="9" spans="1:4">
      <c r="A9" s="27" t="str">
        <f>Rates!A27</f>
        <v>Rate Rider for Deferral/Variance Account Disposition - effective until May 31, 2013</v>
      </c>
      <c r="B9" s="28" t="str">
        <f>Rates!B27</f>
        <v>$/kW</v>
      </c>
      <c r="C9" s="31">
        <f>Rates!D27</f>
        <v>-2.8218999999999999</v>
      </c>
      <c r="D9" s="32">
        <f>Rates!F27</f>
        <v>-2.8218999999999999</v>
      </c>
    </row>
    <row r="10" spans="1:4">
      <c r="A10" s="27" t="str">
        <f>Rates!A28</f>
        <v>Rate Rider for Deferral/Variance Account Disposition (2012) - effective until December 31, 2013</v>
      </c>
      <c r="B10" s="28" t="str">
        <f>Rates!B28</f>
        <v>$/kW</v>
      </c>
      <c r="C10" s="31">
        <f>Rates!D28</f>
        <v>0</v>
      </c>
      <c r="D10" s="32">
        <f>Rates!F28</f>
        <v>0.1096</v>
      </c>
    </row>
    <row r="11" spans="1:4">
      <c r="A11" s="27" t="str">
        <f>Rates!A29</f>
        <v>Rate Rider for Global Adjustment Sub-Account Disposition (2012) - effective until December 31, 2013</v>
      </c>
      <c r="B11" s="28" t="str">
        <f>Rates!B29</f>
        <v>$/kW</v>
      </c>
      <c r="C11" s="31">
        <f>Rates!D29</f>
        <v>0</v>
      </c>
      <c r="D11" s="32">
        <f>Rates!F29</f>
        <v>0.46450000000000002</v>
      </c>
    </row>
    <row r="12" spans="1:4">
      <c r="A12" s="27" t="str">
        <f>Rates!A30</f>
        <v>Rate Rider for PILs - effective until December 31, 2013</v>
      </c>
      <c r="B12" s="28" t="str">
        <f>Rates!B30</f>
        <v>$/kW</v>
      </c>
      <c r="C12" s="31">
        <f>Rates!D30</f>
        <v>0</v>
      </c>
      <c r="D12" s="32">
        <f>Rates!F30</f>
        <v>0</v>
      </c>
    </row>
    <row r="13" spans="1:4">
      <c r="A13" s="27" t="str">
        <f>Rates!A31</f>
        <v>Rate Rider for Tax Changes - effective until December 31, 2012</v>
      </c>
      <c r="B13" s="28" t="str">
        <f>Rates!B31</f>
        <v>$/kW</v>
      </c>
      <c r="C13" s="31">
        <f>Rates!D31</f>
        <v>-2.7300000000000001E-2</v>
      </c>
      <c r="D13" s="32">
        <f>Rates!F31</f>
        <v>-0.02</v>
      </c>
    </row>
    <row r="14" spans="1:4">
      <c r="A14" s="27" t="str">
        <f>Rates!A32</f>
        <v>Retail Transmission Rate - Network Service Rate</v>
      </c>
      <c r="B14" s="28" t="str">
        <f>Rates!B32</f>
        <v>$/kW</v>
      </c>
      <c r="C14" s="31">
        <f>Rates!D32</f>
        <v>2.6396000000000002</v>
      </c>
      <c r="D14" s="32">
        <f>Rates!F32</f>
        <v>2.5209000000000001</v>
      </c>
    </row>
    <row r="15" spans="1:4">
      <c r="A15" s="27" t="str">
        <f>Rates!A33</f>
        <v>Retail Transmission Rate - Line and Transformation Connection Service Rate</v>
      </c>
      <c r="B15" s="28" t="str">
        <f>Rates!B33</f>
        <v>$/kW</v>
      </c>
      <c r="C15" s="31">
        <f>Rates!D33</f>
        <v>1.8099000000000001</v>
      </c>
      <c r="D15" s="32">
        <f>Rates!F33</f>
        <v>1.7696000000000001</v>
      </c>
    </row>
    <row r="16" spans="1:4">
      <c r="A16" s="19" t="str">
        <f>Rates!A34</f>
        <v>Retail Transmission Rate - Network Service Rate - Interval Meter &gt; 1,000 kW</v>
      </c>
      <c r="B16" s="20" t="str">
        <f>Rates!B34</f>
        <v>$/kW</v>
      </c>
      <c r="C16" s="21">
        <f>Rates!D34</f>
        <v>2.8001</v>
      </c>
      <c r="D16" s="22">
        <f>Rates!F34</f>
        <v>2.6741999999999999</v>
      </c>
    </row>
    <row r="17" spans="1:10">
      <c r="A17" s="19" t="str">
        <f>Rates!A35</f>
        <v>Retail Transmission Rate - Line and Transformation Connection Service Rate - Interval &gt; 1,000 kW</v>
      </c>
      <c r="B17" s="20" t="str">
        <f>Rates!B35</f>
        <v>$/kW</v>
      </c>
      <c r="C17" s="21">
        <f>Rates!D35</f>
        <v>2.0003000000000002</v>
      </c>
      <c r="D17" s="22">
        <f>Rates!F35</f>
        <v>1.9558</v>
      </c>
    </row>
    <row r="18" spans="1:10">
      <c r="A18" s="19" t="str">
        <f>Rates!A36</f>
        <v>Wholesale Market Service Rate</v>
      </c>
      <c r="B18" s="20" t="str">
        <f>Rates!B36</f>
        <v>$/kWh</v>
      </c>
      <c r="C18" s="21">
        <f>Rates!D36</f>
        <v>5.1999999999999998E-3</v>
      </c>
      <c r="D18" s="22">
        <f>Rates!F36</f>
        <v>5.1999999999999998E-3</v>
      </c>
    </row>
    <row r="19" spans="1:10">
      <c r="A19" s="19" t="str">
        <f>Rates!A37</f>
        <v>Rural Rate Protection Charge</v>
      </c>
      <c r="B19" s="20" t="str">
        <f>Rates!B37</f>
        <v>$/kWh</v>
      </c>
      <c r="C19" s="21">
        <f>Rates!D37</f>
        <v>1.1000000000000001E-3</v>
      </c>
      <c r="D19" s="22">
        <f>Rates!F37</f>
        <v>1.1000000000000001E-3</v>
      </c>
    </row>
    <row r="20" spans="1:10">
      <c r="A20" s="27" t="str">
        <f>Rates!A38</f>
        <v>Special Purpose Charge</v>
      </c>
      <c r="B20" s="28" t="str">
        <f>Rates!B38</f>
        <v>$/kWh</v>
      </c>
      <c r="C20" s="31">
        <f>Rates!D38</f>
        <v>0</v>
      </c>
      <c r="D20" s="32">
        <f>Rates!F38</f>
        <v>0</v>
      </c>
    </row>
    <row r="21" spans="1:10" ht="12.75" thickBot="1">
      <c r="A21" s="12" t="str">
        <f>Rates!A39</f>
        <v>Standard Supply Service - Administarive Charge (if applicable)</v>
      </c>
      <c r="B21" s="17" t="str">
        <f>Rates!B39</f>
        <v>$</v>
      </c>
      <c r="C21" s="18">
        <f>Rates!D39</f>
        <v>0.25</v>
      </c>
      <c r="D21" s="13">
        <f>Rates!F39</f>
        <v>0.25</v>
      </c>
    </row>
    <row r="23" spans="1:10" ht="12.75" thickBot="1"/>
    <row r="24" spans="1:10" ht="13.5" thickBot="1">
      <c r="A24" s="33" t="s">
        <v>26</v>
      </c>
      <c r="B24" s="34">
        <v>1100000</v>
      </c>
      <c r="C24" s="35" t="s">
        <v>27</v>
      </c>
      <c r="D24" s="36">
        <v>2500</v>
      </c>
      <c r="E24" s="35" t="s">
        <v>28</v>
      </c>
      <c r="G24" s="37" t="s">
        <v>23</v>
      </c>
      <c r="H24" s="53">
        <f>Rates!F87</f>
        <v>1.0864</v>
      </c>
    </row>
    <row r="25" spans="1:10" ht="13.5" thickBot="1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0.60307017543859653</v>
      </c>
    </row>
    <row r="26" spans="1:10" ht="12.75" thickBot="1"/>
    <row r="27" spans="1:10" ht="12.75" customHeight="1">
      <c r="A27" s="149" t="str">
        <f>A3</f>
        <v>Residential - R2</v>
      </c>
      <c r="B27" s="151" t="s">
        <v>31</v>
      </c>
      <c r="C27" s="146" t="s">
        <v>37</v>
      </c>
      <c r="D27" s="146" t="s">
        <v>38</v>
      </c>
      <c r="E27" s="151" t="s">
        <v>31</v>
      </c>
      <c r="F27" s="146" t="s">
        <v>37</v>
      </c>
      <c r="G27" s="146" t="s">
        <v>38</v>
      </c>
      <c r="H27" s="153" t="s">
        <v>44</v>
      </c>
      <c r="I27" s="153"/>
      <c r="J27" s="154"/>
    </row>
    <row r="28" spans="1:10" ht="12.75" thickBot="1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>
      <c r="A29" s="54" t="s">
        <v>35</v>
      </c>
      <c r="B29" s="55">
        <f>IF(B24*Rates!D87&gt;B25,B25,B24*Rates!D87)</f>
        <v>750</v>
      </c>
      <c r="C29" s="56">
        <f>Rates!D82</f>
        <v>7.4999999999999997E-2</v>
      </c>
      <c r="D29" s="57">
        <f>B29*C29</f>
        <v>56.25</v>
      </c>
      <c r="E29" s="55">
        <f>IF(B24*H24&gt;B25,B25,B24*H24)</f>
        <v>750</v>
      </c>
      <c r="F29" s="56">
        <f>Rates!F82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3.6826517058667678E-4</v>
      </c>
    </row>
    <row r="30" spans="1:10" ht="12.75" thickBot="1">
      <c r="A30" s="63" t="s">
        <v>36</v>
      </c>
      <c r="B30" s="64">
        <f>IF(B24*Rates!D87&gt;=B25,B24*Rates!D87-B25,0)</f>
        <v>1194290</v>
      </c>
      <c r="C30" s="65">
        <f>Rates!D83</f>
        <v>8.7999999999999995E-2</v>
      </c>
      <c r="D30" s="66">
        <f>B30*C30</f>
        <v>105097.51999999999</v>
      </c>
      <c r="E30" s="64">
        <f>IF(B24*H24&gt;=B25,B24*H24-B25,0)</f>
        <v>1194290</v>
      </c>
      <c r="F30" s="65">
        <f>Rates!F83</f>
        <v>8.7999999999999995E-2</v>
      </c>
      <c r="G30" s="66">
        <f>E30*F30</f>
        <v>105097.51999999999</v>
      </c>
      <c r="H30" s="66">
        <f t="shared" si="0"/>
        <v>0</v>
      </c>
      <c r="I30" s="67">
        <f>IF(ISERROR(H30/D30),0,H30/D30)</f>
        <v>0</v>
      </c>
      <c r="J30" s="68">
        <f t="shared" si="1"/>
        <v>0.68806677566287411</v>
      </c>
    </row>
    <row r="31" spans="1:10" ht="12.75" thickBot="1">
      <c r="A31" s="73" t="s">
        <v>39</v>
      </c>
      <c r="B31" s="74"/>
      <c r="C31" s="75"/>
      <c r="D31" s="76">
        <f>SUM(D29:D30)</f>
        <v>105153.76999999999</v>
      </c>
      <c r="E31" s="75"/>
      <c r="F31" s="75"/>
      <c r="G31" s="76">
        <f>SUM(G29:G30)</f>
        <v>105153.76999999999</v>
      </c>
      <c r="H31" s="76">
        <f t="shared" si="0"/>
        <v>0</v>
      </c>
      <c r="I31" s="77">
        <f>IF(ISERROR(H31/D31),0,H31/D31)</f>
        <v>0</v>
      </c>
      <c r="J31" s="78">
        <f t="shared" si="1"/>
        <v>0.68843504083346085</v>
      </c>
    </row>
    <row r="32" spans="1:10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3.9027597064911958E-3</v>
      </c>
    </row>
    <row r="33" spans="1:10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>
      <c r="A34" s="61" t="str">
        <f t="shared" si="2"/>
        <v>Distribution Volumetric Rate</v>
      </c>
      <c r="B34" s="43">
        <f>D24</f>
        <v>2500</v>
      </c>
      <c r="C34" s="40">
        <f t="shared" si="3"/>
        <v>2.7086000000000001</v>
      </c>
      <c r="D34" s="41">
        <f t="shared" si="4"/>
        <v>6771.5</v>
      </c>
      <c r="E34" s="43">
        <f>D24</f>
        <v>2500</v>
      </c>
      <c r="F34" s="40">
        <f t="shared" si="5"/>
        <v>2.8481999999999998</v>
      </c>
      <c r="G34" s="41">
        <f t="shared" si="6"/>
        <v>7120.5</v>
      </c>
      <c r="H34" s="41">
        <f t="shared" si="0"/>
        <v>349</v>
      </c>
      <c r="I34" s="42">
        <f t="shared" ref="I34:I55" si="7">IF(ISERROR(H34/D34),0,H34/D34)</f>
        <v>5.1539540722144284E-2</v>
      </c>
      <c r="J34" s="62">
        <f t="shared" si="1"/>
        <v>4.6617460393998791E-2</v>
      </c>
    </row>
    <row r="35" spans="1:10">
      <c r="A35" s="61" t="str">
        <f t="shared" si="2"/>
        <v>Rate Rider for Foregone Revenue Recovery - effective until December 31, 2012</v>
      </c>
      <c r="B35" s="43">
        <f>D24</f>
        <v>2500</v>
      </c>
      <c r="C35" s="40">
        <f t="shared" si="3"/>
        <v>2.7199999999999998E-2</v>
      </c>
      <c r="D35" s="41">
        <f t="shared" si="4"/>
        <v>68</v>
      </c>
      <c r="E35" s="43">
        <f>D24</f>
        <v>2500</v>
      </c>
      <c r="F35" s="40">
        <f t="shared" si="5"/>
        <v>0</v>
      </c>
      <c r="G35" s="41">
        <f>E35*F35</f>
        <v>0</v>
      </c>
      <c r="H35" s="41">
        <f>G35-D35</f>
        <v>-68</v>
      </c>
      <c r="I35" s="42">
        <f>IF(ISERROR(H35/D35),0,H35/D35)</f>
        <v>-1</v>
      </c>
      <c r="J35" s="62">
        <f t="shared" si="1"/>
        <v>0</v>
      </c>
    </row>
    <row r="36" spans="1:10">
      <c r="A36" s="61" t="str">
        <f t="shared" si="2"/>
        <v>Rate Rider for Deferral/Variance Account Disposition - effective until May 31, 2013</v>
      </c>
      <c r="B36" s="43">
        <f>D24</f>
        <v>2500</v>
      </c>
      <c r="C36" s="40">
        <f t="shared" si="3"/>
        <v>2.2664</v>
      </c>
      <c r="D36" s="41">
        <f t="shared" si="4"/>
        <v>5666</v>
      </c>
      <c r="E36" s="43">
        <f>D24</f>
        <v>2500</v>
      </c>
      <c r="F36" s="40">
        <f t="shared" si="5"/>
        <v>2.2664</v>
      </c>
      <c r="G36" s="41">
        <f t="shared" si="6"/>
        <v>5666</v>
      </c>
      <c r="H36" s="41">
        <f t="shared" si="0"/>
        <v>0</v>
      </c>
      <c r="I36" s="42">
        <f t="shared" si="7"/>
        <v>0</v>
      </c>
      <c r="J36" s="62">
        <f t="shared" si="1"/>
        <v>3.7094941449673076E-2</v>
      </c>
    </row>
    <row r="37" spans="1:10">
      <c r="A37" s="61" t="str">
        <f t="shared" si="2"/>
        <v>Rate Rider for Deferral/Variance Account Disposition - effective until May 31, 2013</v>
      </c>
      <c r="B37" s="43">
        <f>D24</f>
        <v>2500</v>
      </c>
      <c r="C37" s="40">
        <f t="shared" si="3"/>
        <v>-2.8218999999999999</v>
      </c>
      <c r="D37" s="41">
        <f t="shared" si="4"/>
        <v>-7054.75</v>
      </c>
      <c r="E37" s="43">
        <f>D24</f>
        <v>2500</v>
      </c>
      <c r="F37" s="40">
        <f t="shared" si="5"/>
        <v>-2.8218999999999999</v>
      </c>
      <c r="G37" s="41">
        <f>E37*F37</f>
        <v>-7054.75</v>
      </c>
      <c r="H37" s="41">
        <f>G37-D37</f>
        <v>0</v>
      </c>
      <c r="I37" s="42">
        <f>IF(ISERROR(H37/D37),0,H37/D37)</f>
        <v>0</v>
      </c>
      <c r="J37" s="62">
        <f t="shared" si="1"/>
        <v>-4.6186999327935255E-2</v>
      </c>
    </row>
    <row r="38" spans="1:10">
      <c r="A38" s="61" t="str">
        <f>A10</f>
        <v>Rate Rider for Deferral/Variance Account Disposition (2012) - effective until December 31, 2013</v>
      </c>
      <c r="B38" s="43">
        <f>D24</f>
        <v>2500</v>
      </c>
      <c r="C38" s="40">
        <f>C10</f>
        <v>0</v>
      </c>
      <c r="D38" s="41">
        <f t="shared" si="4"/>
        <v>0</v>
      </c>
      <c r="E38" s="43">
        <f>D24</f>
        <v>2500</v>
      </c>
      <c r="F38" s="40">
        <f>D10</f>
        <v>0.1096</v>
      </c>
      <c r="G38" s="41">
        <f>E38*F38</f>
        <v>274</v>
      </c>
      <c r="H38" s="41">
        <f>G38-D38</f>
        <v>274</v>
      </c>
      <c r="I38" s="42">
        <f>IF(ISERROR(H38/D38),0,H38/D38)</f>
        <v>0</v>
      </c>
      <c r="J38" s="62">
        <f t="shared" si="1"/>
        <v>1.7938605642799899E-3</v>
      </c>
    </row>
    <row r="39" spans="1:10">
      <c r="A39" s="61" t="str">
        <f>A11</f>
        <v>Rate Rider for Global Adjustment Sub-Account Disposition (2012) - effective until December 31, 2013</v>
      </c>
      <c r="B39" s="43">
        <f>D24</f>
        <v>2500</v>
      </c>
      <c r="C39" s="40">
        <f>C11</f>
        <v>0</v>
      </c>
      <c r="D39" s="41">
        <f t="shared" si="4"/>
        <v>0</v>
      </c>
      <c r="E39" s="43">
        <f>D24</f>
        <v>2500</v>
      </c>
      <c r="F39" s="40">
        <f>D11</f>
        <v>0.46450000000000002</v>
      </c>
      <c r="G39" s="41">
        <f>E39*F39</f>
        <v>1161.25</v>
      </c>
      <c r="H39" s="41">
        <f>G39-D39</f>
        <v>1161.25</v>
      </c>
      <c r="I39" s="42">
        <f>IF(ISERROR(H39/D39),0,H39/D39)</f>
        <v>0</v>
      </c>
      <c r="J39" s="62">
        <f t="shared" si="1"/>
        <v>7.6026298550005049E-3</v>
      </c>
    </row>
    <row r="40" spans="1:10">
      <c r="A40" s="61" t="str">
        <f>A12</f>
        <v>Rate Rider for PILs - effective until December 31, 2013</v>
      </c>
      <c r="B40" s="43">
        <f>D24</f>
        <v>2500</v>
      </c>
      <c r="C40" s="40">
        <f>C12</f>
        <v>0</v>
      </c>
      <c r="D40" s="41">
        <f t="shared" si="4"/>
        <v>0</v>
      </c>
      <c r="E40" s="43">
        <f>D24</f>
        <v>2500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>
      <c r="A41" s="61" t="str">
        <f t="shared" ref="A41" si="8">A13</f>
        <v>Rate Rider for Tax Changes - effective until December 31, 2012</v>
      </c>
      <c r="B41" s="43">
        <f>D24</f>
        <v>2500</v>
      </c>
      <c r="C41" s="40">
        <f t="shared" ref="C41" si="9">C13</f>
        <v>-2.7300000000000001E-2</v>
      </c>
      <c r="D41" s="41">
        <f t="shared" si="4"/>
        <v>-68.25</v>
      </c>
      <c r="E41" s="43">
        <f>D24</f>
        <v>2500</v>
      </c>
      <c r="F41" s="40">
        <f t="shared" ref="F41" si="10">D13</f>
        <v>-0.02</v>
      </c>
      <c r="G41" s="41">
        <f t="shared" si="6"/>
        <v>-50</v>
      </c>
      <c r="H41" s="41">
        <f t="shared" si="0"/>
        <v>18.25</v>
      </c>
      <c r="I41" s="42">
        <f t="shared" si="7"/>
        <v>-0.26739926739926739</v>
      </c>
      <c r="J41" s="62">
        <f t="shared" si="1"/>
        <v>-3.2734681829926825E-4</v>
      </c>
    </row>
    <row r="42" spans="1:10" ht="12.75" thickBot="1">
      <c r="A42" s="73" t="s">
        <v>40</v>
      </c>
      <c r="B42" s="74"/>
      <c r="C42" s="75"/>
      <c r="D42" s="80">
        <f>SUM(D32:D41)</f>
        <v>5979.619999999999</v>
      </c>
      <c r="E42" s="75"/>
      <c r="F42" s="75"/>
      <c r="G42" s="76">
        <f>SUM(G32:G41)</f>
        <v>7713.119999999999</v>
      </c>
      <c r="H42" s="76">
        <f t="shared" si="0"/>
        <v>1733.5</v>
      </c>
      <c r="I42" s="77">
        <f t="shared" si="7"/>
        <v>0.28990136496968039</v>
      </c>
      <c r="J42" s="78">
        <f t="shared" si="1"/>
        <v>5.0497305823209028E-2</v>
      </c>
    </row>
    <row r="43" spans="1:10">
      <c r="A43" s="69" t="str">
        <f>A16</f>
        <v>Retail Transmission Rate - Network Service Rate - Interval Meter &gt; 1,000 kW</v>
      </c>
      <c r="B43" s="44">
        <f>D24*Rates!D87</f>
        <v>2716</v>
      </c>
      <c r="C43" s="45">
        <f>C16</f>
        <v>2.8001</v>
      </c>
      <c r="D43" s="47">
        <f>B43*C43</f>
        <v>7605.0716000000002</v>
      </c>
      <c r="E43" s="44">
        <f>D24*H24</f>
        <v>2716</v>
      </c>
      <c r="F43" s="45">
        <f>D16</f>
        <v>2.6741999999999999</v>
      </c>
      <c r="G43" s="47">
        <f>E43*F43</f>
        <v>7263.1271999999999</v>
      </c>
      <c r="H43" s="47">
        <f t="shared" si="0"/>
        <v>-341.94440000000031</v>
      </c>
      <c r="I43" s="48">
        <f t="shared" si="7"/>
        <v>-4.496267990428917E-2</v>
      </c>
      <c r="J43" s="72">
        <f t="shared" si="1"/>
        <v>4.7551231596457459E-2</v>
      </c>
    </row>
    <row r="44" spans="1:10" ht="12.75" thickBot="1">
      <c r="A44" s="63" t="str">
        <f>A17</f>
        <v>Retail Transmission Rate - Line and Transformation Connection Service Rate - Interval &gt; 1,000 kW</v>
      </c>
      <c r="B44" s="64">
        <f>D24*Rates!D87</f>
        <v>2716</v>
      </c>
      <c r="C44" s="65">
        <f>C17</f>
        <v>2.0003000000000002</v>
      </c>
      <c r="D44" s="66">
        <f>B44*C44</f>
        <v>5432.8148000000001</v>
      </c>
      <c r="E44" s="64">
        <f>D24*H24</f>
        <v>2716</v>
      </c>
      <c r="F44" s="65">
        <f>D17</f>
        <v>1.9558</v>
      </c>
      <c r="G44" s="66">
        <f>E44*F44</f>
        <v>5311.9528</v>
      </c>
      <c r="H44" s="66">
        <f t="shared" si="0"/>
        <v>-120.86200000000008</v>
      </c>
      <c r="I44" s="67">
        <f t="shared" si="7"/>
        <v>-2.2246663000549931E-2</v>
      </c>
      <c r="J44" s="68">
        <f t="shared" si="1"/>
        <v>3.4777016960717784E-2</v>
      </c>
    </row>
    <row r="45" spans="1:10" ht="12.75" thickBot="1">
      <c r="A45" s="73" t="s">
        <v>32</v>
      </c>
      <c r="B45" s="74"/>
      <c r="C45" s="75"/>
      <c r="D45" s="76">
        <f>SUM(D43:D44)</f>
        <v>13037.886399999999</v>
      </c>
      <c r="E45" s="75"/>
      <c r="F45" s="75"/>
      <c r="G45" s="76">
        <f>SUM(G43:G44)</f>
        <v>12575.08</v>
      </c>
      <c r="H45" s="76">
        <f t="shared" si="0"/>
        <v>-462.80639999999948</v>
      </c>
      <c r="I45" s="77">
        <f t="shared" si="7"/>
        <v>-3.5497041913173863E-2</v>
      </c>
      <c r="J45" s="78">
        <f t="shared" si="1"/>
        <v>8.2328248557175243E-2</v>
      </c>
    </row>
    <row r="46" spans="1:10" ht="12.75" thickBot="1">
      <c r="A46" s="81" t="s">
        <v>41</v>
      </c>
      <c r="B46" s="82"/>
      <c r="C46" s="83"/>
      <c r="D46" s="84">
        <f>D42+D45</f>
        <v>19017.506399999998</v>
      </c>
      <c r="E46" s="83"/>
      <c r="F46" s="83"/>
      <c r="G46" s="84">
        <f>G42+G45</f>
        <v>20288.199999999997</v>
      </c>
      <c r="H46" s="84">
        <f t="shared" si="0"/>
        <v>1270.6935999999987</v>
      </c>
      <c r="I46" s="85">
        <f t="shared" si="7"/>
        <v>6.6817046003465455E-2</v>
      </c>
      <c r="J46" s="86">
        <f t="shared" si="1"/>
        <v>0.13282555438038426</v>
      </c>
    </row>
    <row r="47" spans="1:10">
      <c r="A47" s="69" t="str">
        <f>A18</f>
        <v>Wholesale Market Service Rate</v>
      </c>
      <c r="B47" s="44">
        <f>B24*Rates!D87</f>
        <v>1195040</v>
      </c>
      <c r="C47" s="45">
        <f>C18</f>
        <v>5.1999999999999998E-3</v>
      </c>
      <c r="D47" s="47">
        <f>B47*C47</f>
        <v>6214.2079999999996</v>
      </c>
      <c r="E47" s="44">
        <f>B24*H24</f>
        <v>1195040</v>
      </c>
      <c r="F47" s="45">
        <f>D18</f>
        <v>5.1999999999999998E-3</v>
      </c>
      <c r="G47" s="47">
        <f>E47*F47</f>
        <v>6214.2079999999996</v>
      </c>
      <c r="H47" s="47">
        <f t="shared" si="0"/>
        <v>0</v>
      </c>
      <c r="I47" s="48">
        <f t="shared" si="7"/>
        <v>0</v>
      </c>
      <c r="J47" s="72">
        <f t="shared" si="1"/>
        <v>4.0684024340997181E-2</v>
      </c>
    </row>
    <row r="48" spans="1:10">
      <c r="A48" s="61" t="str">
        <f>A19</f>
        <v>Rural Rate Protection Charge</v>
      </c>
      <c r="B48" s="39">
        <f>B24*Rates!D87</f>
        <v>1195040</v>
      </c>
      <c r="C48" s="40">
        <f>C19</f>
        <v>1.1000000000000001E-3</v>
      </c>
      <c r="D48" s="41">
        <f>B48*C48</f>
        <v>1314.5440000000001</v>
      </c>
      <c r="E48" s="39">
        <f>B24*H24</f>
        <v>1195040</v>
      </c>
      <c r="F48" s="40">
        <f>D19</f>
        <v>1.1000000000000001E-3</v>
      </c>
      <c r="G48" s="41">
        <f>E48*F48</f>
        <v>1314.5440000000001</v>
      </c>
      <c r="H48" s="41">
        <f t="shared" si="0"/>
        <v>0</v>
      </c>
      <c r="I48" s="42">
        <f t="shared" si="7"/>
        <v>0</v>
      </c>
      <c r="J48" s="62">
        <f t="shared" si="1"/>
        <v>8.6062359182878662E-3</v>
      </c>
    </row>
    <row r="49" spans="1:10">
      <c r="A49" s="63" t="s">
        <v>45</v>
      </c>
      <c r="B49" s="64">
        <f>B24*Rates!D87</f>
        <v>1195040</v>
      </c>
      <c r="C49" s="65">
        <f>Rates!D38</f>
        <v>0</v>
      </c>
      <c r="D49" s="66">
        <f>B49*C49</f>
        <v>0</v>
      </c>
      <c r="E49" s="64">
        <f>B24*Rates!F87</f>
        <v>1195040</v>
      </c>
      <c r="F49" s="65">
        <f>Rates!F38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1.6367340914963412E-6</v>
      </c>
    </row>
    <row r="51" spans="1:10" ht="12.75" thickBot="1">
      <c r="A51" s="73" t="s">
        <v>42</v>
      </c>
      <c r="B51" s="74"/>
      <c r="C51" s="75"/>
      <c r="D51" s="76">
        <f>SUM(D47:D50)</f>
        <v>7529.0019999999995</v>
      </c>
      <c r="E51" s="75"/>
      <c r="F51" s="75"/>
      <c r="G51" s="76">
        <f>SUM(G47:G50)</f>
        <v>7529.0019999999995</v>
      </c>
      <c r="H51" s="76">
        <f t="shared" si="0"/>
        <v>0</v>
      </c>
      <c r="I51" s="77">
        <f t="shared" si="7"/>
        <v>0</v>
      </c>
      <c r="J51" s="78">
        <f t="shared" si="1"/>
        <v>4.9291896993376542E-2</v>
      </c>
    </row>
    <row r="52" spans="1:10" ht="12.75" thickBot="1">
      <c r="A52" s="87" t="s">
        <v>19</v>
      </c>
      <c r="B52" s="88">
        <f>B24</f>
        <v>1100000</v>
      </c>
      <c r="C52" s="89">
        <f>Rates!D81</f>
        <v>2E-3</v>
      </c>
      <c r="D52" s="90">
        <f>B52*C52</f>
        <v>2200</v>
      </c>
      <c r="E52" s="88">
        <f>B24</f>
        <v>1100000</v>
      </c>
      <c r="F52" s="89">
        <f>Rates!F81</f>
        <v>2E-3</v>
      </c>
      <c r="G52" s="90">
        <f>E52*F52</f>
        <v>2200</v>
      </c>
      <c r="H52" s="90">
        <f t="shared" si="0"/>
        <v>0</v>
      </c>
      <c r="I52" s="91">
        <f t="shared" si="7"/>
        <v>0</v>
      </c>
      <c r="J52" s="92">
        <f t="shared" si="1"/>
        <v>1.4403260005167803E-2</v>
      </c>
    </row>
    <row r="53" spans="1:10" ht="12.75" thickBot="1">
      <c r="A53" s="73" t="s">
        <v>43</v>
      </c>
      <c r="B53" s="74"/>
      <c r="C53" s="75"/>
      <c r="D53" s="76">
        <f>D31+D46+D51+D52</f>
        <v>133900.27839999998</v>
      </c>
      <c r="E53" s="75"/>
      <c r="F53" s="75"/>
      <c r="G53" s="76">
        <f>G31+G46+G51+G52</f>
        <v>135170.97199999998</v>
      </c>
      <c r="H53" s="76">
        <f t="shared" si="0"/>
        <v>1270.6935999999987</v>
      </c>
      <c r="I53" s="77">
        <f t="shared" si="7"/>
        <v>9.4898503213268811E-3</v>
      </c>
      <c r="J53" s="78">
        <f t="shared" si="1"/>
        <v>0.88495575221238931</v>
      </c>
    </row>
    <row r="54" spans="1:10" ht="12.75" thickBot="1">
      <c r="A54" s="93" t="s">
        <v>46</v>
      </c>
      <c r="B54" s="94"/>
      <c r="C54" s="95">
        <f>Rates!D88</f>
        <v>0.13</v>
      </c>
      <c r="D54" s="90">
        <f>C54*D53</f>
        <v>17407.036192</v>
      </c>
      <c r="E54" s="96"/>
      <c r="F54" s="95">
        <f>Rates!F88</f>
        <v>0.13</v>
      </c>
      <c r="G54" s="90">
        <f>F54*G53</f>
        <v>17572.226359999997</v>
      </c>
      <c r="H54" s="90">
        <f t="shared" si="0"/>
        <v>165.19016799999736</v>
      </c>
      <c r="I54" s="91">
        <f t="shared" si="7"/>
        <v>9.4898503213267388E-3</v>
      </c>
      <c r="J54" s="92">
        <f t="shared" si="1"/>
        <v>0.11504424778761062</v>
      </c>
    </row>
    <row r="55" spans="1:10" ht="12.75" thickBot="1">
      <c r="A55" s="81" t="s">
        <v>33</v>
      </c>
      <c r="B55" s="82"/>
      <c r="C55" s="83"/>
      <c r="D55" s="104">
        <f>D53+D54</f>
        <v>151307.31459199998</v>
      </c>
      <c r="E55" s="83"/>
      <c r="F55" s="83"/>
      <c r="G55" s="104">
        <f>G53+G54</f>
        <v>152743.19835999998</v>
      </c>
      <c r="H55" s="104">
        <f t="shared" si="0"/>
        <v>1435.8837679999997</v>
      </c>
      <c r="I55" s="85">
        <f t="shared" si="7"/>
        <v>9.4898503213268898E-3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7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2"/>
  <sheetViews>
    <sheetView view="pageBreakPreview" topLeftCell="A13" zoomScale="60" zoomScaleNormal="100" workbookViewId="0">
      <selection activeCell="E67" sqref="E67"/>
    </sheetView>
  </sheetViews>
  <sheetFormatPr defaultRowHeight="1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1" width="3.42578125" style="8" customWidth="1"/>
    <col min="12" max="16384" width="9.140625" style="8"/>
  </cols>
  <sheetData>
    <row r="2" spans="1:4" ht="12.75" thickBot="1"/>
    <row r="3" spans="1:4" ht="36.75" thickBot="1">
      <c r="A3" s="14" t="str">
        <f>Rates!A41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Rates!A42</f>
        <v>Monthly Service Charge</v>
      </c>
      <c r="B4" s="24" t="str">
        <f>Rates!B42</f>
        <v>$</v>
      </c>
      <c r="C4" s="25">
        <f>Rates!D42</f>
        <v>26.15</v>
      </c>
      <c r="D4" s="26">
        <f>Rates!F42</f>
        <v>26.38</v>
      </c>
    </row>
    <row r="5" spans="1:4">
      <c r="A5" s="27" t="str">
        <f>Rates!A43</f>
        <v>Smart Meter Rate Adder</v>
      </c>
      <c r="B5" s="28" t="str">
        <f>Rates!B43</f>
        <v>$</v>
      </c>
      <c r="C5" s="29">
        <f>Rates!D43</f>
        <v>1</v>
      </c>
      <c r="D5" s="30">
        <f>Rates!F43</f>
        <v>0</v>
      </c>
    </row>
    <row r="6" spans="1:4">
      <c r="A6" s="27" t="str">
        <f>Rates!A44</f>
        <v>Distribution Volumetric Rate</v>
      </c>
      <c r="B6" s="28" t="str">
        <f>Rates!B44</f>
        <v>$/kWh</v>
      </c>
      <c r="C6" s="31">
        <f>Rates!D44</f>
        <v>0.10059999999999999</v>
      </c>
      <c r="D6" s="32">
        <f>Rates!F44</f>
        <v>0.10150000000000001</v>
      </c>
    </row>
    <row r="7" spans="1:4">
      <c r="A7" s="27" t="str">
        <f>Rates!A45</f>
        <v>Rate Rider for Foregone Revenue Recovery - effective until December 31, 2012</v>
      </c>
      <c r="B7" s="28" t="str">
        <f>Rates!B45</f>
        <v>$/kWh</v>
      </c>
      <c r="C7" s="31">
        <f>Rates!D45</f>
        <v>2.0000000000000001E-4</v>
      </c>
      <c r="D7" s="32">
        <f>Rates!F45</f>
        <v>0</v>
      </c>
    </row>
    <row r="8" spans="1:4">
      <c r="A8" s="27" t="str">
        <f>Rates!A46</f>
        <v>Rate Rider for Deferral/Variance Account Disposition - effective until May 31, 2013</v>
      </c>
      <c r="B8" s="28" t="str">
        <f>Rates!B46</f>
        <v>$/kWh</v>
      </c>
      <c r="C8" s="31">
        <f>Rates!D46</f>
        <v>4.5999999999999999E-3</v>
      </c>
      <c r="D8" s="32">
        <f>Rates!F46</f>
        <v>4.5999999999999999E-3</v>
      </c>
    </row>
    <row r="9" spans="1:4">
      <c r="A9" s="27" t="str">
        <f>Rates!A47</f>
        <v>Rate Rider for Deferral/Variance Account Disposition - effective until May 31, 2013</v>
      </c>
      <c r="B9" s="28" t="str">
        <f>Rates!B47</f>
        <v>$/kWh</v>
      </c>
      <c r="C9" s="31">
        <f>Rates!D47</f>
        <v>-6.1000000000000004E-3</v>
      </c>
      <c r="D9" s="32">
        <f>Rates!F47</f>
        <v>-6.1000000000000004E-3</v>
      </c>
    </row>
    <row r="10" spans="1:4">
      <c r="A10" s="27" t="str">
        <f>Rates!A48</f>
        <v>Rate Rider for Deferral/Variance Account Disposition - effective until November 30, 2015</v>
      </c>
      <c r="B10" s="28" t="str">
        <f>Rates!B48</f>
        <v>$/kWh</v>
      </c>
      <c r="C10" s="31">
        <f>Rates!D48</f>
        <v>3.0700000000000002E-2</v>
      </c>
      <c r="D10" s="32">
        <f>Rates!F48</f>
        <v>3.0700000000000002E-2</v>
      </c>
    </row>
    <row r="11" spans="1:4">
      <c r="A11" s="27" t="str">
        <f>Rates!A49</f>
        <v>Rate Rider for Deferral/Variance Account Disposition (2012) - effective until December 31, 2013</v>
      </c>
      <c r="B11" s="28" t="str">
        <f>Rates!B49</f>
        <v>$/kWh</v>
      </c>
      <c r="C11" s="31">
        <f>Rates!D49</f>
        <v>0</v>
      </c>
      <c r="D11" s="32">
        <f>Rates!F49</f>
        <v>-1.5E-3</v>
      </c>
    </row>
    <row r="12" spans="1:4">
      <c r="A12" s="27" t="str">
        <f>Rates!A50</f>
        <v>Rate Rider for Global Adjustment Sub-Account Disposition (2012) - effective until December 31, 2013</v>
      </c>
      <c r="B12" s="28" t="str">
        <f>Rates!B50</f>
        <v>$/kWh</v>
      </c>
      <c r="C12" s="31">
        <f>Rates!D50</f>
        <v>0</v>
      </c>
      <c r="D12" s="32"/>
    </row>
    <row r="13" spans="1:4">
      <c r="A13" s="27" t="str">
        <f>Rates!A51</f>
        <v>Rate Rider for PILs - effective until December 31, 2013</v>
      </c>
      <c r="B13" s="28" t="str">
        <f>Rates!B51</f>
        <v>$/kWh</v>
      </c>
      <c r="C13" s="31">
        <f>Rates!D51</f>
        <v>0</v>
      </c>
      <c r="D13" s="32">
        <f>Rates!F51</f>
        <v>0</v>
      </c>
    </row>
    <row r="14" spans="1:4">
      <c r="A14" s="27" t="str">
        <f>Rates!A52</f>
        <v>Smart Meter Cost Recovery Rate Rider - Net Deferred Revenue Requirement, effective until December 31, 2013</v>
      </c>
      <c r="B14" s="28" t="str">
        <f>Rates!B52</f>
        <v>$/kWh</v>
      </c>
      <c r="C14" s="31">
        <f>Rates!D52</f>
        <v>0</v>
      </c>
      <c r="D14" s="32">
        <f>Rates!F52</f>
        <v>4.1099999999999998E-2</v>
      </c>
    </row>
    <row r="15" spans="1:4">
      <c r="A15" s="27" t="str">
        <f>Rates!A53</f>
        <v>Smart Meter Cost Recovery Rate Rider - Incremental Revenue Requirement, effective until December 31, 2013</v>
      </c>
      <c r="B15" s="28" t="str">
        <f>Rates!B53</f>
        <v>$/kWh</v>
      </c>
      <c r="C15" s="31">
        <f>Rates!D53</f>
        <v>0</v>
      </c>
      <c r="D15" s="32">
        <f>Rates!F53</f>
        <v>1.7399999999999999E-2</v>
      </c>
    </row>
    <row r="16" spans="1:4">
      <c r="A16" s="27" t="str">
        <f>Rates!A54</f>
        <v>Rate Rider for Tax Changes - effective until December 31, 2012</v>
      </c>
      <c r="B16" s="28" t="str">
        <f>Rates!B54</f>
        <v>$/kWh</v>
      </c>
      <c r="C16" s="31">
        <f>Rates!D54</f>
        <v>-2.9999999999999997E-4</v>
      </c>
      <c r="D16" s="32">
        <f>Rates!F54</f>
        <v>-2.0000000000000001E-4</v>
      </c>
    </row>
    <row r="17" spans="1:10">
      <c r="A17" s="27" t="str">
        <f>Rates!A55</f>
        <v>Retail Transmission Rate - Network Service Rate</v>
      </c>
      <c r="B17" s="28" t="str">
        <f>Rates!B55</f>
        <v>$/kWh</v>
      </c>
      <c r="C17" s="31">
        <f>Rates!D55</f>
        <v>7.1000000000000004E-3</v>
      </c>
      <c r="D17" s="32">
        <f>Rates!F55</f>
        <v>6.7999999999999996E-3</v>
      </c>
    </row>
    <row r="18" spans="1:10">
      <c r="A18" s="27" t="str">
        <f>Rates!A56</f>
        <v>Retail Transmission Rate - Line and Transformation Connection Service Rate</v>
      </c>
      <c r="B18" s="28" t="str">
        <f>Rates!B56</f>
        <v>$/kWh</v>
      </c>
      <c r="C18" s="31">
        <f>Rates!D56</f>
        <v>5.1000000000000004E-3</v>
      </c>
      <c r="D18" s="32">
        <f>Rates!F56</f>
        <v>5.0000000000000001E-3</v>
      </c>
    </row>
    <row r="19" spans="1:10">
      <c r="A19" s="27" t="str">
        <f>Rates!A57</f>
        <v>Wholesale Market Service Rate</v>
      </c>
      <c r="B19" s="28" t="str">
        <f>Rates!B57</f>
        <v>$/kWh</v>
      </c>
      <c r="C19" s="31">
        <f>Rates!D57</f>
        <v>5.1999999999999998E-3</v>
      </c>
      <c r="D19" s="32">
        <f>Rates!F57</f>
        <v>5.1999999999999998E-3</v>
      </c>
    </row>
    <row r="20" spans="1:10">
      <c r="A20" s="27" t="str">
        <f>Rates!A58</f>
        <v>Rural Rate Protection Charge</v>
      </c>
      <c r="B20" s="28" t="str">
        <f>Rates!B58</f>
        <v>$/kWh</v>
      </c>
      <c r="C20" s="31">
        <f>Rates!D58</f>
        <v>1.1000000000000001E-3</v>
      </c>
      <c r="D20" s="32">
        <f>Rates!F58</f>
        <v>1.1000000000000001E-3</v>
      </c>
    </row>
    <row r="21" spans="1:10">
      <c r="A21" s="27" t="str">
        <f>Rates!A59</f>
        <v>Special Purpose Charge</v>
      </c>
      <c r="B21" s="28" t="str">
        <f>Rates!B59</f>
        <v>$/kWh</v>
      </c>
      <c r="C21" s="31">
        <f>Rates!D59</f>
        <v>0</v>
      </c>
      <c r="D21" s="32">
        <f>Rates!F59</f>
        <v>0</v>
      </c>
    </row>
    <row r="22" spans="1:10" ht="12.75" thickBot="1">
      <c r="A22" s="12" t="str">
        <f>Rates!A60</f>
        <v>Standard Supply Service - Administarive Charge (if applicable)</v>
      </c>
      <c r="B22" s="17" t="str">
        <f>Rates!B60</f>
        <v>$</v>
      </c>
      <c r="C22" s="18">
        <f>Rates!D60</f>
        <v>0.25</v>
      </c>
      <c r="D22" s="13">
        <f>Rates!F60</f>
        <v>0.25</v>
      </c>
    </row>
    <row r="24" spans="1:10" ht="12.75" thickBot="1"/>
    <row r="25" spans="1:10" ht="13.5" thickBot="1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Rates!F87</f>
        <v>1.0864</v>
      </c>
    </row>
    <row r="26" spans="1:10" ht="13.5" thickBot="1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/>
    <row r="28" spans="1:10" ht="12.75" customHeight="1">
      <c r="A28" s="149" t="str">
        <f>A3</f>
        <v>Seasonal</v>
      </c>
      <c r="B28" s="151" t="s">
        <v>31</v>
      </c>
      <c r="C28" s="49" t="s">
        <v>37</v>
      </c>
      <c r="D28" s="49" t="s">
        <v>38</v>
      </c>
      <c r="E28" s="151" t="s">
        <v>31</v>
      </c>
      <c r="F28" s="49" t="s">
        <v>37</v>
      </c>
      <c r="G28" s="49" t="s">
        <v>38</v>
      </c>
      <c r="H28" s="153" t="s">
        <v>44</v>
      </c>
      <c r="I28" s="153"/>
      <c r="J28" s="154"/>
    </row>
    <row r="29" spans="1:10" ht="12.75" thickBot="1">
      <c r="A29" s="150"/>
      <c r="B29" s="152"/>
      <c r="C29" s="50" t="s">
        <v>15</v>
      </c>
      <c r="D29" s="50" t="s">
        <v>15</v>
      </c>
      <c r="E29" s="152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>
      <c r="A30" s="54" t="s">
        <v>35</v>
      </c>
      <c r="B30" s="55">
        <f>IF(B25*Rates!D87&gt;B26,B26,B25*Rates!D87)</f>
        <v>311.79680000000002</v>
      </c>
      <c r="C30" s="56">
        <f>Rates!D82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Rates!F82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41" si="1">IF(ISERROR(G30/G$59),0,G30/G$59)</f>
        <v>0.18805505799504235</v>
      </c>
    </row>
    <row r="31" spans="1:10" ht="12.75" thickBot="1">
      <c r="A31" s="63" t="s">
        <v>36</v>
      </c>
      <c r="B31" s="64">
        <f>IF(B25*Rates!D87&gt;=B26,B25*Rates!D87-B26,0)</f>
        <v>0</v>
      </c>
      <c r="C31" s="65">
        <f>Rates!D83</f>
        <v>8.7999999999999995E-2</v>
      </c>
      <c r="D31" s="66">
        <f>B31*C31</f>
        <v>0</v>
      </c>
      <c r="E31" s="64">
        <f>IF(B25*H25&gt;=B26,B25*H25-B26,0)</f>
        <v>0</v>
      </c>
      <c r="F31" s="65">
        <f>Rates!F83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0.18805505799504235</v>
      </c>
    </row>
    <row r="33" spans="1:10">
      <c r="A33" s="69" t="str">
        <f t="shared" ref="A33:A38" si="2">A4</f>
        <v>Monthly Service Charge</v>
      </c>
      <c r="B33" s="70">
        <v>1</v>
      </c>
      <c r="C33" s="46">
        <f t="shared" ref="C33:C38" si="3">C4</f>
        <v>26.15</v>
      </c>
      <c r="D33" s="46">
        <f t="shared" ref="D33:D45" si="4">B33*C33</f>
        <v>26.15</v>
      </c>
      <c r="E33" s="71">
        <f>B33</f>
        <v>1</v>
      </c>
      <c r="F33" s="47">
        <f t="shared" ref="F33:F37" si="5">D4</f>
        <v>26.38</v>
      </c>
      <c r="G33" s="47">
        <f t="shared" ref="G33:G45" si="6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0.21214211434751595</v>
      </c>
    </row>
    <row r="34" spans="1:10">
      <c r="A34" s="61" t="str">
        <f t="shared" si="2"/>
        <v>Smart Meter Rate Adder</v>
      </c>
      <c r="B34" s="43">
        <f>B33</f>
        <v>1</v>
      </c>
      <c r="C34" s="41">
        <f t="shared" si="3"/>
        <v>1</v>
      </c>
      <c r="D34" s="41">
        <f t="shared" si="4"/>
        <v>1</v>
      </c>
      <c r="E34" s="43">
        <f>B34</f>
        <v>1</v>
      </c>
      <c r="F34" s="41">
        <f t="shared" si="5"/>
        <v>0</v>
      </c>
      <c r="G34" s="41">
        <f t="shared" si="6"/>
        <v>0</v>
      </c>
      <c r="H34" s="41">
        <f t="shared" si="0"/>
        <v>-1</v>
      </c>
      <c r="I34" s="42">
        <f>IF(ISERROR(H34/D34),1,H34/D34)</f>
        <v>-1</v>
      </c>
      <c r="J34" s="62">
        <f t="shared" si="1"/>
        <v>0</v>
      </c>
    </row>
    <row r="35" spans="1:10">
      <c r="A35" s="61" t="str">
        <f t="shared" si="2"/>
        <v>Distribution Volumetric Rate</v>
      </c>
      <c r="B35" s="43">
        <f>B25</f>
        <v>287</v>
      </c>
      <c r="C35" s="40">
        <f t="shared" si="3"/>
        <v>0.10059999999999999</v>
      </c>
      <c r="D35" s="41">
        <f t="shared" si="4"/>
        <v>28.872199999999999</v>
      </c>
      <c r="E35" s="43">
        <f>B25</f>
        <v>287</v>
      </c>
      <c r="F35" s="40">
        <f t="shared" si="5"/>
        <v>0.10150000000000001</v>
      </c>
      <c r="G35" s="41">
        <f t="shared" si="6"/>
        <v>29.130500000000001</v>
      </c>
      <c r="H35" s="41">
        <f t="shared" si="0"/>
        <v>0.25830000000000197</v>
      </c>
      <c r="I35" s="42">
        <f t="shared" ref="I35:I59" si="7">IF(ISERROR(H35/D35),0,H35/D35)</f>
        <v>8.9463220675945025E-3</v>
      </c>
      <c r="J35" s="62">
        <f t="shared" si="1"/>
        <v>0.23426102585293077</v>
      </c>
    </row>
    <row r="36" spans="1:10">
      <c r="A36" s="61" t="str">
        <f t="shared" si="2"/>
        <v>Rate Rider for Foregone Revenue Recovery - effective until December 31, 2012</v>
      </c>
      <c r="B36" s="43">
        <f>B25</f>
        <v>287</v>
      </c>
      <c r="C36" s="40">
        <f t="shared" si="3"/>
        <v>2.0000000000000001E-4</v>
      </c>
      <c r="D36" s="41">
        <f t="shared" si="4"/>
        <v>5.74E-2</v>
      </c>
      <c r="E36" s="43">
        <f>B25</f>
        <v>287</v>
      </c>
      <c r="F36" s="40">
        <f t="shared" si="5"/>
        <v>0</v>
      </c>
      <c r="G36" s="41">
        <f>E36*F36</f>
        <v>0</v>
      </c>
      <c r="H36" s="41">
        <f>G36-D36</f>
        <v>-5.74E-2</v>
      </c>
      <c r="I36" s="42">
        <f>IF(ISERROR(H36/D36),0,H36/D36)</f>
        <v>-1</v>
      </c>
      <c r="J36" s="62">
        <f t="shared" si="1"/>
        <v>0</v>
      </c>
    </row>
    <row r="37" spans="1:10">
      <c r="A37" s="61" t="str">
        <f t="shared" si="2"/>
        <v>Rate Rider for Deferral/Variance Account Disposition - effective until May 31, 2013</v>
      </c>
      <c r="B37" s="43">
        <f>B25</f>
        <v>287</v>
      </c>
      <c r="C37" s="40">
        <f t="shared" si="3"/>
        <v>4.5999999999999999E-3</v>
      </c>
      <c r="D37" s="41">
        <f t="shared" si="4"/>
        <v>1.3202</v>
      </c>
      <c r="E37" s="43">
        <f>B25</f>
        <v>287</v>
      </c>
      <c r="F37" s="40">
        <f t="shared" si="5"/>
        <v>4.5999999999999999E-3</v>
      </c>
      <c r="G37" s="41">
        <f t="shared" si="6"/>
        <v>1.3202</v>
      </c>
      <c r="H37" s="41">
        <f t="shared" si="0"/>
        <v>0</v>
      </c>
      <c r="I37" s="42">
        <f t="shared" si="7"/>
        <v>0</v>
      </c>
      <c r="J37" s="62">
        <f t="shared" si="1"/>
        <v>1.0616755851462873E-2</v>
      </c>
    </row>
    <row r="38" spans="1:10">
      <c r="A38" s="61" t="str">
        <f t="shared" si="2"/>
        <v>Rate Rider for Deferral/Variance Account Disposition - effective until May 31, 2013</v>
      </c>
      <c r="B38" s="43">
        <f>B25</f>
        <v>287</v>
      </c>
      <c r="C38" s="40">
        <f t="shared" si="3"/>
        <v>-6.1000000000000004E-3</v>
      </c>
      <c r="D38" s="41">
        <f t="shared" si="4"/>
        <v>-1.7507000000000001</v>
      </c>
      <c r="E38" s="43">
        <f>B25</f>
        <v>287</v>
      </c>
      <c r="F38" s="40">
        <f>D9</f>
        <v>-6.1000000000000004E-3</v>
      </c>
      <c r="G38" s="41">
        <f>E38*F38</f>
        <v>-1.7507000000000001</v>
      </c>
      <c r="H38" s="41">
        <f>G38-D38</f>
        <v>0</v>
      </c>
      <c r="I38" s="42">
        <f>IF(ISERROR(H38/D38),0,H38/D38)</f>
        <v>0</v>
      </c>
      <c r="J38" s="62">
        <f t="shared" si="1"/>
        <v>-1.4078741455200766E-2</v>
      </c>
    </row>
    <row r="39" spans="1:10">
      <c r="A39" s="61" t="str">
        <f>A10</f>
        <v>Rate Rider for Deferral/Variance Account Disposition - effective until November 30, 2015</v>
      </c>
      <c r="B39" s="43">
        <f>B25</f>
        <v>287</v>
      </c>
      <c r="C39" s="40">
        <f>C10</f>
        <v>3.0700000000000002E-2</v>
      </c>
      <c r="D39" s="41">
        <f t="shared" si="4"/>
        <v>8.8109000000000002</v>
      </c>
      <c r="E39" s="43">
        <f>B25</f>
        <v>287</v>
      </c>
      <c r="F39" s="40">
        <f>D10</f>
        <v>3.0700000000000002E-2</v>
      </c>
      <c r="G39" s="41">
        <f>E39*F39</f>
        <v>8.8109000000000002</v>
      </c>
      <c r="H39" s="41">
        <f>G39-D39</f>
        <v>0</v>
      </c>
      <c r="I39" s="42">
        <f>IF(ISERROR(H39/D39),0,H39/D39)</f>
        <v>0</v>
      </c>
      <c r="J39" s="62">
        <f t="shared" si="1"/>
        <v>7.085530535650221E-2</v>
      </c>
    </row>
    <row r="40" spans="1:10">
      <c r="A40" s="61" t="str">
        <f>A11</f>
        <v>Rate Rider for Deferral/Variance Account Disposition (2012) - effective until December 31, 2013</v>
      </c>
      <c r="B40" s="43">
        <f>B25</f>
        <v>287</v>
      </c>
      <c r="C40" s="40">
        <f>C11</f>
        <v>0</v>
      </c>
      <c r="D40" s="41">
        <f t="shared" si="4"/>
        <v>0</v>
      </c>
      <c r="E40" s="43">
        <f>B25</f>
        <v>287</v>
      </c>
      <c r="F40" s="40">
        <f>D11</f>
        <v>-1.5E-3</v>
      </c>
      <c r="G40" s="41">
        <f>E40*F40</f>
        <v>-0.43049999999999999</v>
      </c>
      <c r="H40" s="41">
        <f>G40-D40</f>
        <v>-0.43049999999999999</v>
      </c>
      <c r="I40" s="42">
        <f>IF(ISERROR(H40/D40),0,H40/D40)</f>
        <v>0</v>
      </c>
      <c r="J40" s="62">
        <f t="shared" si="1"/>
        <v>-3.4619856037378929E-3</v>
      </c>
    </row>
    <row r="41" spans="1:10">
      <c r="A41" s="61" t="str">
        <f>A12</f>
        <v>Rate Rider for Global Adjustment Sub-Account Disposition (2012) - effective until December 31, 2013</v>
      </c>
      <c r="B41" s="43">
        <f>B25</f>
        <v>287</v>
      </c>
      <c r="C41" s="40">
        <f>C12</f>
        <v>0</v>
      </c>
      <c r="D41" s="41">
        <f t="shared" si="4"/>
        <v>0</v>
      </c>
      <c r="E41" s="43">
        <f>B25</f>
        <v>287</v>
      </c>
      <c r="F41" s="40">
        <f>D12</f>
        <v>0</v>
      </c>
      <c r="G41" s="41">
        <f t="shared" si="6"/>
        <v>0</v>
      </c>
      <c r="H41" s="41">
        <f t="shared" si="0"/>
        <v>0</v>
      </c>
      <c r="I41" s="42">
        <f t="shared" si="7"/>
        <v>0</v>
      </c>
      <c r="J41" s="62">
        <f t="shared" si="1"/>
        <v>0</v>
      </c>
    </row>
    <row r="42" spans="1:10">
      <c r="A42" s="61" t="str">
        <f t="shared" ref="A42:A44" si="8">A13</f>
        <v>Rate Rider for PILs - effective until December 31, 2013</v>
      </c>
      <c r="B42" s="43">
        <f>B25</f>
        <v>287</v>
      </c>
      <c r="C42" s="40">
        <f t="shared" ref="C42:C44" si="9">C13</f>
        <v>0</v>
      </c>
      <c r="D42" s="41">
        <f t="shared" si="4"/>
        <v>0</v>
      </c>
      <c r="E42" s="43">
        <f>B25</f>
        <v>287</v>
      </c>
      <c r="F42" s="40">
        <f t="shared" ref="F42:F44" si="10">D13</f>
        <v>0</v>
      </c>
      <c r="G42" s="41">
        <f t="shared" ref="G42:G44" si="11">E42*F42</f>
        <v>0</v>
      </c>
      <c r="H42" s="41">
        <f t="shared" ref="H42:H44" si="12">G42-D42</f>
        <v>0</v>
      </c>
      <c r="I42" s="42">
        <f t="shared" ref="I42:I44" si="13">IF(ISERROR(H42/D42),0,H42/D42)</f>
        <v>0</v>
      </c>
      <c r="J42" s="62">
        <f t="shared" ref="J42:J44" si="14">IF(ISERROR(G42/G$59),0,G42/G$59)</f>
        <v>0</v>
      </c>
    </row>
    <row r="43" spans="1:10">
      <c r="A43" s="61" t="str">
        <f t="shared" si="8"/>
        <v>Smart Meter Cost Recovery Rate Rider - Net Deferred Revenue Requirement, effective until December 31, 2013</v>
      </c>
      <c r="B43" s="43">
        <f>B25</f>
        <v>287</v>
      </c>
      <c r="C43" s="40">
        <f t="shared" si="9"/>
        <v>0</v>
      </c>
      <c r="D43" s="41">
        <f t="shared" si="4"/>
        <v>0</v>
      </c>
      <c r="E43" s="43">
        <f>B25</f>
        <v>287</v>
      </c>
      <c r="F43" s="40">
        <f t="shared" si="10"/>
        <v>4.1099999999999998E-2</v>
      </c>
      <c r="G43" s="41">
        <f t="shared" si="11"/>
        <v>11.7957</v>
      </c>
      <c r="H43" s="41">
        <f t="shared" si="12"/>
        <v>11.7957</v>
      </c>
      <c r="I43" s="42">
        <f t="shared" si="13"/>
        <v>0</v>
      </c>
      <c r="J43" s="62">
        <f t="shared" si="14"/>
        <v>9.485840554241827E-2</v>
      </c>
    </row>
    <row r="44" spans="1:10">
      <c r="A44" s="61" t="str">
        <f t="shared" si="8"/>
        <v>Smart Meter Cost Recovery Rate Rider - Incremental Revenue Requirement, effective until December 31, 2013</v>
      </c>
      <c r="B44" s="43">
        <f>B25</f>
        <v>287</v>
      </c>
      <c r="C44" s="40">
        <f t="shared" si="9"/>
        <v>0</v>
      </c>
      <c r="D44" s="41">
        <f t="shared" si="4"/>
        <v>0</v>
      </c>
      <c r="E44" s="43">
        <f>B25</f>
        <v>287</v>
      </c>
      <c r="F44" s="40">
        <f t="shared" si="10"/>
        <v>1.7399999999999999E-2</v>
      </c>
      <c r="G44" s="41">
        <f t="shared" si="11"/>
        <v>4.9937999999999994</v>
      </c>
      <c r="H44" s="41">
        <f t="shared" si="12"/>
        <v>4.9937999999999994</v>
      </c>
      <c r="I44" s="42">
        <f t="shared" si="13"/>
        <v>0</v>
      </c>
      <c r="J44" s="62">
        <f t="shared" si="14"/>
        <v>4.0159033003359552E-2</v>
      </c>
    </row>
    <row r="45" spans="1:10" ht="12.75" thickBot="1">
      <c r="A45" s="61" t="str">
        <f>A16</f>
        <v>Rate Rider for Tax Changes - effective until December 31, 2012</v>
      </c>
      <c r="B45" s="43">
        <f>B25</f>
        <v>287</v>
      </c>
      <c r="C45" s="40">
        <f>C16</f>
        <v>-2.9999999999999997E-4</v>
      </c>
      <c r="D45" s="41">
        <f t="shared" si="4"/>
        <v>-8.6099999999999996E-2</v>
      </c>
      <c r="E45" s="43">
        <f>B25</f>
        <v>287</v>
      </c>
      <c r="F45" s="40">
        <f>D16</f>
        <v>-2.0000000000000001E-4</v>
      </c>
      <c r="G45" s="41">
        <f t="shared" si="6"/>
        <v>-5.74E-2</v>
      </c>
      <c r="H45" s="41">
        <f t="shared" si="0"/>
        <v>2.8699999999999996E-2</v>
      </c>
      <c r="I45" s="42">
        <f t="shared" si="7"/>
        <v>-0.33333333333333331</v>
      </c>
      <c r="J45" s="62">
        <f t="shared" ref="J45:J59" si="15">IF(ISERROR(G45/G$59),0,G45/G$59)</f>
        <v>-4.6159808049838576E-4</v>
      </c>
    </row>
    <row r="46" spans="1:10" ht="12.75" thickBot="1">
      <c r="A46" s="73" t="s">
        <v>40</v>
      </c>
      <c r="B46" s="74"/>
      <c r="C46" s="75"/>
      <c r="D46" s="76">
        <f>SUM(D33:D45)</f>
        <v>64.373899999999992</v>
      </c>
      <c r="E46" s="75"/>
      <c r="F46" s="75"/>
      <c r="G46" s="76">
        <f>SUM(G33:G45)</f>
        <v>80.192499999999995</v>
      </c>
      <c r="H46" s="76">
        <f t="shared" si="0"/>
        <v>15.818600000000004</v>
      </c>
      <c r="I46" s="77">
        <f t="shared" si="7"/>
        <v>0.24573002412468417</v>
      </c>
      <c r="J46" s="78">
        <f t="shared" si="15"/>
        <v>0.64489031481475256</v>
      </c>
    </row>
    <row r="47" spans="1:10">
      <c r="A47" s="69" t="str">
        <f>A17</f>
        <v>Retail Transmission Rate - Network Service Rate</v>
      </c>
      <c r="B47" s="44">
        <f>B25*Rates!D87</f>
        <v>311.79680000000002</v>
      </c>
      <c r="C47" s="45">
        <f>C17</f>
        <v>7.1000000000000004E-3</v>
      </c>
      <c r="D47" s="47">
        <f>B47*C47</f>
        <v>2.2137572800000003</v>
      </c>
      <c r="E47" s="44">
        <f>B25*H25</f>
        <v>311.79680000000002</v>
      </c>
      <c r="F47" s="45">
        <f>D17</f>
        <v>6.7999999999999996E-3</v>
      </c>
      <c r="G47" s="47">
        <f>E47*F47</f>
        <v>2.1202182399999998</v>
      </c>
      <c r="H47" s="47">
        <f t="shared" si="0"/>
        <v>-9.3539040000000462E-2</v>
      </c>
      <c r="I47" s="48">
        <f t="shared" si="7"/>
        <v>-4.2253521126760764E-2</v>
      </c>
      <c r="J47" s="72">
        <f t="shared" si="15"/>
        <v>1.7050325258217171E-2</v>
      </c>
    </row>
    <row r="48" spans="1:10" ht="12.75" thickBot="1">
      <c r="A48" s="63" t="str">
        <f>A18</f>
        <v>Retail Transmission Rate - Line and Transformation Connection Service Rate</v>
      </c>
      <c r="B48" s="64">
        <f>B25*Rates!D87</f>
        <v>311.79680000000002</v>
      </c>
      <c r="C48" s="65">
        <f>C18</f>
        <v>5.1000000000000004E-3</v>
      </c>
      <c r="D48" s="66">
        <f>B48*C48</f>
        <v>1.5901636800000003</v>
      </c>
      <c r="E48" s="64">
        <f>B25*H25</f>
        <v>311.79680000000002</v>
      </c>
      <c r="F48" s="65">
        <f>D18</f>
        <v>5.0000000000000001E-3</v>
      </c>
      <c r="G48" s="66">
        <f>E48*F48</f>
        <v>1.5589840000000001</v>
      </c>
      <c r="H48" s="66">
        <f t="shared" si="0"/>
        <v>-3.1179680000000154E-2</v>
      </c>
      <c r="I48" s="67">
        <f t="shared" si="7"/>
        <v>-1.9607843137254995E-2</v>
      </c>
      <c r="J48" s="68">
        <f t="shared" si="15"/>
        <v>1.2537003866336159E-2</v>
      </c>
    </row>
    <row r="49" spans="1:10" ht="12.75" thickBot="1">
      <c r="A49" s="73" t="s">
        <v>32</v>
      </c>
      <c r="B49" s="74"/>
      <c r="C49" s="75"/>
      <c r="D49" s="76">
        <f>SUM(D47:D48)</f>
        <v>3.8039209600000006</v>
      </c>
      <c r="E49" s="75"/>
      <c r="F49" s="75"/>
      <c r="G49" s="76">
        <f>SUM(G47:G48)</f>
        <v>3.67920224</v>
      </c>
      <c r="H49" s="76">
        <f t="shared" si="0"/>
        <v>-0.12471872000000062</v>
      </c>
      <c r="I49" s="77">
        <f t="shared" si="7"/>
        <v>-3.2786885245901794E-2</v>
      </c>
      <c r="J49" s="78">
        <f t="shared" si="15"/>
        <v>2.9587329124553328E-2</v>
      </c>
    </row>
    <row r="50" spans="1:10" ht="12.75" thickBot="1">
      <c r="A50" s="81" t="s">
        <v>41</v>
      </c>
      <c r="B50" s="82"/>
      <c r="C50" s="83"/>
      <c r="D50" s="84">
        <f>D46+D49</f>
        <v>68.177820959999991</v>
      </c>
      <c r="E50" s="83"/>
      <c r="F50" s="83"/>
      <c r="G50" s="84">
        <f>G46+G49</f>
        <v>83.871702239999991</v>
      </c>
      <c r="H50" s="84">
        <f t="shared" si="0"/>
        <v>15.693881279999999</v>
      </c>
      <c r="I50" s="85">
        <f t="shared" si="7"/>
        <v>0.23019042056518085</v>
      </c>
      <c r="J50" s="86">
        <f t="shared" si="15"/>
        <v>0.67447764393930587</v>
      </c>
    </row>
    <row r="51" spans="1:10">
      <c r="A51" s="69" t="str">
        <f>A19</f>
        <v>Wholesale Market Service Rate</v>
      </c>
      <c r="B51" s="44">
        <f>B25*Rates!D87</f>
        <v>311.79680000000002</v>
      </c>
      <c r="C51" s="45">
        <f>C19</f>
        <v>5.1999999999999998E-3</v>
      </c>
      <c r="D51" s="47">
        <f>B51*C51</f>
        <v>1.62134336</v>
      </c>
      <c r="E51" s="44">
        <f>B25*H25</f>
        <v>311.79680000000002</v>
      </c>
      <c r="F51" s="45">
        <f>D19</f>
        <v>5.1999999999999998E-3</v>
      </c>
      <c r="G51" s="47">
        <f>E51*F51</f>
        <v>1.62134336</v>
      </c>
      <c r="H51" s="47">
        <f t="shared" si="0"/>
        <v>0</v>
      </c>
      <c r="I51" s="48">
        <f t="shared" si="7"/>
        <v>0</v>
      </c>
      <c r="J51" s="72">
        <f t="shared" si="15"/>
        <v>1.3038484020989604E-2</v>
      </c>
    </row>
    <row r="52" spans="1:10">
      <c r="A52" s="61" t="str">
        <f>A20</f>
        <v>Rural Rate Protection Charge</v>
      </c>
      <c r="B52" s="39">
        <f>B25*Rates!D87</f>
        <v>311.79680000000002</v>
      </c>
      <c r="C52" s="40">
        <f>C20</f>
        <v>1.1000000000000001E-3</v>
      </c>
      <c r="D52" s="41">
        <f>B52*C52</f>
        <v>0.34297648000000003</v>
      </c>
      <c r="E52" s="39">
        <f>B25*H25</f>
        <v>311.79680000000002</v>
      </c>
      <c r="F52" s="40">
        <f>D20</f>
        <v>1.1000000000000001E-3</v>
      </c>
      <c r="G52" s="41">
        <f>E52*F52</f>
        <v>0.34297648000000003</v>
      </c>
      <c r="H52" s="41">
        <f t="shared" si="0"/>
        <v>0</v>
      </c>
      <c r="I52" s="42">
        <f t="shared" si="7"/>
        <v>0</v>
      </c>
      <c r="J52" s="62">
        <f t="shared" si="15"/>
        <v>2.7581408505939547E-3</v>
      </c>
    </row>
    <row r="53" spans="1:10">
      <c r="A53" s="63" t="s">
        <v>45</v>
      </c>
      <c r="B53" s="64">
        <f>B25*Rates!D87</f>
        <v>311.79680000000002</v>
      </c>
      <c r="C53" s="65">
        <f>Rates!D59</f>
        <v>0</v>
      </c>
      <c r="D53" s="66">
        <f>B53*C53</f>
        <v>0</v>
      </c>
      <c r="E53" s="64">
        <f>B25*Rates!F87</f>
        <v>311.79680000000002</v>
      </c>
      <c r="F53" s="65">
        <f>Rates!F59</f>
        <v>0</v>
      </c>
      <c r="G53" s="66">
        <f>E53*F53</f>
        <v>0</v>
      </c>
      <c r="H53" s="41">
        <f>G53-D53</f>
        <v>0</v>
      </c>
      <c r="I53" s="42">
        <f>IF(ISERROR(H53/D53),0,H53/D53)</f>
        <v>0</v>
      </c>
      <c r="J53" s="62">
        <f t="shared" si="15"/>
        <v>0</v>
      </c>
    </row>
    <row r="54" spans="1:10" ht="12.75" thickBot="1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5"/>
        <v>2.0104446014738053E-3</v>
      </c>
    </row>
    <row r="55" spans="1:10" ht="12.75" thickBot="1">
      <c r="A55" s="73" t="s">
        <v>42</v>
      </c>
      <c r="B55" s="74"/>
      <c r="C55" s="75"/>
      <c r="D55" s="76">
        <f>SUM(D51:D54)</f>
        <v>2.2143198399999999</v>
      </c>
      <c r="E55" s="75"/>
      <c r="F55" s="75"/>
      <c r="G55" s="76">
        <f>SUM(G51:G54)</f>
        <v>2.2143198399999999</v>
      </c>
      <c r="H55" s="76">
        <f t="shared" si="0"/>
        <v>0</v>
      </c>
      <c r="I55" s="77">
        <f t="shared" si="7"/>
        <v>0</v>
      </c>
      <c r="J55" s="78">
        <f t="shared" si="15"/>
        <v>1.7807069473057362E-2</v>
      </c>
    </row>
    <row r="56" spans="1:10" ht="12.75" thickBot="1">
      <c r="A56" s="87" t="s">
        <v>19</v>
      </c>
      <c r="B56" s="88">
        <f>B25</f>
        <v>287</v>
      </c>
      <c r="C56" s="89">
        <f>Rates!D81</f>
        <v>2E-3</v>
      </c>
      <c r="D56" s="90">
        <f>B56*C56</f>
        <v>0.57400000000000007</v>
      </c>
      <c r="E56" s="88">
        <f>B25</f>
        <v>287</v>
      </c>
      <c r="F56" s="89">
        <f>Rates!F81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5"/>
        <v>4.6159808049838578E-3</v>
      </c>
    </row>
    <row r="57" spans="1:10" ht="12.75" thickBot="1">
      <c r="A57" s="73" t="s">
        <v>43</v>
      </c>
      <c r="B57" s="74"/>
      <c r="C57" s="75"/>
      <c r="D57" s="76">
        <f>D32+D50+D55+D56</f>
        <v>94.350900799999991</v>
      </c>
      <c r="E57" s="75"/>
      <c r="F57" s="75"/>
      <c r="G57" s="76">
        <f>G32+G50+G55+G56</f>
        <v>110.04478207999999</v>
      </c>
      <c r="H57" s="76">
        <f t="shared" si="0"/>
        <v>15.693881279999999</v>
      </c>
      <c r="I57" s="77">
        <f t="shared" si="7"/>
        <v>0.16633525644092209</v>
      </c>
      <c r="J57" s="78">
        <f t="shared" si="15"/>
        <v>0.88495575221238942</v>
      </c>
    </row>
    <row r="58" spans="1:10" ht="12.75" thickBot="1">
      <c r="A58" s="93" t="s">
        <v>46</v>
      </c>
      <c r="B58" s="94"/>
      <c r="C58" s="95">
        <f>Rates!D88</f>
        <v>0.13</v>
      </c>
      <c r="D58" s="90">
        <f>C58*D57</f>
        <v>12.265617103999999</v>
      </c>
      <c r="E58" s="96"/>
      <c r="F58" s="95">
        <f>Rates!F88</f>
        <v>0.13</v>
      </c>
      <c r="G58" s="90">
        <f>F58*G57</f>
        <v>14.305821670399999</v>
      </c>
      <c r="H58" s="90">
        <f t="shared" si="0"/>
        <v>2.0402045663999999</v>
      </c>
      <c r="I58" s="91">
        <f t="shared" si="7"/>
        <v>0.16633525644092209</v>
      </c>
      <c r="J58" s="92">
        <f t="shared" si="15"/>
        <v>0.11504424778761062</v>
      </c>
    </row>
    <row r="59" spans="1:10" ht="12.75" thickBot="1">
      <c r="A59" s="81" t="s">
        <v>33</v>
      </c>
      <c r="B59" s="82"/>
      <c r="C59" s="83"/>
      <c r="D59" s="104">
        <f>D57+D58</f>
        <v>106.61651790399999</v>
      </c>
      <c r="E59" s="83"/>
      <c r="F59" s="83"/>
      <c r="G59" s="104">
        <f>G57+G58</f>
        <v>124.35060375039998</v>
      </c>
      <c r="H59" s="104">
        <f t="shared" si="0"/>
        <v>17.734085846399992</v>
      </c>
      <c r="I59" s="85">
        <f t="shared" si="7"/>
        <v>0.16633525644092201</v>
      </c>
      <c r="J59" s="86">
        <f t="shared" si="15"/>
        <v>1</v>
      </c>
    </row>
    <row r="60" spans="1:10">
      <c r="A60" s="130"/>
      <c r="B60" s="131"/>
      <c r="C60" s="132"/>
      <c r="D60" s="132"/>
      <c r="E60" s="132"/>
      <c r="F60" s="132"/>
      <c r="G60" s="132"/>
      <c r="H60" s="132"/>
      <c r="I60" s="132"/>
      <c r="J60" s="133"/>
    </row>
    <row r="61" spans="1:10">
      <c r="A61" s="134" t="s">
        <v>62</v>
      </c>
      <c r="B61" s="135"/>
      <c r="C61" s="136"/>
      <c r="D61" s="137">
        <f>D59*0.1</f>
        <v>10.661651790400001</v>
      </c>
      <c r="E61" s="136"/>
      <c r="F61" s="136"/>
      <c r="G61" s="137">
        <f>G59*0.1</f>
        <v>12.435060375039999</v>
      </c>
      <c r="H61" s="136"/>
      <c r="I61" s="136"/>
      <c r="J61" s="138"/>
    </row>
    <row r="62" spans="1:10" ht="12.75" thickBot="1">
      <c r="A62" s="139" t="s">
        <v>63</v>
      </c>
      <c r="B62" s="140"/>
      <c r="C62" s="141"/>
      <c r="D62" s="142">
        <f>D59-D61</f>
        <v>95.954866113599991</v>
      </c>
      <c r="E62" s="141"/>
      <c r="F62" s="141"/>
      <c r="G62" s="142">
        <f>G59-G61</f>
        <v>111.91554337535999</v>
      </c>
      <c r="H62" s="144">
        <f>G62-D62</f>
        <v>15.960677261759997</v>
      </c>
      <c r="I62" s="145">
        <f>H62/D62</f>
        <v>0.16633525644092206</v>
      </c>
      <c r="J62" s="143"/>
    </row>
  </sheetData>
  <mergeCells count="4">
    <mergeCell ref="A28:A29"/>
    <mergeCell ref="B28:B29"/>
    <mergeCell ref="E28:E29"/>
    <mergeCell ref="H28:J28"/>
  </mergeCells>
  <phoneticPr fontId="2" type="noConversion"/>
  <pageMargins left="0.75" right="0.75" top="1" bottom="1" header="0.5" footer="0.5"/>
  <pageSetup scale="59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2"/>
  <sheetViews>
    <sheetView view="pageBreakPreview" topLeftCell="A23" zoomScale="60" zoomScaleNormal="100" workbookViewId="0">
      <selection activeCell="F71" sqref="F71:G71"/>
    </sheetView>
  </sheetViews>
  <sheetFormatPr defaultRowHeight="12"/>
  <cols>
    <col min="1" max="1" width="81.85546875" style="8" bestFit="1" customWidth="1"/>
    <col min="2" max="2" width="9.140625" style="11" bestFit="1" customWidth="1"/>
    <col min="3" max="3" width="10" style="8" bestFit="1" customWidth="1"/>
    <col min="4" max="4" width="11.5703125" style="8" bestFit="1" customWidth="1"/>
    <col min="5" max="6" width="9.28515625" style="8" bestFit="1" customWidth="1"/>
    <col min="7" max="7" width="11.28515625" style="8" bestFit="1" customWidth="1"/>
    <col min="8" max="8" width="10.42578125" style="8" bestFit="1" customWidth="1"/>
    <col min="9" max="9" width="9.28515625" style="8" bestFit="1" customWidth="1"/>
    <col min="10" max="10" width="11.7109375" style="8" bestFit="1" customWidth="1"/>
    <col min="11" max="11" width="3" style="8" customWidth="1"/>
    <col min="12" max="16384" width="9.140625" style="8"/>
  </cols>
  <sheetData>
    <row r="2" spans="1:4" ht="12.75" thickBot="1"/>
    <row r="3" spans="1:4" ht="36.75" thickBot="1">
      <c r="A3" s="14" t="str">
        <f>Rates!A41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Rates!A42</f>
        <v>Monthly Service Charge</v>
      </c>
      <c r="B4" s="24" t="str">
        <f>Rates!B42</f>
        <v>$</v>
      </c>
      <c r="C4" s="25">
        <f>Rates!D42</f>
        <v>26.15</v>
      </c>
      <c r="D4" s="26">
        <f>Rates!F42</f>
        <v>26.38</v>
      </c>
    </row>
    <row r="5" spans="1:4">
      <c r="A5" s="27" t="str">
        <f>Rates!A43</f>
        <v>Smart Meter Rate Adder</v>
      </c>
      <c r="B5" s="28" t="str">
        <f>Rates!B43</f>
        <v>$</v>
      </c>
      <c r="C5" s="29">
        <f>Rates!D43</f>
        <v>1</v>
      </c>
      <c r="D5" s="30">
        <f>Rates!F43</f>
        <v>0</v>
      </c>
    </row>
    <row r="6" spans="1:4">
      <c r="A6" s="27" t="str">
        <f>Rates!A44</f>
        <v>Distribution Volumetric Rate</v>
      </c>
      <c r="B6" s="28" t="str">
        <f>Rates!B44</f>
        <v>$/kWh</v>
      </c>
      <c r="C6" s="31">
        <f>Rates!D44</f>
        <v>0.10059999999999999</v>
      </c>
      <c r="D6" s="32">
        <f>Rates!F44</f>
        <v>0.10150000000000001</v>
      </c>
    </row>
    <row r="7" spans="1:4">
      <c r="A7" s="27" t="str">
        <f>Rates!A45</f>
        <v>Rate Rider for Foregone Revenue Recovery - effective until December 31, 2012</v>
      </c>
      <c r="B7" s="28" t="str">
        <f>Rates!B45</f>
        <v>$/kWh</v>
      </c>
      <c r="C7" s="31">
        <f>Rates!D45</f>
        <v>2.0000000000000001E-4</v>
      </c>
      <c r="D7" s="32">
        <f>Rates!F45</f>
        <v>0</v>
      </c>
    </row>
    <row r="8" spans="1:4">
      <c r="A8" s="27" t="str">
        <f>Rates!A46</f>
        <v>Rate Rider for Deferral/Variance Account Disposition - effective until May 31, 2013</v>
      </c>
      <c r="B8" s="28" t="str">
        <f>Rates!B46</f>
        <v>$/kWh</v>
      </c>
      <c r="C8" s="31">
        <f>Rates!D46</f>
        <v>4.5999999999999999E-3</v>
      </c>
      <c r="D8" s="32">
        <f>Rates!F46</f>
        <v>4.5999999999999999E-3</v>
      </c>
    </row>
    <row r="9" spans="1:4">
      <c r="A9" s="27" t="str">
        <f>Rates!A47</f>
        <v>Rate Rider for Deferral/Variance Account Disposition - effective until May 31, 2013</v>
      </c>
      <c r="B9" s="28" t="str">
        <f>Rates!B47</f>
        <v>$/kWh</v>
      </c>
      <c r="C9" s="31">
        <f>Rates!D47</f>
        <v>-6.1000000000000004E-3</v>
      </c>
      <c r="D9" s="32">
        <f>Rates!F47</f>
        <v>-6.1000000000000004E-3</v>
      </c>
    </row>
    <row r="10" spans="1:4">
      <c r="A10" s="27" t="str">
        <f>Rates!A48</f>
        <v>Rate Rider for Deferral/Variance Account Disposition - effective until November 30, 2015</v>
      </c>
      <c r="B10" s="28" t="str">
        <f>Rates!B48</f>
        <v>$/kWh</v>
      </c>
      <c r="C10" s="31">
        <f>Rates!D48</f>
        <v>3.0700000000000002E-2</v>
      </c>
      <c r="D10" s="32">
        <f>Rates!F48</f>
        <v>3.0700000000000002E-2</v>
      </c>
    </row>
    <row r="11" spans="1:4">
      <c r="A11" s="27" t="str">
        <f>Rates!A49</f>
        <v>Rate Rider for Deferral/Variance Account Disposition (2012) - effective until December 31, 2013</v>
      </c>
      <c r="B11" s="28" t="str">
        <f>Rates!B49</f>
        <v>$/kWh</v>
      </c>
      <c r="C11" s="31">
        <f>Rates!D49</f>
        <v>0</v>
      </c>
      <c r="D11" s="32">
        <f>Rates!F49</f>
        <v>-1.5E-3</v>
      </c>
    </row>
    <row r="12" spans="1:4">
      <c r="A12" s="27" t="str">
        <f>Rates!A50</f>
        <v>Rate Rider for Global Adjustment Sub-Account Disposition (2012) - effective until December 31, 2013</v>
      </c>
      <c r="B12" s="28" t="str">
        <f>Rates!B50</f>
        <v>$/kWh</v>
      </c>
      <c r="C12" s="31">
        <f>Rates!D50</f>
        <v>0</v>
      </c>
      <c r="D12" s="32">
        <f>Rates!F50</f>
        <v>1.1000000000000001E-3</v>
      </c>
    </row>
    <row r="13" spans="1:4">
      <c r="A13" s="27" t="str">
        <f>Rates!A51</f>
        <v>Rate Rider for PILs - effective until December 31, 2013</v>
      </c>
      <c r="B13" s="28" t="str">
        <f>Rates!B51</f>
        <v>$/kWh</v>
      </c>
      <c r="C13" s="31">
        <f>Rates!D51</f>
        <v>0</v>
      </c>
      <c r="D13" s="32">
        <f>Rates!F51</f>
        <v>0</v>
      </c>
    </row>
    <row r="14" spans="1:4">
      <c r="A14" s="27" t="str">
        <f>Rates!A52</f>
        <v>Smart Meter Cost Recovery Rate Rider - Net Deferred Revenue Requirement, effective until December 31, 2013</v>
      </c>
      <c r="B14" s="28" t="str">
        <f>Rates!B52</f>
        <v>$/kWh</v>
      </c>
      <c r="C14" s="31">
        <f>Rates!D52</f>
        <v>0</v>
      </c>
      <c r="D14" s="32">
        <f>Rates!F52</f>
        <v>4.1099999999999998E-2</v>
      </c>
    </row>
    <row r="15" spans="1:4">
      <c r="A15" s="27" t="str">
        <f>Rates!A53</f>
        <v>Smart Meter Cost Recovery Rate Rider - Incremental Revenue Requirement, effective until December 31, 2013</v>
      </c>
      <c r="B15" s="28" t="str">
        <f>Rates!B53</f>
        <v>$/kWh</v>
      </c>
      <c r="C15" s="31">
        <f>Rates!D53</f>
        <v>0</v>
      </c>
      <c r="D15" s="32">
        <f>Rates!F53</f>
        <v>1.7399999999999999E-2</v>
      </c>
    </row>
    <row r="16" spans="1:4">
      <c r="A16" s="27" t="str">
        <f>Rates!A54</f>
        <v>Rate Rider for Tax Changes - effective until December 31, 2012</v>
      </c>
      <c r="B16" s="28" t="str">
        <f>Rates!B54</f>
        <v>$/kWh</v>
      </c>
      <c r="C16" s="31">
        <f>Rates!D54</f>
        <v>-2.9999999999999997E-4</v>
      </c>
      <c r="D16" s="32">
        <f>Rates!F54</f>
        <v>-2.0000000000000001E-4</v>
      </c>
    </row>
    <row r="17" spans="1:10">
      <c r="A17" s="27" t="str">
        <f>Rates!A55</f>
        <v>Retail Transmission Rate - Network Service Rate</v>
      </c>
      <c r="B17" s="28" t="str">
        <f>Rates!B55</f>
        <v>$/kWh</v>
      </c>
      <c r="C17" s="31">
        <f>Rates!D55</f>
        <v>7.1000000000000004E-3</v>
      </c>
      <c r="D17" s="32">
        <f>Rates!F55</f>
        <v>6.7999999999999996E-3</v>
      </c>
    </row>
    <row r="18" spans="1:10">
      <c r="A18" s="27" t="str">
        <f>Rates!A56</f>
        <v>Retail Transmission Rate - Line and Transformation Connection Service Rate</v>
      </c>
      <c r="B18" s="28" t="str">
        <f>Rates!B56</f>
        <v>$/kWh</v>
      </c>
      <c r="C18" s="31">
        <f>Rates!D56</f>
        <v>5.1000000000000004E-3</v>
      </c>
      <c r="D18" s="32">
        <f>Rates!F56</f>
        <v>5.0000000000000001E-3</v>
      </c>
    </row>
    <row r="19" spans="1:10">
      <c r="A19" s="27" t="str">
        <f>Rates!A57</f>
        <v>Wholesale Market Service Rate</v>
      </c>
      <c r="B19" s="28" t="str">
        <f>Rates!B57</f>
        <v>$/kWh</v>
      </c>
      <c r="C19" s="31">
        <f>Rates!D57</f>
        <v>5.1999999999999998E-3</v>
      </c>
      <c r="D19" s="32">
        <f>Rates!F57</f>
        <v>5.1999999999999998E-3</v>
      </c>
    </row>
    <row r="20" spans="1:10">
      <c r="A20" s="27" t="str">
        <f>Rates!A58</f>
        <v>Rural Rate Protection Charge</v>
      </c>
      <c r="B20" s="28" t="str">
        <f>Rates!B58</f>
        <v>$/kWh</v>
      </c>
      <c r="C20" s="31">
        <f>Rates!D58</f>
        <v>1.1000000000000001E-3</v>
      </c>
      <c r="D20" s="32">
        <f>Rates!F58</f>
        <v>1.1000000000000001E-3</v>
      </c>
    </row>
    <row r="21" spans="1:10">
      <c r="A21" s="27" t="str">
        <f>Rates!A59</f>
        <v>Special Purpose Charge</v>
      </c>
      <c r="B21" s="28" t="str">
        <f>Rates!B59</f>
        <v>$/kWh</v>
      </c>
      <c r="C21" s="31">
        <f>Rates!D59</f>
        <v>0</v>
      </c>
      <c r="D21" s="32">
        <f>Rates!F59</f>
        <v>0</v>
      </c>
    </row>
    <row r="22" spans="1:10" ht="12.75" thickBot="1">
      <c r="A22" s="12" t="str">
        <f>Rates!A60</f>
        <v>Standard Supply Service - Administarive Charge (if applicable)</v>
      </c>
      <c r="B22" s="17" t="str">
        <f>Rates!B60</f>
        <v>$</v>
      </c>
      <c r="C22" s="18">
        <f>Rates!D60</f>
        <v>0.25</v>
      </c>
      <c r="D22" s="13">
        <f>Rates!F60</f>
        <v>0.25</v>
      </c>
    </row>
    <row r="24" spans="1:10" ht="12.75" thickBot="1"/>
    <row r="25" spans="1:10" ht="13.5" thickBot="1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Rates!F87</f>
        <v>1.0864</v>
      </c>
    </row>
    <row r="26" spans="1:10" ht="13.5" thickBot="1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/>
    <row r="28" spans="1:10" ht="12.75" customHeight="1">
      <c r="A28" s="149" t="str">
        <f>A3</f>
        <v>Seasonal</v>
      </c>
      <c r="B28" s="151" t="s">
        <v>31</v>
      </c>
      <c r="C28" s="146" t="s">
        <v>37</v>
      </c>
      <c r="D28" s="146" t="s">
        <v>38</v>
      </c>
      <c r="E28" s="151" t="s">
        <v>31</v>
      </c>
      <c r="F28" s="146" t="s">
        <v>37</v>
      </c>
      <c r="G28" s="146" t="s">
        <v>38</v>
      </c>
      <c r="H28" s="153" t="s">
        <v>44</v>
      </c>
      <c r="I28" s="153"/>
      <c r="J28" s="154"/>
    </row>
    <row r="29" spans="1:10" ht="12.75" thickBot="1">
      <c r="A29" s="150"/>
      <c r="B29" s="152"/>
      <c r="C29" s="50" t="s">
        <v>15</v>
      </c>
      <c r="D29" s="50" t="s">
        <v>15</v>
      </c>
      <c r="E29" s="152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>
      <c r="A30" s="54" t="s">
        <v>35</v>
      </c>
      <c r="B30" s="55">
        <f>IF(B25*Rates!D87&gt;B26,B26,B25*Rates!D87)</f>
        <v>311.79680000000002</v>
      </c>
      <c r="C30" s="56">
        <f>Rates!D82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Rates!F82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59" si="1">IF(ISERROR(G30/G$59),0,G30/G$59)</f>
        <v>0.18751710291646631</v>
      </c>
    </row>
    <row r="31" spans="1:10" ht="12.75" thickBot="1">
      <c r="A31" s="63" t="s">
        <v>36</v>
      </c>
      <c r="B31" s="64">
        <f>IF(B25*Rates!D87&gt;=B26,B25*Rates!D87-B26,0)</f>
        <v>0</v>
      </c>
      <c r="C31" s="65">
        <f>Rates!D83</f>
        <v>8.7999999999999995E-2</v>
      </c>
      <c r="D31" s="66">
        <f>B31*C31</f>
        <v>0</v>
      </c>
      <c r="E31" s="64">
        <f>IF(B25*H25&gt;=B26,B25*H25-B26,0)</f>
        <v>0</v>
      </c>
      <c r="F31" s="65">
        <f>Rates!F83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0.18751710291646631</v>
      </c>
    </row>
    <row r="33" spans="1:10">
      <c r="A33" s="69" t="str">
        <f t="shared" ref="A33:A38" si="2">A4</f>
        <v>Monthly Service Charge</v>
      </c>
      <c r="B33" s="70">
        <v>1</v>
      </c>
      <c r="C33" s="46">
        <f t="shared" ref="C33:C38" si="3">C4</f>
        <v>26.15</v>
      </c>
      <c r="D33" s="46">
        <f t="shared" ref="D33:D45" si="4">B33*C33</f>
        <v>26.15</v>
      </c>
      <c r="E33" s="71">
        <f>B33</f>
        <v>1</v>
      </c>
      <c r="F33" s="47">
        <f t="shared" ref="F33:F37" si="5">D4</f>
        <v>26.38</v>
      </c>
      <c r="G33" s="47">
        <f t="shared" ref="G33:G45" si="6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0.21153525522333269</v>
      </c>
    </row>
    <row r="34" spans="1:10">
      <c r="A34" s="61" t="str">
        <f t="shared" si="2"/>
        <v>Smart Meter Rate Adder</v>
      </c>
      <c r="B34" s="43">
        <f>B33</f>
        <v>1</v>
      </c>
      <c r="C34" s="41">
        <f t="shared" si="3"/>
        <v>1</v>
      </c>
      <c r="D34" s="41">
        <f t="shared" si="4"/>
        <v>1</v>
      </c>
      <c r="E34" s="43">
        <f>B34</f>
        <v>1</v>
      </c>
      <c r="F34" s="41">
        <f t="shared" si="5"/>
        <v>0</v>
      </c>
      <c r="G34" s="41">
        <f t="shared" si="6"/>
        <v>0</v>
      </c>
      <c r="H34" s="41">
        <f t="shared" si="0"/>
        <v>-1</v>
      </c>
      <c r="I34" s="42">
        <f>IF(ISERROR(H34/D34),1,H34/D34)</f>
        <v>-1</v>
      </c>
      <c r="J34" s="62">
        <f t="shared" si="1"/>
        <v>0</v>
      </c>
    </row>
    <row r="35" spans="1:10">
      <c r="A35" s="61" t="str">
        <f t="shared" si="2"/>
        <v>Distribution Volumetric Rate</v>
      </c>
      <c r="B35" s="43">
        <f>B25</f>
        <v>287</v>
      </c>
      <c r="C35" s="40">
        <f t="shared" si="3"/>
        <v>0.10059999999999999</v>
      </c>
      <c r="D35" s="41">
        <f t="shared" si="4"/>
        <v>28.872199999999999</v>
      </c>
      <c r="E35" s="43">
        <f>B25</f>
        <v>287</v>
      </c>
      <c r="F35" s="40">
        <f t="shared" si="5"/>
        <v>0.10150000000000001</v>
      </c>
      <c r="G35" s="41">
        <f t="shared" si="6"/>
        <v>29.130500000000001</v>
      </c>
      <c r="H35" s="41">
        <f t="shared" si="0"/>
        <v>0.25830000000000197</v>
      </c>
      <c r="I35" s="42">
        <f t="shared" ref="I35:I59" si="7">IF(ISERROR(H35/D35),0,H35/D35)</f>
        <v>8.9463220675945025E-3</v>
      </c>
      <c r="J35" s="62">
        <f t="shared" si="1"/>
        <v>0.23359089280831288</v>
      </c>
    </row>
    <row r="36" spans="1:10">
      <c r="A36" s="61" t="str">
        <f t="shared" si="2"/>
        <v>Rate Rider for Foregone Revenue Recovery - effective until December 31, 2012</v>
      </c>
      <c r="B36" s="43">
        <f>B25</f>
        <v>287</v>
      </c>
      <c r="C36" s="40">
        <f t="shared" si="3"/>
        <v>2.0000000000000001E-4</v>
      </c>
      <c r="D36" s="41">
        <f t="shared" si="4"/>
        <v>5.74E-2</v>
      </c>
      <c r="E36" s="43">
        <f>B25</f>
        <v>287</v>
      </c>
      <c r="F36" s="40">
        <f t="shared" si="5"/>
        <v>0</v>
      </c>
      <c r="G36" s="41">
        <f>E36*F36</f>
        <v>0</v>
      </c>
      <c r="H36" s="41">
        <f>G36-D36</f>
        <v>-5.74E-2</v>
      </c>
      <c r="I36" s="42">
        <f>IF(ISERROR(H36/D36),0,H36/D36)</f>
        <v>-1</v>
      </c>
      <c r="J36" s="62">
        <f t="shared" si="1"/>
        <v>0</v>
      </c>
    </row>
    <row r="37" spans="1:10">
      <c r="A37" s="61" t="str">
        <f t="shared" si="2"/>
        <v>Rate Rider for Deferral/Variance Account Disposition - effective until May 31, 2013</v>
      </c>
      <c r="B37" s="43">
        <f>B25</f>
        <v>287</v>
      </c>
      <c r="C37" s="40">
        <f t="shared" si="3"/>
        <v>4.5999999999999999E-3</v>
      </c>
      <c r="D37" s="41">
        <f t="shared" si="4"/>
        <v>1.3202</v>
      </c>
      <c r="E37" s="43">
        <f>B25</f>
        <v>287</v>
      </c>
      <c r="F37" s="40">
        <f t="shared" si="5"/>
        <v>4.5999999999999999E-3</v>
      </c>
      <c r="G37" s="41">
        <f t="shared" si="6"/>
        <v>1.3202</v>
      </c>
      <c r="H37" s="41">
        <f t="shared" si="0"/>
        <v>0</v>
      </c>
      <c r="I37" s="42">
        <f t="shared" si="7"/>
        <v>0</v>
      </c>
      <c r="J37" s="62">
        <f t="shared" si="1"/>
        <v>1.0586385289834868E-2</v>
      </c>
    </row>
    <row r="38" spans="1:10">
      <c r="A38" s="61" t="str">
        <f t="shared" si="2"/>
        <v>Rate Rider for Deferral/Variance Account Disposition - effective until May 31, 2013</v>
      </c>
      <c r="B38" s="43">
        <f>B25</f>
        <v>287</v>
      </c>
      <c r="C38" s="40">
        <f t="shared" si="3"/>
        <v>-6.1000000000000004E-3</v>
      </c>
      <c r="D38" s="41">
        <f t="shared" si="4"/>
        <v>-1.7507000000000001</v>
      </c>
      <c r="E38" s="43">
        <f>B25</f>
        <v>287</v>
      </c>
      <c r="F38" s="40">
        <f>D9</f>
        <v>-6.1000000000000004E-3</v>
      </c>
      <c r="G38" s="41">
        <f>E38*F38</f>
        <v>-1.7507000000000001</v>
      </c>
      <c r="H38" s="41">
        <f>G38-D38</f>
        <v>0</v>
      </c>
      <c r="I38" s="42">
        <f>IF(ISERROR(H38/D38),0,H38/D38)</f>
        <v>0</v>
      </c>
      <c r="J38" s="62">
        <f t="shared" si="1"/>
        <v>-1.4038467449563632E-2</v>
      </c>
    </row>
    <row r="39" spans="1:10">
      <c r="A39" s="61" t="str">
        <f>A10</f>
        <v>Rate Rider for Deferral/Variance Account Disposition - effective until November 30, 2015</v>
      </c>
      <c r="B39" s="43">
        <f>B25</f>
        <v>287</v>
      </c>
      <c r="C39" s="40">
        <f>C10</f>
        <v>3.0700000000000002E-2</v>
      </c>
      <c r="D39" s="41">
        <f t="shared" si="4"/>
        <v>8.8109000000000002</v>
      </c>
      <c r="E39" s="43">
        <f>B25</f>
        <v>287</v>
      </c>
      <c r="F39" s="40">
        <f>D10</f>
        <v>3.0700000000000002E-2</v>
      </c>
      <c r="G39" s="41">
        <f>E39*F39</f>
        <v>8.8109000000000002</v>
      </c>
      <c r="H39" s="41">
        <f>G39-D39</f>
        <v>0</v>
      </c>
      <c r="I39" s="42">
        <f>IF(ISERROR(H39/D39),0,H39/D39)</f>
        <v>0</v>
      </c>
      <c r="J39" s="62">
        <f t="shared" si="1"/>
        <v>7.0652614869115324E-2</v>
      </c>
    </row>
    <row r="40" spans="1:10">
      <c r="A40" s="61" t="str">
        <f>A11</f>
        <v>Rate Rider for Deferral/Variance Account Disposition (2012) - effective until December 31, 2013</v>
      </c>
      <c r="B40" s="43">
        <f>B25</f>
        <v>287</v>
      </c>
      <c r="C40" s="40">
        <f>C11</f>
        <v>0</v>
      </c>
      <c r="D40" s="41">
        <f t="shared" si="4"/>
        <v>0</v>
      </c>
      <c r="E40" s="43">
        <f>B25</f>
        <v>287</v>
      </c>
      <c r="F40" s="40">
        <f>D11</f>
        <v>-1.5E-3</v>
      </c>
      <c r="G40" s="41">
        <f>E40*F40</f>
        <v>-0.43049999999999999</v>
      </c>
      <c r="H40" s="41">
        <f>G40-D40</f>
        <v>-0.43049999999999999</v>
      </c>
      <c r="I40" s="42">
        <f>IF(ISERROR(H40/D40),0,H40/D40)</f>
        <v>0</v>
      </c>
      <c r="J40" s="62">
        <f t="shared" si="1"/>
        <v>-3.4520821597287614E-3</v>
      </c>
    </row>
    <row r="41" spans="1:10">
      <c r="A41" s="61" t="str">
        <f>A12</f>
        <v>Rate Rider for Global Adjustment Sub-Account Disposition (2012) - effective until December 31, 2013</v>
      </c>
      <c r="B41" s="43">
        <f>B25</f>
        <v>287</v>
      </c>
      <c r="C41" s="40">
        <f>C12</f>
        <v>0</v>
      </c>
      <c r="D41" s="41">
        <f t="shared" si="4"/>
        <v>0</v>
      </c>
      <c r="E41" s="43">
        <f>B25</f>
        <v>287</v>
      </c>
      <c r="F41" s="40">
        <f>D12</f>
        <v>1.1000000000000001E-3</v>
      </c>
      <c r="G41" s="41">
        <f t="shared" si="6"/>
        <v>0.31570000000000004</v>
      </c>
      <c r="H41" s="41">
        <f t="shared" si="0"/>
        <v>0.31570000000000004</v>
      </c>
      <c r="I41" s="42">
        <f t="shared" si="7"/>
        <v>0</v>
      </c>
      <c r="J41" s="62">
        <f t="shared" si="1"/>
        <v>2.5315269171344254E-3</v>
      </c>
    </row>
    <row r="42" spans="1:10">
      <c r="A42" s="61" t="str">
        <f t="shared" ref="A42:A44" si="8">A13</f>
        <v>Rate Rider for PILs - effective until December 31, 2013</v>
      </c>
      <c r="B42" s="43">
        <f>B25</f>
        <v>287</v>
      </c>
      <c r="C42" s="40">
        <f t="shared" ref="C42:C44" si="9">C13</f>
        <v>0</v>
      </c>
      <c r="D42" s="41">
        <f t="shared" si="4"/>
        <v>0</v>
      </c>
      <c r="E42" s="43">
        <f>B25</f>
        <v>287</v>
      </c>
      <c r="F42" s="40">
        <f t="shared" ref="F42:F44" si="10">D13</f>
        <v>0</v>
      </c>
      <c r="G42" s="41">
        <f t="shared" si="6"/>
        <v>0</v>
      </c>
      <c r="H42" s="41">
        <f t="shared" si="0"/>
        <v>0</v>
      </c>
      <c r="I42" s="42">
        <f t="shared" si="7"/>
        <v>0</v>
      </c>
      <c r="J42" s="62">
        <f t="shared" si="1"/>
        <v>0</v>
      </c>
    </row>
    <row r="43" spans="1:10">
      <c r="A43" s="61" t="str">
        <f t="shared" si="8"/>
        <v>Smart Meter Cost Recovery Rate Rider - Net Deferred Revenue Requirement, effective until December 31, 2013</v>
      </c>
      <c r="B43" s="43">
        <f>B25</f>
        <v>287</v>
      </c>
      <c r="C43" s="40">
        <f t="shared" si="9"/>
        <v>0</v>
      </c>
      <c r="D43" s="41">
        <f t="shared" si="4"/>
        <v>0</v>
      </c>
      <c r="E43" s="43">
        <f>B25</f>
        <v>287</v>
      </c>
      <c r="F43" s="40">
        <f t="shared" si="10"/>
        <v>4.1099999999999998E-2</v>
      </c>
      <c r="G43" s="41">
        <f t="shared" si="6"/>
        <v>11.7957</v>
      </c>
      <c r="H43" s="41">
        <f t="shared" si="0"/>
        <v>11.7957</v>
      </c>
      <c r="I43" s="42">
        <f t="shared" si="7"/>
        <v>0</v>
      </c>
      <c r="J43" s="62">
        <f t="shared" si="1"/>
        <v>9.4587051176568071E-2</v>
      </c>
    </row>
    <row r="44" spans="1:10">
      <c r="A44" s="61" t="str">
        <f t="shared" si="8"/>
        <v>Smart Meter Cost Recovery Rate Rider - Incremental Revenue Requirement, effective until December 31, 2013</v>
      </c>
      <c r="B44" s="43">
        <f>B25</f>
        <v>287</v>
      </c>
      <c r="C44" s="40">
        <f t="shared" si="9"/>
        <v>0</v>
      </c>
      <c r="D44" s="41">
        <f t="shared" si="4"/>
        <v>0</v>
      </c>
      <c r="E44" s="43">
        <f>B25</f>
        <v>287</v>
      </c>
      <c r="F44" s="40">
        <f t="shared" si="10"/>
        <v>1.7399999999999999E-2</v>
      </c>
      <c r="G44" s="41">
        <f t="shared" si="6"/>
        <v>4.9937999999999994</v>
      </c>
      <c r="H44" s="41">
        <f t="shared" si="0"/>
        <v>4.9937999999999994</v>
      </c>
      <c r="I44" s="42">
        <f t="shared" si="7"/>
        <v>0</v>
      </c>
      <c r="J44" s="62">
        <f t="shared" si="1"/>
        <v>4.004415305285363E-2</v>
      </c>
    </row>
    <row r="45" spans="1:10" ht="12.75" thickBot="1">
      <c r="A45" s="61" t="str">
        <f>A16</f>
        <v>Rate Rider for Tax Changes - effective until December 31, 2012</v>
      </c>
      <c r="B45" s="43">
        <f>B25</f>
        <v>287</v>
      </c>
      <c r="C45" s="40">
        <f>C16</f>
        <v>-2.9999999999999997E-4</v>
      </c>
      <c r="D45" s="41">
        <f t="shared" si="4"/>
        <v>-8.6099999999999996E-2</v>
      </c>
      <c r="E45" s="43">
        <f>B25</f>
        <v>287</v>
      </c>
      <c r="F45" s="40">
        <f>D16</f>
        <v>-2.0000000000000001E-4</v>
      </c>
      <c r="G45" s="41">
        <f t="shared" si="6"/>
        <v>-5.74E-2</v>
      </c>
      <c r="H45" s="41">
        <f t="shared" si="0"/>
        <v>2.8699999999999996E-2</v>
      </c>
      <c r="I45" s="42">
        <f t="shared" si="7"/>
        <v>-0.33333333333333331</v>
      </c>
      <c r="J45" s="62">
        <f t="shared" si="1"/>
        <v>-4.6027762129716821E-4</v>
      </c>
    </row>
    <row r="46" spans="1:10" ht="12.75" thickBot="1">
      <c r="A46" s="73" t="s">
        <v>40</v>
      </c>
      <c r="B46" s="74"/>
      <c r="C46" s="75"/>
      <c r="D46" s="76">
        <f>SUM(D33:D45)</f>
        <v>64.373899999999992</v>
      </c>
      <c r="E46" s="75"/>
      <c r="F46" s="75"/>
      <c r="G46" s="76">
        <f>SUM(G33:G45)</f>
        <v>80.508199999999988</v>
      </c>
      <c r="H46" s="76">
        <f t="shared" si="0"/>
        <v>16.134299999999996</v>
      </c>
      <c r="I46" s="77">
        <f t="shared" si="7"/>
        <v>0.25063418559385092</v>
      </c>
      <c r="J46" s="78">
        <f t="shared" si="1"/>
        <v>0.64557705210656224</v>
      </c>
    </row>
    <row r="47" spans="1:10">
      <c r="A47" s="69" t="str">
        <f>A17</f>
        <v>Retail Transmission Rate - Network Service Rate</v>
      </c>
      <c r="B47" s="44">
        <f>B25*Rates!D87</f>
        <v>311.79680000000002</v>
      </c>
      <c r="C47" s="45">
        <f>C17</f>
        <v>7.1000000000000004E-3</v>
      </c>
      <c r="D47" s="47">
        <f>B47*C47</f>
        <v>2.2137572800000003</v>
      </c>
      <c r="E47" s="44">
        <f>B25*H25</f>
        <v>311.79680000000002</v>
      </c>
      <c r="F47" s="45">
        <f>D17</f>
        <v>6.7999999999999996E-3</v>
      </c>
      <c r="G47" s="47">
        <f>E47*F47</f>
        <v>2.1202182399999998</v>
      </c>
      <c r="H47" s="47">
        <f t="shared" si="0"/>
        <v>-9.3539040000000462E-2</v>
      </c>
      <c r="I47" s="48">
        <f t="shared" si="7"/>
        <v>-4.2253521126760764E-2</v>
      </c>
      <c r="J47" s="72">
        <f t="shared" si="1"/>
        <v>1.7001550664426279E-2</v>
      </c>
    </row>
    <row r="48" spans="1:10" ht="12.75" thickBot="1">
      <c r="A48" s="63" t="str">
        <f>A18</f>
        <v>Retail Transmission Rate - Line and Transformation Connection Service Rate</v>
      </c>
      <c r="B48" s="64">
        <f>B25*Rates!D87</f>
        <v>311.79680000000002</v>
      </c>
      <c r="C48" s="65">
        <f>C18</f>
        <v>5.1000000000000004E-3</v>
      </c>
      <c r="D48" s="66">
        <f>B48*C48</f>
        <v>1.5901636800000003</v>
      </c>
      <c r="E48" s="64">
        <f>B25*H25</f>
        <v>311.79680000000002</v>
      </c>
      <c r="F48" s="65">
        <f>D18</f>
        <v>5.0000000000000001E-3</v>
      </c>
      <c r="G48" s="66">
        <f>E48*F48</f>
        <v>1.5589840000000001</v>
      </c>
      <c r="H48" s="66">
        <f t="shared" si="0"/>
        <v>-3.1179680000000154E-2</v>
      </c>
      <c r="I48" s="67">
        <f t="shared" si="7"/>
        <v>-1.9607843137254995E-2</v>
      </c>
      <c r="J48" s="68">
        <f t="shared" si="1"/>
        <v>1.250114019443109E-2</v>
      </c>
    </row>
    <row r="49" spans="1:10" ht="12.75" thickBot="1">
      <c r="A49" s="73" t="s">
        <v>32</v>
      </c>
      <c r="B49" s="74"/>
      <c r="C49" s="75"/>
      <c r="D49" s="76">
        <f>SUM(D47:D48)</f>
        <v>3.8039209600000006</v>
      </c>
      <c r="E49" s="75"/>
      <c r="F49" s="75"/>
      <c r="G49" s="76">
        <f>SUM(G47:G48)</f>
        <v>3.67920224</v>
      </c>
      <c r="H49" s="76">
        <f t="shared" si="0"/>
        <v>-0.12471872000000062</v>
      </c>
      <c r="I49" s="77">
        <f t="shared" si="7"/>
        <v>-3.2786885245901794E-2</v>
      </c>
      <c r="J49" s="78">
        <f t="shared" si="1"/>
        <v>2.9502690858857369E-2</v>
      </c>
    </row>
    <row r="50" spans="1:10" ht="12.75" thickBot="1">
      <c r="A50" s="81" t="s">
        <v>41</v>
      </c>
      <c r="B50" s="82"/>
      <c r="C50" s="83"/>
      <c r="D50" s="84">
        <f>D46+D49</f>
        <v>68.177820959999991</v>
      </c>
      <c r="E50" s="83"/>
      <c r="F50" s="83"/>
      <c r="G50" s="84">
        <f>G46+G49</f>
        <v>84.187402239999983</v>
      </c>
      <c r="H50" s="84">
        <f t="shared" si="0"/>
        <v>16.009581279999992</v>
      </c>
      <c r="I50" s="85">
        <f t="shared" si="7"/>
        <v>0.23482095870140574</v>
      </c>
      <c r="J50" s="86">
        <f t="shared" si="1"/>
        <v>0.6750797429654195</v>
      </c>
    </row>
    <row r="51" spans="1:10">
      <c r="A51" s="69" t="str">
        <f>A19</f>
        <v>Wholesale Market Service Rate</v>
      </c>
      <c r="B51" s="44">
        <f>B25*Rates!D87</f>
        <v>311.79680000000002</v>
      </c>
      <c r="C51" s="45">
        <f>C19</f>
        <v>5.1999999999999998E-3</v>
      </c>
      <c r="D51" s="47">
        <f>B51*C51</f>
        <v>1.62134336</v>
      </c>
      <c r="E51" s="44">
        <f>B25*H25</f>
        <v>311.79680000000002</v>
      </c>
      <c r="F51" s="45">
        <f>D19</f>
        <v>5.1999999999999998E-3</v>
      </c>
      <c r="G51" s="47">
        <f>E51*F51</f>
        <v>1.62134336</v>
      </c>
      <c r="H51" s="47">
        <f t="shared" si="0"/>
        <v>0</v>
      </c>
      <c r="I51" s="48">
        <f t="shared" si="7"/>
        <v>0</v>
      </c>
      <c r="J51" s="72">
        <f t="shared" si="1"/>
        <v>1.3001185802208331E-2</v>
      </c>
    </row>
    <row r="52" spans="1:10">
      <c r="A52" s="61" t="str">
        <f>A20</f>
        <v>Rural Rate Protection Charge</v>
      </c>
      <c r="B52" s="39">
        <f>B25*Rates!D87</f>
        <v>311.79680000000002</v>
      </c>
      <c r="C52" s="40">
        <f>C20</f>
        <v>1.1000000000000001E-3</v>
      </c>
      <c r="D52" s="41">
        <f>B52*C52</f>
        <v>0.34297648000000003</v>
      </c>
      <c r="E52" s="39">
        <f>B25*H25</f>
        <v>311.79680000000002</v>
      </c>
      <c r="F52" s="40">
        <f>D20</f>
        <v>1.1000000000000001E-3</v>
      </c>
      <c r="G52" s="41">
        <f>E52*F52</f>
        <v>0.34297648000000003</v>
      </c>
      <c r="H52" s="41">
        <f t="shared" si="0"/>
        <v>0</v>
      </c>
      <c r="I52" s="42">
        <f t="shared" si="7"/>
        <v>0</v>
      </c>
      <c r="J52" s="62">
        <f t="shared" si="1"/>
        <v>2.7502508427748396E-3</v>
      </c>
    </row>
    <row r="53" spans="1:10">
      <c r="A53" s="63" t="s">
        <v>45</v>
      </c>
      <c r="B53" s="64">
        <f>B25*Rates!D87</f>
        <v>311.79680000000002</v>
      </c>
      <c r="C53" s="65">
        <f>Rates!D59</f>
        <v>0</v>
      </c>
      <c r="D53" s="66">
        <f>B53*C53</f>
        <v>0</v>
      </c>
      <c r="E53" s="64">
        <f>B25*Rates!F87</f>
        <v>311.79680000000002</v>
      </c>
      <c r="F53" s="65">
        <f>Rates!F59</f>
        <v>0</v>
      </c>
      <c r="G53" s="66">
        <f>E53*F53</f>
        <v>0</v>
      </c>
      <c r="H53" s="41">
        <f>G53-D53</f>
        <v>0</v>
      </c>
      <c r="I53" s="42">
        <f>IF(ISERROR(H53/D53),0,H53/D53)</f>
        <v>0</v>
      </c>
      <c r="J53" s="62">
        <f t="shared" si="1"/>
        <v>0</v>
      </c>
    </row>
    <row r="54" spans="1:10" ht="12.75" thickBot="1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"/>
        <v>2.0046934725486418E-3</v>
      </c>
    </row>
    <row r="55" spans="1:10" ht="12.75" thickBot="1">
      <c r="A55" s="73" t="s">
        <v>42</v>
      </c>
      <c r="B55" s="74"/>
      <c r="C55" s="75"/>
      <c r="D55" s="76">
        <f>SUM(D51:D54)</f>
        <v>2.2143198399999999</v>
      </c>
      <c r="E55" s="75"/>
      <c r="F55" s="75"/>
      <c r="G55" s="76">
        <f>SUM(G51:G54)</f>
        <v>2.2143198399999999</v>
      </c>
      <c r="H55" s="76">
        <f t="shared" si="0"/>
        <v>0</v>
      </c>
      <c r="I55" s="77">
        <f t="shared" si="7"/>
        <v>0</v>
      </c>
      <c r="J55" s="78">
        <f t="shared" si="1"/>
        <v>1.7756130117531813E-2</v>
      </c>
    </row>
    <row r="56" spans="1:10" ht="12.75" thickBot="1">
      <c r="A56" s="87" t="s">
        <v>19</v>
      </c>
      <c r="B56" s="88">
        <f>B25</f>
        <v>287</v>
      </c>
      <c r="C56" s="89">
        <f>Rates!D81</f>
        <v>2E-3</v>
      </c>
      <c r="D56" s="90">
        <f>B56*C56</f>
        <v>0.57400000000000007</v>
      </c>
      <c r="E56" s="88">
        <f>B25</f>
        <v>287</v>
      </c>
      <c r="F56" s="89">
        <f>Rates!F81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"/>
        <v>4.6027762129716822E-3</v>
      </c>
    </row>
    <row r="57" spans="1:10" ht="12.75" thickBot="1">
      <c r="A57" s="73" t="s">
        <v>43</v>
      </c>
      <c r="B57" s="74"/>
      <c r="C57" s="75"/>
      <c r="D57" s="76">
        <f>D32+D50+D55+D56</f>
        <v>94.350900799999991</v>
      </c>
      <c r="E57" s="75"/>
      <c r="F57" s="75"/>
      <c r="G57" s="76">
        <f>G32+G50+G55+G56</f>
        <v>110.36048207999998</v>
      </c>
      <c r="H57" s="76">
        <f t="shared" si="0"/>
        <v>16.009581279999992</v>
      </c>
      <c r="I57" s="77">
        <f t="shared" si="7"/>
        <v>0.16968127642931835</v>
      </c>
      <c r="J57" s="78">
        <f t="shared" si="1"/>
        <v>0.88495575221238931</v>
      </c>
    </row>
    <row r="58" spans="1:10" ht="12.75" thickBot="1">
      <c r="A58" s="93" t="s">
        <v>46</v>
      </c>
      <c r="B58" s="94"/>
      <c r="C58" s="95">
        <f>Rates!D88</f>
        <v>0.13</v>
      </c>
      <c r="D58" s="90">
        <f>C58*D57</f>
        <v>12.265617103999999</v>
      </c>
      <c r="E58" s="96"/>
      <c r="F58" s="95">
        <f>Rates!F88</f>
        <v>0.13</v>
      </c>
      <c r="G58" s="90">
        <f>F58*G57</f>
        <v>14.346862670399998</v>
      </c>
      <c r="H58" s="90">
        <f t="shared" si="0"/>
        <v>2.0812455663999998</v>
      </c>
      <c r="I58" s="91">
        <f t="shared" si="7"/>
        <v>0.16968127642931841</v>
      </c>
      <c r="J58" s="92">
        <f t="shared" si="1"/>
        <v>0.11504424778761062</v>
      </c>
    </row>
    <row r="59" spans="1:10" ht="12.75" thickBot="1">
      <c r="A59" s="81" t="s">
        <v>33</v>
      </c>
      <c r="B59" s="82"/>
      <c r="C59" s="83"/>
      <c r="D59" s="104">
        <f>D57+D58</f>
        <v>106.61651790399999</v>
      </c>
      <c r="E59" s="83"/>
      <c r="F59" s="83"/>
      <c r="G59" s="104">
        <f>G57+G58</f>
        <v>124.70734475039998</v>
      </c>
      <c r="H59" s="104">
        <f t="shared" si="0"/>
        <v>18.090826846399992</v>
      </c>
      <c r="I59" s="85">
        <f t="shared" si="7"/>
        <v>0.16968127642931835</v>
      </c>
      <c r="J59" s="86">
        <f t="shared" si="1"/>
        <v>1</v>
      </c>
    </row>
    <row r="60" spans="1:10">
      <c r="A60" s="130"/>
      <c r="B60" s="131"/>
      <c r="C60" s="132"/>
      <c r="D60" s="132"/>
      <c r="E60" s="132"/>
      <c r="F60" s="132"/>
      <c r="G60" s="132"/>
      <c r="H60" s="132"/>
      <c r="I60" s="132"/>
      <c r="J60" s="133"/>
    </row>
    <row r="61" spans="1:10">
      <c r="A61" s="134" t="s">
        <v>62</v>
      </c>
      <c r="B61" s="135"/>
      <c r="C61" s="136"/>
      <c r="D61" s="137">
        <f>D59*0.1</f>
        <v>10.661651790400001</v>
      </c>
      <c r="E61" s="136"/>
      <c r="F61" s="136"/>
      <c r="G61" s="137">
        <f>G59*0.1</f>
        <v>12.470734475039999</v>
      </c>
      <c r="H61" s="136"/>
      <c r="I61" s="136"/>
      <c r="J61" s="138"/>
    </row>
    <row r="62" spans="1:10" ht="12.75" thickBot="1">
      <c r="A62" s="139" t="s">
        <v>63</v>
      </c>
      <c r="B62" s="140"/>
      <c r="C62" s="141"/>
      <c r="D62" s="142">
        <f>D59-D61</f>
        <v>95.954866113599991</v>
      </c>
      <c r="E62" s="141"/>
      <c r="F62" s="141"/>
      <c r="G62" s="142">
        <f>G59-G61</f>
        <v>112.23661027535998</v>
      </c>
      <c r="H62" s="144">
        <f>G62-D62</f>
        <v>16.281744161759988</v>
      </c>
      <c r="I62" s="145">
        <f>H62/D62</f>
        <v>0.16968127642931832</v>
      </c>
      <c r="J62" s="143"/>
    </row>
  </sheetData>
  <mergeCells count="4">
    <mergeCell ref="A28:A29"/>
    <mergeCell ref="B28:B29"/>
    <mergeCell ref="E28:E29"/>
    <mergeCell ref="H28:J28"/>
  </mergeCells>
  <pageMargins left="0.75" right="0.75" top="1" bottom="1" header="0.5" footer="0.5"/>
  <pageSetup scale="59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2:J53"/>
  <sheetViews>
    <sheetView view="pageBreakPreview" zoomScale="60" zoomScaleNormal="100" workbookViewId="0">
      <selection activeCell="H6" sqref="H6"/>
    </sheetView>
  </sheetViews>
  <sheetFormatPr defaultRowHeight="1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.85546875" style="8" customWidth="1"/>
    <col min="12" max="16384" width="9.140625" style="8"/>
  </cols>
  <sheetData>
    <row r="2" spans="1:4" ht="12.75" thickBot="1"/>
    <row r="3" spans="1:4" ht="36.75" thickBot="1">
      <c r="A3" s="14" t="str">
        <f>Rates!A62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Rates!A42</f>
        <v>Monthly Service Charge</v>
      </c>
      <c r="B4" s="24" t="str">
        <f>Rates!B63</f>
        <v>$</v>
      </c>
      <c r="C4" s="25">
        <f>Rates!D63</f>
        <v>0.96</v>
      </c>
      <c r="D4" s="26">
        <f>Rates!F63</f>
        <v>0.97</v>
      </c>
    </row>
    <row r="5" spans="1:4">
      <c r="A5" s="27" t="str">
        <f>Rates!A43</f>
        <v>Smart Meter Rate Adder</v>
      </c>
      <c r="B5" s="28" t="str">
        <f>Rates!B64</f>
        <v>$</v>
      </c>
      <c r="C5" s="29">
        <f>Rates!D64</f>
        <v>0</v>
      </c>
      <c r="D5" s="30">
        <f>Rates!F64</f>
        <v>0</v>
      </c>
    </row>
    <row r="6" spans="1:4">
      <c r="A6" s="27" t="str">
        <f>Rates!A44</f>
        <v>Distribution Volumetric Rate</v>
      </c>
      <c r="B6" s="28" t="str">
        <f>Rates!B65</f>
        <v>$/kWh</v>
      </c>
      <c r="C6" s="31">
        <f>Rates!D65</f>
        <v>0.15429999999999999</v>
      </c>
      <c r="D6" s="32">
        <f>Rates!F65</f>
        <v>0.15570000000000001</v>
      </c>
    </row>
    <row r="7" spans="1:4">
      <c r="A7" s="27" t="str">
        <f>Rates!A66</f>
        <v>Rate Rider for Foregone Revenue Recovery - effective until December 31, 2012</v>
      </c>
      <c r="B7" s="28" t="str">
        <f>Rates!B66</f>
        <v>$/kWh</v>
      </c>
      <c r="C7" s="31">
        <f>Rates!D66</f>
        <v>1E-4</v>
      </c>
      <c r="D7" s="32">
        <f>Rates!F66</f>
        <v>0</v>
      </c>
    </row>
    <row r="8" spans="1:4">
      <c r="A8" s="27" t="str">
        <f>Rates!A67</f>
        <v>Rate Rider for Deferral/Variance Account Disposition - effective until May 31, 2013</v>
      </c>
      <c r="B8" s="28" t="str">
        <f>Rates!B67</f>
        <v>$/kWh</v>
      </c>
      <c r="C8" s="31">
        <f>Rates!D67</f>
        <v>4.7999999999999996E-3</v>
      </c>
      <c r="D8" s="32">
        <f>Rates!F67</f>
        <v>4.7999999999999996E-3</v>
      </c>
    </row>
    <row r="9" spans="1:4">
      <c r="A9" s="27" t="str">
        <f>Rates!A68</f>
        <v>Rate Rider for Deferral/Variance Account Disposition - effective until May 31, 2013</v>
      </c>
      <c r="B9" s="28" t="str">
        <f>Rates!B68</f>
        <v>$/kWh</v>
      </c>
      <c r="C9" s="31">
        <f>Rates!D68</f>
        <v>-6.1000000000000004E-3</v>
      </c>
      <c r="D9" s="32">
        <f>Rates!F68</f>
        <v>-6.1000000000000004E-3</v>
      </c>
    </row>
    <row r="10" spans="1:4">
      <c r="A10" s="27" t="str">
        <f>Rates!A69</f>
        <v>Rate Rider for Deferral/Variance Account Disposition (2012) - effective until December 31, 2013</v>
      </c>
      <c r="B10" s="28" t="str">
        <f>Rates!B69</f>
        <v>$/kWh</v>
      </c>
      <c r="C10" s="31">
        <f>Rates!D69</f>
        <v>0</v>
      </c>
      <c r="D10" s="32">
        <f>Rates!F69</f>
        <v>-6.9999999999999999E-4</v>
      </c>
    </row>
    <row r="11" spans="1:4">
      <c r="A11" s="27" t="str">
        <f>Rates!A70</f>
        <v>Rate Rider for Global Adjustment Sub-Account Disposition (2012) - effective until December 31, 2013</v>
      </c>
      <c r="B11" s="28" t="str">
        <f>Rates!B70</f>
        <v>$/kWh</v>
      </c>
      <c r="C11" s="31">
        <f>Rates!D70</f>
        <v>0</v>
      </c>
      <c r="D11" s="32"/>
    </row>
    <row r="12" spans="1:4">
      <c r="A12" s="27" t="str">
        <f>Rates!A71</f>
        <v>Rate Rider for PILs - effective until December 31, 2013</v>
      </c>
      <c r="B12" s="28" t="str">
        <f>Rates!B71</f>
        <v>$/kWh</v>
      </c>
      <c r="C12" s="31">
        <f>Rates!D71</f>
        <v>0</v>
      </c>
      <c r="D12" s="32">
        <f>Rates!F71</f>
        <v>0</v>
      </c>
    </row>
    <row r="13" spans="1:4">
      <c r="A13" s="27" t="str">
        <f>Rates!A72</f>
        <v>Rate Rider for Tax Changes - effective until December 31, 2012</v>
      </c>
      <c r="B13" s="28" t="str">
        <f>Rates!B72</f>
        <v>$/kWh</v>
      </c>
      <c r="C13" s="31">
        <f>Rates!D72</f>
        <v>-2.0000000000000001E-4</v>
      </c>
      <c r="D13" s="32">
        <f>Rates!F72</f>
        <v>-2.0000000000000001E-4</v>
      </c>
    </row>
    <row r="14" spans="1:4">
      <c r="A14" s="27" t="str">
        <f>Rates!A73</f>
        <v>Retail Transmission Rate - Network Service Rate</v>
      </c>
      <c r="B14" s="28" t="str">
        <f>Rates!B73</f>
        <v>$/kW</v>
      </c>
      <c r="C14" s="31">
        <f>Rates!D73</f>
        <v>1.9906999999999999</v>
      </c>
      <c r="D14" s="32">
        <f>Rates!F73</f>
        <v>1.9012</v>
      </c>
    </row>
    <row r="15" spans="1:4">
      <c r="A15" s="27" t="str">
        <f>Rates!A74</f>
        <v>Retail Transmission Rate - Line and Transformation Connection Service Rate</v>
      </c>
      <c r="B15" s="28" t="str">
        <f>Rates!B74</f>
        <v>$/kW</v>
      </c>
      <c r="C15" s="31">
        <f>Rates!D74</f>
        <v>1.3992</v>
      </c>
      <c r="D15" s="32">
        <f>Rates!F74</f>
        <v>1.3680000000000001</v>
      </c>
    </row>
    <row r="16" spans="1:4">
      <c r="A16" s="27" t="str">
        <f>Rates!A75</f>
        <v>Wholesale Market Service Rate</v>
      </c>
      <c r="B16" s="28" t="str">
        <f>Rates!B75</f>
        <v>$/kWh</v>
      </c>
      <c r="C16" s="31">
        <f>Rates!D75</f>
        <v>5.1999999999999998E-3</v>
      </c>
      <c r="D16" s="32">
        <f>Rates!F75</f>
        <v>5.1999999999999998E-3</v>
      </c>
    </row>
    <row r="17" spans="1:10">
      <c r="A17" s="27" t="str">
        <f>Rates!A76</f>
        <v>Rural Rate Protection Charge</v>
      </c>
      <c r="B17" s="28" t="str">
        <f>Rates!B76</f>
        <v>$/kWh</v>
      </c>
      <c r="C17" s="31">
        <f>Rates!D76</f>
        <v>1.1000000000000001E-3</v>
      </c>
      <c r="D17" s="32">
        <f>Rates!F76</f>
        <v>1.1000000000000001E-3</v>
      </c>
    </row>
    <row r="18" spans="1:10">
      <c r="A18" s="27" t="str">
        <f>Rates!A77</f>
        <v>Special Purpose Charge</v>
      </c>
      <c r="B18" s="28" t="str">
        <f>Rates!B77</f>
        <v>$/kWh</v>
      </c>
      <c r="C18" s="31">
        <f>Rates!D77</f>
        <v>0</v>
      </c>
      <c r="D18" s="32">
        <f>Rates!F77</f>
        <v>0</v>
      </c>
    </row>
    <row r="19" spans="1:10" ht="12.75" thickBot="1">
      <c r="A19" s="12" t="str">
        <f>Rates!A78</f>
        <v>Standard Supply Service - Administarive Charge (if applicable)</v>
      </c>
      <c r="B19" s="17" t="str">
        <f>Rates!B78</f>
        <v>$</v>
      </c>
      <c r="C19" s="18">
        <f>Rates!D78</f>
        <v>0.25</v>
      </c>
      <c r="D19" s="13">
        <f>Rates!F78</f>
        <v>0.25</v>
      </c>
    </row>
    <row r="21" spans="1:10" ht="12.75" thickBot="1"/>
    <row r="22" spans="1:10" ht="13.5" thickBot="1">
      <c r="A22" s="33" t="s">
        <v>26</v>
      </c>
      <c r="B22" s="34">
        <v>25000</v>
      </c>
      <c r="C22" s="35" t="s">
        <v>27</v>
      </c>
      <c r="D22" s="36">
        <v>71.459999999999994</v>
      </c>
      <c r="E22" s="35" t="s">
        <v>28</v>
      </c>
      <c r="G22" s="37" t="s">
        <v>23</v>
      </c>
      <c r="H22" s="53">
        <f>Rates!F87</f>
        <v>1.0864</v>
      </c>
    </row>
    <row r="23" spans="1:10" ht="13.5" thickBot="1">
      <c r="A23" s="33" t="s">
        <v>29</v>
      </c>
      <c r="B23" s="34">
        <v>750</v>
      </c>
      <c r="C23" s="35" t="s">
        <v>27</v>
      </c>
      <c r="D23" s="37" t="s">
        <v>30</v>
      </c>
      <c r="E23" s="98">
        <f>IF(D22&gt;0,B22/(D22*24*30.4)," ")</f>
        <v>0.47950393055125928</v>
      </c>
    </row>
    <row r="24" spans="1:10" ht="12.75" thickBot="1"/>
    <row r="25" spans="1:10" ht="12.75" customHeight="1">
      <c r="A25" s="149" t="str">
        <f>A3</f>
        <v>Street Lighting</v>
      </c>
      <c r="B25" s="151" t="s">
        <v>31</v>
      </c>
      <c r="C25" s="49" t="s">
        <v>37</v>
      </c>
      <c r="D25" s="49" t="s">
        <v>38</v>
      </c>
      <c r="E25" s="151" t="s">
        <v>31</v>
      </c>
      <c r="F25" s="49" t="s">
        <v>37</v>
      </c>
      <c r="G25" s="49" t="s">
        <v>38</v>
      </c>
      <c r="H25" s="153" t="s">
        <v>44</v>
      </c>
      <c r="I25" s="153"/>
      <c r="J25" s="154"/>
    </row>
    <row r="26" spans="1:10" ht="12.75" thickBot="1">
      <c r="A26" s="150"/>
      <c r="B26" s="152"/>
      <c r="C26" s="50" t="s">
        <v>15</v>
      </c>
      <c r="D26" s="50" t="s">
        <v>15</v>
      </c>
      <c r="E26" s="152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>
      <c r="A27" s="54" t="s">
        <v>35</v>
      </c>
      <c r="B27" s="55">
        <f>IF(B22*Rates!D87&gt;B23,B23,B22*Rates!D87)</f>
        <v>750</v>
      </c>
      <c r="C27" s="56">
        <f>Rates!D82</f>
        <v>7.4999999999999997E-2</v>
      </c>
      <c r="D27" s="58">
        <f>B27*C27</f>
        <v>56.25</v>
      </c>
      <c r="E27" s="55">
        <f>IF(B22*H22&gt;B23,B23,B22*H22)</f>
        <v>750</v>
      </c>
      <c r="F27" s="56">
        <f>Rates!F82</f>
        <v>7.4999999999999997E-2</v>
      </c>
      <c r="G27" s="58">
        <f>E27*F27</f>
        <v>56.25</v>
      </c>
      <c r="H27" s="58">
        <f t="shared" ref="H27:H53" si="0">G27-D27</f>
        <v>0</v>
      </c>
      <c r="I27" s="59">
        <f>IF(ISERROR(H27/D27),1,H27/D27)</f>
        <v>0</v>
      </c>
      <c r="J27" s="60">
        <f t="shared" ref="J27:J53" si="1">IF(ISERROR(G27/G$53),0,G27/G$53)</f>
        <v>6.8994392453247903E-3</v>
      </c>
    </row>
    <row r="28" spans="1:10" ht="12.75" thickBot="1">
      <c r="A28" s="63" t="s">
        <v>36</v>
      </c>
      <c r="B28" s="64">
        <f>IF(B22*Rates!D87&gt;=B23,B22*Rates!D87-B23,0)</f>
        <v>26410</v>
      </c>
      <c r="C28" s="65">
        <f>Rates!D83</f>
        <v>8.7999999999999995E-2</v>
      </c>
      <c r="D28" s="66">
        <f>B28*C28</f>
        <v>2324.08</v>
      </c>
      <c r="E28" s="64">
        <f>IF(B22*H22&gt;=B23,B22*H22-B23,0)</f>
        <v>26410</v>
      </c>
      <c r="F28" s="65">
        <f>Rates!F83</f>
        <v>8.7999999999999995E-2</v>
      </c>
      <c r="G28" s="66">
        <f>E28*F28</f>
        <v>2324.08</v>
      </c>
      <c r="H28" s="66">
        <f t="shared" si="0"/>
        <v>0</v>
      </c>
      <c r="I28" s="67">
        <f>IF(ISERROR(H28/D28),0,H28/D28)</f>
        <v>0</v>
      </c>
      <c r="J28" s="68">
        <f t="shared" si="1"/>
        <v>0.28506397797821226</v>
      </c>
    </row>
    <row r="29" spans="1:10" ht="12.75" thickBot="1">
      <c r="A29" s="73" t="s">
        <v>39</v>
      </c>
      <c r="B29" s="74"/>
      <c r="C29" s="75"/>
      <c r="D29" s="76">
        <f>SUM(D27:D28)</f>
        <v>2380.33</v>
      </c>
      <c r="E29" s="75"/>
      <c r="F29" s="75"/>
      <c r="G29" s="76">
        <f>SUM(G27:G28)</f>
        <v>2380.33</v>
      </c>
      <c r="H29" s="76">
        <f t="shared" si="0"/>
        <v>0</v>
      </c>
      <c r="I29" s="77">
        <f>IF(ISERROR(H29/D29),0,H29/D29)</f>
        <v>0</v>
      </c>
      <c r="J29" s="78">
        <f t="shared" si="1"/>
        <v>0.29196341722353703</v>
      </c>
    </row>
    <row r="30" spans="1:10">
      <c r="A30" s="69" t="str">
        <f t="shared" ref="A30:A35" si="2">A4</f>
        <v>Monthly Service Charge</v>
      </c>
      <c r="B30" s="70">
        <v>428</v>
      </c>
      <c r="C30" s="46">
        <f t="shared" ref="C30:C35" si="3">C4</f>
        <v>0.96</v>
      </c>
      <c r="D30" s="46">
        <f t="shared" ref="D30:D39" si="4">B30*C30</f>
        <v>410.88</v>
      </c>
      <c r="E30" s="71">
        <f>B30</f>
        <v>428</v>
      </c>
      <c r="F30" s="47">
        <f t="shared" ref="F30:F35" si="5">D4</f>
        <v>0.97</v>
      </c>
      <c r="G30" s="47">
        <f t="shared" ref="G30:G39" si="6">E30*F30</f>
        <v>415.15999999999997</v>
      </c>
      <c r="H30" s="47">
        <f t="shared" si="0"/>
        <v>4.2799999999999727</v>
      </c>
      <c r="I30" s="48">
        <f>IF(ISERROR(H30/D30),0,H30/D30)</f>
        <v>1.04166666666666E-2</v>
      </c>
      <c r="J30" s="72">
        <f t="shared" si="1"/>
        <v>5.0922154614916261E-2</v>
      </c>
    </row>
    <row r="31" spans="1:10">
      <c r="A31" s="61" t="str">
        <f t="shared" si="2"/>
        <v>Smart Meter Rate Adder</v>
      </c>
      <c r="B31" s="43">
        <f>B30</f>
        <v>428</v>
      </c>
      <c r="C31" s="41">
        <f t="shared" si="3"/>
        <v>0</v>
      </c>
      <c r="D31" s="41">
        <f t="shared" si="4"/>
        <v>0</v>
      </c>
      <c r="E31" s="43">
        <f>B31</f>
        <v>428</v>
      </c>
      <c r="F31" s="41">
        <f t="shared" si="5"/>
        <v>0</v>
      </c>
      <c r="G31" s="41">
        <f t="shared" si="6"/>
        <v>0</v>
      </c>
      <c r="H31" s="41">
        <f t="shared" si="0"/>
        <v>0</v>
      </c>
      <c r="I31" s="42">
        <f>IF(ISERROR(H31/D31),0,H31/D31)</f>
        <v>0</v>
      </c>
      <c r="J31" s="62">
        <f t="shared" si="1"/>
        <v>0</v>
      </c>
    </row>
    <row r="32" spans="1:10">
      <c r="A32" s="61" t="str">
        <f t="shared" si="2"/>
        <v>Distribution Volumetric Rate</v>
      </c>
      <c r="B32" s="43">
        <f>B22</f>
        <v>25000</v>
      </c>
      <c r="C32" s="40">
        <f t="shared" si="3"/>
        <v>0.15429999999999999</v>
      </c>
      <c r="D32" s="41">
        <f t="shared" si="4"/>
        <v>3857.5</v>
      </c>
      <c r="E32" s="43">
        <f>B22</f>
        <v>25000</v>
      </c>
      <c r="F32" s="40">
        <f t="shared" si="5"/>
        <v>0.15570000000000001</v>
      </c>
      <c r="G32" s="41">
        <f t="shared" si="6"/>
        <v>3892.5</v>
      </c>
      <c r="H32" s="41">
        <f t="shared" si="0"/>
        <v>35</v>
      </c>
      <c r="I32" s="42">
        <f t="shared" ref="I32:I53" si="7">IF(ISERROR(H32/D32),0,H32/D32)</f>
        <v>9.0732339598185354E-3</v>
      </c>
      <c r="J32" s="62">
        <f t="shared" si="1"/>
        <v>0.47744119577647554</v>
      </c>
    </row>
    <row r="33" spans="1:10">
      <c r="A33" s="61" t="str">
        <f t="shared" si="2"/>
        <v>Rate Rider for Foregone Revenue Recovery - effective until December 31, 2012</v>
      </c>
      <c r="B33" s="43">
        <f>B22</f>
        <v>25000</v>
      </c>
      <c r="C33" s="40">
        <f t="shared" si="3"/>
        <v>1E-4</v>
      </c>
      <c r="D33" s="41">
        <f t="shared" si="4"/>
        <v>2.5</v>
      </c>
      <c r="E33" s="43">
        <f>B22</f>
        <v>25000</v>
      </c>
      <c r="F33" s="40">
        <f t="shared" si="5"/>
        <v>0</v>
      </c>
      <c r="G33" s="41">
        <f>E33*F33</f>
        <v>0</v>
      </c>
      <c r="H33" s="41">
        <f>G33-D33</f>
        <v>-2.5</v>
      </c>
      <c r="I33" s="42">
        <f>IF(ISERROR(H33/D33),0,H33/D33)</f>
        <v>-1</v>
      </c>
      <c r="J33" s="62">
        <f t="shared" si="1"/>
        <v>0</v>
      </c>
    </row>
    <row r="34" spans="1:10">
      <c r="A34" s="61" t="str">
        <f t="shared" si="2"/>
        <v>Rate Rider for Deferral/Variance Account Disposition - effective until May 31, 2013</v>
      </c>
      <c r="B34" s="43">
        <f>B22</f>
        <v>25000</v>
      </c>
      <c r="C34" s="40">
        <f t="shared" si="3"/>
        <v>4.7999999999999996E-3</v>
      </c>
      <c r="D34" s="41">
        <f t="shared" si="4"/>
        <v>119.99999999999999</v>
      </c>
      <c r="E34" s="43">
        <f>B22</f>
        <v>25000</v>
      </c>
      <c r="F34" s="40">
        <f t="shared" si="5"/>
        <v>4.7999999999999996E-3</v>
      </c>
      <c r="G34" s="41">
        <f t="shared" si="6"/>
        <v>119.99999999999999</v>
      </c>
      <c r="H34" s="41">
        <f t="shared" si="0"/>
        <v>0</v>
      </c>
      <c r="I34" s="42">
        <f t="shared" si="7"/>
        <v>0</v>
      </c>
      <c r="J34" s="62">
        <f t="shared" si="1"/>
        <v>1.4718803723359552E-2</v>
      </c>
    </row>
    <row r="35" spans="1:10">
      <c r="A35" s="61" t="str">
        <f t="shared" si="2"/>
        <v>Rate Rider for Deferral/Variance Account Disposition - effective until May 31, 2013</v>
      </c>
      <c r="B35" s="43">
        <f>B22</f>
        <v>25000</v>
      </c>
      <c r="C35" s="40">
        <f t="shared" si="3"/>
        <v>-6.1000000000000004E-3</v>
      </c>
      <c r="D35" s="41">
        <f t="shared" si="4"/>
        <v>-152.5</v>
      </c>
      <c r="E35" s="43">
        <f>B22</f>
        <v>25000</v>
      </c>
      <c r="F35" s="40">
        <f t="shared" si="5"/>
        <v>-6.1000000000000004E-3</v>
      </c>
      <c r="G35" s="41">
        <f>E35*F35</f>
        <v>-152.5</v>
      </c>
      <c r="H35" s="41">
        <f>G35-D35</f>
        <v>0</v>
      </c>
      <c r="I35" s="42">
        <f>IF(ISERROR(H35/D35),0,H35/D35)</f>
        <v>0</v>
      </c>
      <c r="J35" s="62">
        <f t="shared" si="1"/>
        <v>-1.8705146398436099E-2</v>
      </c>
    </row>
    <row r="36" spans="1:10">
      <c r="A36" s="61" t="str">
        <f>A10</f>
        <v>Rate Rider for Deferral/Variance Account Disposition (2012) - effective until December 31, 2013</v>
      </c>
      <c r="B36" s="43">
        <f>B22</f>
        <v>25000</v>
      </c>
      <c r="C36" s="40">
        <f>C10</f>
        <v>0</v>
      </c>
      <c r="D36" s="41">
        <f t="shared" si="4"/>
        <v>0</v>
      </c>
      <c r="E36" s="43">
        <f>B22</f>
        <v>25000</v>
      </c>
      <c r="F36" s="40">
        <f>D10</f>
        <v>-6.9999999999999999E-4</v>
      </c>
      <c r="G36" s="41">
        <f>E36*F36</f>
        <v>-17.5</v>
      </c>
      <c r="H36" s="41">
        <f>G36-D36</f>
        <v>-17.5</v>
      </c>
      <c r="I36" s="42">
        <f>IF(ISERROR(H36/D36),0,H36/D36)</f>
        <v>0</v>
      </c>
      <c r="J36" s="62">
        <f t="shared" si="1"/>
        <v>-2.1464922096566014E-3</v>
      </c>
    </row>
    <row r="37" spans="1:10">
      <c r="A37" s="61" t="str">
        <f>A11</f>
        <v>Rate Rider for Global Adjustment Sub-Account Disposition (2012) - effective until December 31, 2013</v>
      </c>
      <c r="B37" s="43">
        <f>B22</f>
        <v>25000</v>
      </c>
      <c r="C37" s="40">
        <f>C11</f>
        <v>0</v>
      </c>
      <c r="D37" s="41">
        <f t="shared" si="4"/>
        <v>0</v>
      </c>
      <c r="E37" s="43">
        <f>B22</f>
        <v>25000</v>
      </c>
      <c r="F37" s="40">
        <f>D11</f>
        <v>0</v>
      </c>
      <c r="G37" s="41">
        <f>E37*F37</f>
        <v>0</v>
      </c>
      <c r="H37" s="41">
        <f>G37-D37</f>
        <v>0</v>
      </c>
      <c r="I37" s="42">
        <f>IF(ISERROR(H37/D37),0,H37/D37)</f>
        <v>0</v>
      </c>
      <c r="J37" s="62">
        <f t="shared" si="1"/>
        <v>0</v>
      </c>
    </row>
    <row r="38" spans="1:10">
      <c r="A38" s="61" t="str">
        <f>A12</f>
        <v>Rate Rider for PILs - effective until December 31, 2013</v>
      </c>
      <c r="B38" s="43">
        <f>B22</f>
        <v>25000</v>
      </c>
      <c r="C38" s="40">
        <f>C12</f>
        <v>0</v>
      </c>
      <c r="D38" s="41">
        <f t="shared" si="4"/>
        <v>0</v>
      </c>
      <c r="E38" s="43">
        <f>B22</f>
        <v>25000</v>
      </c>
      <c r="F38" s="40">
        <f>D12</f>
        <v>0</v>
      </c>
      <c r="G38" s="41">
        <f>E38*F38</f>
        <v>0</v>
      </c>
      <c r="H38" s="41">
        <f>G38-D38</f>
        <v>0</v>
      </c>
      <c r="I38" s="42">
        <f>IF(ISERROR(H38/D38),0,H38/D38)</f>
        <v>0</v>
      </c>
      <c r="J38" s="62">
        <f t="shared" si="1"/>
        <v>0</v>
      </c>
    </row>
    <row r="39" spans="1:10" ht="12.75" thickBot="1">
      <c r="A39" s="61" t="str">
        <f t="shared" ref="A39" si="8">A13</f>
        <v>Rate Rider for Tax Changes - effective until December 31, 2012</v>
      </c>
      <c r="B39" s="43">
        <f>B22</f>
        <v>25000</v>
      </c>
      <c r="C39" s="40">
        <f t="shared" ref="C39" si="9">C13</f>
        <v>-2.0000000000000001E-4</v>
      </c>
      <c r="D39" s="41">
        <f t="shared" si="4"/>
        <v>-5</v>
      </c>
      <c r="E39" s="43">
        <f>B22</f>
        <v>25000</v>
      </c>
      <c r="F39" s="40">
        <f t="shared" ref="F39" si="10">D13</f>
        <v>-2.0000000000000001E-4</v>
      </c>
      <c r="G39" s="41">
        <f t="shared" si="6"/>
        <v>-5</v>
      </c>
      <c r="H39" s="41">
        <f t="shared" si="0"/>
        <v>0</v>
      </c>
      <c r="I39" s="42">
        <f t="shared" si="7"/>
        <v>0</v>
      </c>
      <c r="J39" s="62">
        <f t="shared" si="1"/>
        <v>-6.132834884733147E-4</v>
      </c>
    </row>
    <row r="40" spans="1:10" ht="12.75" thickBot="1">
      <c r="A40" s="73" t="s">
        <v>40</v>
      </c>
      <c r="B40" s="74"/>
      <c r="C40" s="75"/>
      <c r="D40" s="76">
        <f>SUM(D30:D39)</f>
        <v>4233.38</v>
      </c>
      <c r="E40" s="75"/>
      <c r="F40" s="75"/>
      <c r="G40" s="76">
        <f>SUM(G30:G39)</f>
        <v>4252.66</v>
      </c>
      <c r="H40" s="76">
        <f t="shared" si="0"/>
        <v>19.279999999999745</v>
      </c>
      <c r="I40" s="77">
        <f t="shared" si="7"/>
        <v>4.5542805039943835E-3</v>
      </c>
      <c r="J40" s="78">
        <f t="shared" si="1"/>
        <v>0.52161723201818533</v>
      </c>
    </row>
    <row r="41" spans="1:10">
      <c r="A41" s="69" t="str">
        <f>A14</f>
        <v>Retail Transmission Rate - Network Service Rate</v>
      </c>
      <c r="B41" s="99">
        <f>D22*Rates!D87</f>
        <v>77.634143999999992</v>
      </c>
      <c r="C41" s="45">
        <f>C14</f>
        <v>1.9906999999999999</v>
      </c>
      <c r="D41" s="47">
        <f>B41*C41</f>
        <v>154.54629046079998</v>
      </c>
      <c r="E41" s="99">
        <f>D22*H22</f>
        <v>77.634143999999992</v>
      </c>
      <c r="F41" s="45">
        <f>D14</f>
        <v>1.9012</v>
      </c>
      <c r="G41" s="47">
        <f>E41*F41</f>
        <v>147.59803457279997</v>
      </c>
      <c r="H41" s="47">
        <f t="shared" si="0"/>
        <v>-6.9482558880000056</v>
      </c>
      <c r="I41" s="48">
        <f t="shared" si="7"/>
        <v>-4.4959059627266831E-2</v>
      </c>
      <c r="J41" s="72">
        <f t="shared" si="1"/>
        <v>1.8103887506922337E-2</v>
      </c>
    </row>
    <row r="42" spans="1:10" ht="12.75" thickBot="1">
      <c r="A42" s="63" t="str">
        <f>A15</f>
        <v>Retail Transmission Rate - Line and Transformation Connection Service Rate</v>
      </c>
      <c r="B42" s="100">
        <f>D22*Rates!D87</f>
        <v>77.634143999999992</v>
      </c>
      <c r="C42" s="65">
        <f>C15</f>
        <v>1.3992</v>
      </c>
      <c r="D42" s="66">
        <f>B42*C42</f>
        <v>108.62569428479999</v>
      </c>
      <c r="E42" s="100">
        <f>D22*H22</f>
        <v>77.634143999999992</v>
      </c>
      <c r="F42" s="65">
        <f>D15</f>
        <v>1.3680000000000001</v>
      </c>
      <c r="G42" s="66">
        <f>E42*F42</f>
        <v>106.203508992</v>
      </c>
      <c r="H42" s="66">
        <f t="shared" si="0"/>
        <v>-2.4221852927999947</v>
      </c>
      <c r="I42" s="67">
        <f t="shared" si="7"/>
        <v>-2.2298456260720367E-2</v>
      </c>
      <c r="J42" s="68">
        <f t="shared" si="1"/>
        <v>1.3026571696544162E-2</v>
      </c>
    </row>
    <row r="43" spans="1:10" ht="12.75" thickBot="1">
      <c r="A43" s="73" t="s">
        <v>32</v>
      </c>
      <c r="B43" s="74"/>
      <c r="C43" s="75"/>
      <c r="D43" s="76">
        <f>SUM(D41:D42)</f>
        <v>263.17198474559996</v>
      </c>
      <c r="E43" s="75"/>
      <c r="F43" s="75"/>
      <c r="G43" s="76">
        <f>SUM(G41:G42)</f>
        <v>253.80154356479997</v>
      </c>
      <c r="H43" s="76">
        <f t="shared" si="0"/>
        <v>-9.3704411807999861</v>
      </c>
      <c r="I43" s="77">
        <f t="shared" si="7"/>
        <v>-3.5605770081713277E-2</v>
      </c>
      <c r="J43" s="78">
        <f t="shared" si="1"/>
        <v>3.1130459203466496E-2</v>
      </c>
    </row>
    <row r="44" spans="1:10" ht="12.75" thickBot="1">
      <c r="A44" s="81" t="s">
        <v>41</v>
      </c>
      <c r="B44" s="82"/>
      <c r="C44" s="83"/>
      <c r="D44" s="84">
        <f>D40+D43</f>
        <v>4496.5519847455998</v>
      </c>
      <c r="E44" s="83"/>
      <c r="F44" s="83"/>
      <c r="G44" s="84">
        <f>G40+G43</f>
        <v>4506.4615435648002</v>
      </c>
      <c r="H44" s="84">
        <f t="shared" si="0"/>
        <v>9.9095588192003561</v>
      </c>
      <c r="I44" s="85">
        <f t="shared" si="7"/>
        <v>2.2038127998560229E-3</v>
      </c>
      <c r="J44" s="86">
        <f t="shared" si="1"/>
        <v>0.55274769122165179</v>
      </c>
    </row>
    <row r="45" spans="1:10">
      <c r="A45" s="69" t="str">
        <f>A16</f>
        <v>Wholesale Market Service Rate</v>
      </c>
      <c r="B45" s="44">
        <f>B22*Rates!D87</f>
        <v>27160</v>
      </c>
      <c r="C45" s="45">
        <f>C16</f>
        <v>5.1999999999999998E-3</v>
      </c>
      <c r="D45" s="47">
        <f>B45*C45</f>
        <v>141.232</v>
      </c>
      <c r="E45" s="44">
        <f>B22*H22</f>
        <v>27160</v>
      </c>
      <c r="F45" s="45">
        <f>D16</f>
        <v>5.1999999999999998E-3</v>
      </c>
      <c r="G45" s="47">
        <f>E45*F45</f>
        <v>141.232</v>
      </c>
      <c r="H45" s="47">
        <f t="shared" si="0"/>
        <v>0</v>
      </c>
      <c r="I45" s="48">
        <f t="shared" si="7"/>
        <v>0</v>
      </c>
      <c r="J45" s="72">
        <f t="shared" si="1"/>
        <v>1.7323050728812638E-2</v>
      </c>
    </row>
    <row r="46" spans="1:10">
      <c r="A46" s="61" t="str">
        <f>A17</f>
        <v>Rural Rate Protection Charge</v>
      </c>
      <c r="B46" s="39">
        <f>B22*Rates!D87</f>
        <v>27160</v>
      </c>
      <c r="C46" s="40">
        <f>C17</f>
        <v>1.1000000000000001E-3</v>
      </c>
      <c r="D46" s="41">
        <f>B46*C46</f>
        <v>29.876000000000001</v>
      </c>
      <c r="E46" s="39">
        <f>B22*H22</f>
        <v>27160</v>
      </c>
      <c r="F46" s="40">
        <f>D17</f>
        <v>1.1000000000000001E-3</v>
      </c>
      <c r="G46" s="41">
        <f>E46*F46</f>
        <v>29.876000000000001</v>
      </c>
      <c r="H46" s="41">
        <f t="shared" si="0"/>
        <v>0</v>
      </c>
      <c r="I46" s="42">
        <f t="shared" si="7"/>
        <v>0</v>
      </c>
      <c r="J46" s="62">
        <f t="shared" si="1"/>
        <v>3.6644915003257502E-3</v>
      </c>
    </row>
    <row r="47" spans="1:10">
      <c r="A47" s="63" t="s">
        <v>45</v>
      </c>
      <c r="B47" s="64">
        <f>B22*Rates!D87</f>
        <v>27160</v>
      </c>
      <c r="C47" s="65">
        <f>Rates!D77</f>
        <v>0</v>
      </c>
      <c r="D47" s="66">
        <f>B47*C47</f>
        <v>0</v>
      </c>
      <c r="E47" s="64">
        <f>B22*Rates!F87</f>
        <v>27160</v>
      </c>
      <c r="F47" s="65">
        <f>Rates!F77</f>
        <v>0</v>
      </c>
      <c r="G47" s="66">
        <f>E47*F47</f>
        <v>0</v>
      </c>
      <c r="H47" s="41">
        <f>G47-D47</f>
        <v>0</v>
      </c>
      <c r="I47" s="42">
        <f>IF(ISERROR(H47/D47),0,H47/D47)</f>
        <v>0</v>
      </c>
      <c r="J47" s="62">
        <f t="shared" si="1"/>
        <v>0</v>
      </c>
    </row>
    <row r="48" spans="1:10" ht="12.75" thickBot="1">
      <c r="A48" s="63" t="str">
        <f>A19</f>
        <v>Standard Supply Service - Administarive Charge (if applicable)</v>
      </c>
      <c r="B48" s="79">
        <f>B30</f>
        <v>428</v>
      </c>
      <c r="C48" s="66">
        <f>C19</f>
        <v>0.25</v>
      </c>
      <c r="D48" s="66">
        <f>B48*C48</f>
        <v>107</v>
      </c>
      <c r="E48" s="64">
        <f>B30</f>
        <v>428</v>
      </c>
      <c r="F48" s="66">
        <f>D19</f>
        <v>0.25</v>
      </c>
      <c r="G48" s="66">
        <f>E48*F48</f>
        <v>107</v>
      </c>
      <c r="H48" s="66">
        <f t="shared" si="0"/>
        <v>0</v>
      </c>
      <c r="I48" s="67">
        <f t="shared" si="7"/>
        <v>0</v>
      </c>
      <c r="J48" s="68">
        <f t="shared" si="1"/>
        <v>1.3124266653328935E-2</v>
      </c>
    </row>
    <row r="49" spans="1:10" ht="12.75" thickBot="1">
      <c r="A49" s="73" t="s">
        <v>42</v>
      </c>
      <c r="B49" s="74"/>
      <c r="C49" s="75"/>
      <c r="D49" s="76">
        <f>SUM(D45:D48)</f>
        <v>278.108</v>
      </c>
      <c r="E49" s="75"/>
      <c r="F49" s="75"/>
      <c r="G49" s="76">
        <f>SUM(G45:G48)</f>
        <v>278.108</v>
      </c>
      <c r="H49" s="76">
        <f t="shared" si="0"/>
        <v>0</v>
      </c>
      <c r="I49" s="77">
        <f t="shared" si="7"/>
        <v>0</v>
      </c>
      <c r="J49" s="78">
        <f t="shared" si="1"/>
        <v>3.4111808882467322E-2</v>
      </c>
    </row>
    <row r="50" spans="1:10" ht="12.75" thickBot="1">
      <c r="A50" s="87" t="s">
        <v>19</v>
      </c>
      <c r="B50" s="88">
        <f>B22</f>
        <v>25000</v>
      </c>
      <c r="C50" s="89">
        <f>Rates!D81</f>
        <v>2E-3</v>
      </c>
      <c r="D50" s="90">
        <f>B50*C50</f>
        <v>50</v>
      </c>
      <c r="E50" s="88">
        <f>B22</f>
        <v>25000</v>
      </c>
      <c r="F50" s="89">
        <f>Rates!F81</f>
        <v>2E-3</v>
      </c>
      <c r="G50" s="90">
        <f>E50*F50</f>
        <v>50</v>
      </c>
      <c r="H50" s="90">
        <f t="shared" si="0"/>
        <v>0</v>
      </c>
      <c r="I50" s="91">
        <f t="shared" si="7"/>
        <v>0</v>
      </c>
      <c r="J50" s="92">
        <f t="shared" si="1"/>
        <v>6.1328348847331472E-3</v>
      </c>
    </row>
    <row r="51" spans="1:10" ht="12.75" thickBot="1">
      <c r="A51" s="73" t="s">
        <v>43</v>
      </c>
      <c r="B51" s="74"/>
      <c r="C51" s="75"/>
      <c r="D51" s="76">
        <f>D29+D44+D49+D50</f>
        <v>7204.9899847455999</v>
      </c>
      <c r="E51" s="75"/>
      <c r="F51" s="75"/>
      <c r="G51" s="76">
        <f>G29+G44+G49+G50</f>
        <v>7214.8995435648003</v>
      </c>
      <c r="H51" s="76">
        <f t="shared" si="0"/>
        <v>9.9095588192003561</v>
      </c>
      <c r="I51" s="77">
        <f t="shared" si="7"/>
        <v>1.3753744058188654E-3</v>
      </c>
      <c r="J51" s="78">
        <f t="shared" si="1"/>
        <v>0.88495575221238942</v>
      </c>
    </row>
    <row r="52" spans="1:10" ht="12.75" thickBot="1">
      <c r="A52" s="93" t="s">
        <v>46</v>
      </c>
      <c r="B52" s="94"/>
      <c r="C52" s="95">
        <f>Rates!D88</f>
        <v>0.13</v>
      </c>
      <c r="D52" s="90">
        <f>C52*D51</f>
        <v>936.64869801692805</v>
      </c>
      <c r="E52" s="96"/>
      <c r="F52" s="95">
        <f>Rates!F88</f>
        <v>0.13</v>
      </c>
      <c r="G52" s="90">
        <f>F52*G51</f>
        <v>937.93694066342402</v>
      </c>
      <c r="H52" s="90">
        <f t="shared" si="0"/>
        <v>1.2882426464959735</v>
      </c>
      <c r="I52" s="91">
        <f t="shared" si="7"/>
        <v>1.3753744058187876E-3</v>
      </c>
      <c r="J52" s="92">
        <f t="shared" si="1"/>
        <v>0.11504424778761062</v>
      </c>
    </row>
    <row r="53" spans="1:10" ht="12.75" thickBot="1">
      <c r="A53" s="81" t="s">
        <v>33</v>
      </c>
      <c r="B53" s="82"/>
      <c r="C53" s="83"/>
      <c r="D53" s="104">
        <f>D51+D52</f>
        <v>8141.6386827625283</v>
      </c>
      <c r="E53" s="83"/>
      <c r="F53" s="83"/>
      <c r="G53" s="104">
        <f>G51+G52</f>
        <v>8152.8364842282244</v>
      </c>
      <c r="H53" s="104">
        <f t="shared" si="0"/>
        <v>11.197801465696102</v>
      </c>
      <c r="I53" s="85">
        <f t="shared" si="7"/>
        <v>1.3753744058188286E-3</v>
      </c>
      <c r="J53" s="86">
        <f t="shared" si="1"/>
        <v>1</v>
      </c>
    </row>
  </sheetData>
  <mergeCells count="4">
    <mergeCell ref="A25:A26"/>
    <mergeCell ref="B25:B26"/>
    <mergeCell ref="E25:E26"/>
    <mergeCell ref="H25:J25"/>
  </mergeCells>
  <phoneticPr fontId="2" type="noConversion"/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J53"/>
  <sheetViews>
    <sheetView view="pageBreakPreview" zoomScale="60" zoomScaleNormal="100" workbookViewId="0">
      <selection activeCell="A62" sqref="A62"/>
    </sheetView>
  </sheetViews>
  <sheetFormatPr defaultRowHeight="1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" style="8" customWidth="1"/>
    <col min="12" max="16384" width="9.140625" style="8"/>
  </cols>
  <sheetData>
    <row r="2" spans="1:4" ht="12.75" thickBot="1"/>
    <row r="3" spans="1:4" ht="36.75" thickBot="1">
      <c r="A3" s="14" t="str">
        <f>Rates!A62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Rates!A42</f>
        <v>Monthly Service Charge</v>
      </c>
      <c r="B4" s="24" t="str">
        <f>Rates!B63</f>
        <v>$</v>
      </c>
      <c r="C4" s="25">
        <f>Rates!D63</f>
        <v>0.96</v>
      </c>
      <c r="D4" s="26">
        <f>Rates!F63</f>
        <v>0.97</v>
      </c>
    </row>
    <row r="5" spans="1:4">
      <c r="A5" s="27" t="str">
        <f>Rates!A43</f>
        <v>Smart Meter Rate Adder</v>
      </c>
      <c r="B5" s="28" t="str">
        <f>Rates!B64</f>
        <v>$</v>
      </c>
      <c r="C5" s="29">
        <f>Rates!D64</f>
        <v>0</v>
      </c>
      <c r="D5" s="30">
        <f>Rates!F64</f>
        <v>0</v>
      </c>
    </row>
    <row r="6" spans="1:4">
      <c r="A6" s="27" t="str">
        <f>Rates!A44</f>
        <v>Distribution Volumetric Rate</v>
      </c>
      <c r="B6" s="28" t="str">
        <f>Rates!B65</f>
        <v>$/kWh</v>
      </c>
      <c r="C6" s="31">
        <f>Rates!D65</f>
        <v>0.15429999999999999</v>
      </c>
      <c r="D6" s="32">
        <f>Rates!F65</f>
        <v>0.15570000000000001</v>
      </c>
    </row>
    <row r="7" spans="1:4">
      <c r="A7" s="27" t="str">
        <f>Rates!A66</f>
        <v>Rate Rider for Foregone Revenue Recovery - effective until December 31, 2012</v>
      </c>
      <c r="B7" s="28" t="str">
        <f>Rates!B66</f>
        <v>$/kWh</v>
      </c>
      <c r="C7" s="31">
        <f>Rates!D66</f>
        <v>1E-4</v>
      </c>
      <c r="D7" s="32">
        <f>Rates!F66</f>
        <v>0</v>
      </c>
    </row>
    <row r="8" spans="1:4">
      <c r="A8" s="27" t="str">
        <f>Rates!A67</f>
        <v>Rate Rider for Deferral/Variance Account Disposition - effective until May 31, 2013</v>
      </c>
      <c r="B8" s="28" t="str">
        <f>Rates!B67</f>
        <v>$/kWh</v>
      </c>
      <c r="C8" s="31">
        <f>Rates!D67</f>
        <v>4.7999999999999996E-3</v>
      </c>
      <c r="D8" s="32">
        <f>Rates!F67</f>
        <v>4.7999999999999996E-3</v>
      </c>
    </row>
    <row r="9" spans="1:4">
      <c r="A9" s="27" t="str">
        <f>Rates!A68</f>
        <v>Rate Rider for Deferral/Variance Account Disposition - effective until May 31, 2013</v>
      </c>
      <c r="B9" s="28" t="str">
        <f>Rates!B68</f>
        <v>$/kWh</v>
      </c>
      <c r="C9" s="31">
        <f>Rates!D68</f>
        <v>-6.1000000000000004E-3</v>
      </c>
      <c r="D9" s="32">
        <f>Rates!F68</f>
        <v>-6.1000000000000004E-3</v>
      </c>
    </row>
    <row r="10" spans="1:4">
      <c r="A10" s="27" t="str">
        <f>Rates!A69</f>
        <v>Rate Rider for Deferral/Variance Account Disposition (2012) - effective until December 31, 2013</v>
      </c>
      <c r="B10" s="28" t="str">
        <f>Rates!B69</f>
        <v>$/kWh</v>
      </c>
      <c r="C10" s="31">
        <f>Rates!D69</f>
        <v>0</v>
      </c>
      <c r="D10" s="32">
        <f>Rates!F69</f>
        <v>-6.9999999999999999E-4</v>
      </c>
    </row>
    <row r="11" spans="1:4">
      <c r="A11" s="27" t="str">
        <f>Rates!A70</f>
        <v>Rate Rider for Global Adjustment Sub-Account Disposition (2012) - effective until December 31, 2013</v>
      </c>
      <c r="B11" s="28" t="str">
        <f>Rates!B70</f>
        <v>$/kWh</v>
      </c>
      <c r="C11" s="31">
        <f>Rates!D70</f>
        <v>0</v>
      </c>
      <c r="D11" s="32">
        <f>Rates!F70</f>
        <v>1.1000000000000001E-3</v>
      </c>
    </row>
    <row r="12" spans="1:4">
      <c r="A12" s="27" t="str">
        <f>Rates!A71</f>
        <v>Rate Rider for PILs - effective until December 31, 2013</v>
      </c>
      <c r="B12" s="28" t="str">
        <f>Rates!B71</f>
        <v>$/kWh</v>
      </c>
      <c r="C12" s="31">
        <f>Rates!D71</f>
        <v>0</v>
      </c>
      <c r="D12" s="32">
        <f>Rates!F71</f>
        <v>0</v>
      </c>
    </row>
    <row r="13" spans="1:4">
      <c r="A13" s="27" t="str">
        <f>Rates!A72</f>
        <v>Rate Rider for Tax Changes - effective until December 31, 2012</v>
      </c>
      <c r="B13" s="28" t="str">
        <f>Rates!B72</f>
        <v>$/kWh</v>
      </c>
      <c r="C13" s="31">
        <f>Rates!D72</f>
        <v>-2.0000000000000001E-4</v>
      </c>
      <c r="D13" s="32">
        <f>Rates!F72</f>
        <v>-2.0000000000000001E-4</v>
      </c>
    </row>
    <row r="14" spans="1:4">
      <c r="A14" s="27" t="str">
        <f>Rates!A73</f>
        <v>Retail Transmission Rate - Network Service Rate</v>
      </c>
      <c r="B14" s="28" t="str">
        <f>Rates!B73</f>
        <v>$/kW</v>
      </c>
      <c r="C14" s="31">
        <f>Rates!D73</f>
        <v>1.9906999999999999</v>
      </c>
      <c r="D14" s="32">
        <f>Rates!F73</f>
        <v>1.9012</v>
      </c>
    </row>
    <row r="15" spans="1:4">
      <c r="A15" s="27" t="str">
        <f>Rates!A74</f>
        <v>Retail Transmission Rate - Line and Transformation Connection Service Rate</v>
      </c>
      <c r="B15" s="28" t="str">
        <f>Rates!B74</f>
        <v>$/kW</v>
      </c>
      <c r="C15" s="31">
        <f>Rates!D74</f>
        <v>1.3992</v>
      </c>
      <c r="D15" s="32">
        <f>Rates!F74</f>
        <v>1.3680000000000001</v>
      </c>
    </row>
    <row r="16" spans="1:4">
      <c r="A16" s="27" t="str">
        <f>Rates!A75</f>
        <v>Wholesale Market Service Rate</v>
      </c>
      <c r="B16" s="28" t="str">
        <f>Rates!B75</f>
        <v>$/kWh</v>
      </c>
      <c r="C16" s="31">
        <f>Rates!D75</f>
        <v>5.1999999999999998E-3</v>
      </c>
      <c r="D16" s="32">
        <f>Rates!F75</f>
        <v>5.1999999999999998E-3</v>
      </c>
    </row>
    <row r="17" spans="1:10">
      <c r="A17" s="27" t="str">
        <f>Rates!A76</f>
        <v>Rural Rate Protection Charge</v>
      </c>
      <c r="B17" s="28" t="str">
        <f>Rates!B76</f>
        <v>$/kWh</v>
      </c>
      <c r="C17" s="31">
        <f>Rates!D76</f>
        <v>1.1000000000000001E-3</v>
      </c>
      <c r="D17" s="32">
        <f>Rates!F76</f>
        <v>1.1000000000000001E-3</v>
      </c>
    </row>
    <row r="18" spans="1:10">
      <c r="A18" s="27" t="str">
        <f>Rates!A77</f>
        <v>Special Purpose Charge</v>
      </c>
      <c r="B18" s="28" t="str">
        <f>Rates!B77</f>
        <v>$/kWh</v>
      </c>
      <c r="C18" s="31">
        <f>Rates!D77</f>
        <v>0</v>
      </c>
      <c r="D18" s="32">
        <f>Rates!F77</f>
        <v>0</v>
      </c>
    </row>
    <row r="19" spans="1:10" ht="12.75" thickBot="1">
      <c r="A19" s="12" t="str">
        <f>Rates!A78</f>
        <v>Standard Supply Service - Administarive Charge (if applicable)</v>
      </c>
      <c r="B19" s="17" t="str">
        <f>Rates!B78</f>
        <v>$</v>
      </c>
      <c r="C19" s="18">
        <f>Rates!D78</f>
        <v>0.25</v>
      </c>
      <c r="D19" s="13">
        <f>Rates!F78</f>
        <v>0.25</v>
      </c>
    </row>
    <row r="21" spans="1:10" ht="12.75" thickBot="1"/>
    <row r="22" spans="1:10" ht="13.5" thickBot="1">
      <c r="A22" s="33" t="s">
        <v>26</v>
      </c>
      <c r="B22" s="34">
        <v>25000</v>
      </c>
      <c r="C22" s="35" t="s">
        <v>27</v>
      </c>
      <c r="D22" s="36">
        <v>71.459999999999994</v>
      </c>
      <c r="E22" s="35" t="s">
        <v>28</v>
      </c>
      <c r="G22" s="37" t="s">
        <v>23</v>
      </c>
      <c r="H22" s="53">
        <f>Rates!F87</f>
        <v>1.0864</v>
      </c>
    </row>
    <row r="23" spans="1:10" ht="13.5" thickBot="1">
      <c r="A23" s="33" t="s">
        <v>29</v>
      </c>
      <c r="B23" s="34">
        <v>750</v>
      </c>
      <c r="C23" s="35" t="s">
        <v>27</v>
      </c>
      <c r="D23" s="37" t="s">
        <v>30</v>
      </c>
      <c r="E23" s="98">
        <f>IF(D22&gt;0,B22/(D22*24*30.4)," ")</f>
        <v>0.47950393055125928</v>
      </c>
    </row>
    <row r="24" spans="1:10" ht="12.75" thickBot="1"/>
    <row r="25" spans="1:10" ht="12.75" customHeight="1">
      <c r="A25" s="149" t="str">
        <f>A3</f>
        <v>Street Lighting</v>
      </c>
      <c r="B25" s="151" t="s">
        <v>31</v>
      </c>
      <c r="C25" s="146" t="s">
        <v>37</v>
      </c>
      <c r="D25" s="146" t="s">
        <v>38</v>
      </c>
      <c r="E25" s="151" t="s">
        <v>31</v>
      </c>
      <c r="F25" s="146" t="s">
        <v>37</v>
      </c>
      <c r="G25" s="146" t="s">
        <v>38</v>
      </c>
      <c r="H25" s="153" t="s">
        <v>44</v>
      </c>
      <c r="I25" s="153"/>
      <c r="J25" s="154"/>
    </row>
    <row r="26" spans="1:10" ht="12.75" thickBot="1">
      <c r="A26" s="150"/>
      <c r="B26" s="152"/>
      <c r="C26" s="50" t="s">
        <v>15</v>
      </c>
      <c r="D26" s="50" t="s">
        <v>15</v>
      </c>
      <c r="E26" s="152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>
      <c r="A27" s="54" t="s">
        <v>35</v>
      </c>
      <c r="B27" s="55">
        <f>IF(B22*Rates!D87&gt;B23,B23,B22*Rates!D87)</f>
        <v>750</v>
      </c>
      <c r="C27" s="56">
        <f>Rates!D82</f>
        <v>7.4999999999999997E-2</v>
      </c>
      <c r="D27" s="58">
        <f>B27*C27</f>
        <v>56.25</v>
      </c>
      <c r="E27" s="55">
        <f>IF(B22*H22&gt;B23,B23,B22*H22)</f>
        <v>750</v>
      </c>
      <c r="F27" s="56">
        <f>Rates!F82</f>
        <v>7.4999999999999997E-2</v>
      </c>
      <c r="G27" s="58">
        <f>E27*F27</f>
        <v>56.25</v>
      </c>
      <c r="H27" s="58">
        <f t="shared" ref="H27:H53" si="0">G27-D27</f>
        <v>0</v>
      </c>
      <c r="I27" s="59">
        <f>IF(ISERROR(H27/D27),1,H27/D27)</f>
        <v>0</v>
      </c>
      <c r="J27" s="60">
        <f t="shared" ref="J27:J53" si="1">IF(ISERROR(G27/G$53),0,G27/G$53)</f>
        <v>6.8732414944129372E-3</v>
      </c>
    </row>
    <row r="28" spans="1:10" ht="12.75" thickBot="1">
      <c r="A28" s="63" t="s">
        <v>36</v>
      </c>
      <c r="B28" s="64">
        <f>IF(B22*Rates!D87&gt;=B23,B22*Rates!D87-B23,0)</f>
        <v>26410</v>
      </c>
      <c r="C28" s="65">
        <f>Rates!D83</f>
        <v>8.7999999999999995E-2</v>
      </c>
      <c r="D28" s="66">
        <f>B28*C28</f>
        <v>2324.08</v>
      </c>
      <c r="E28" s="64">
        <f>IF(B22*H22&gt;=B23,B22*H22-B23,0)</f>
        <v>26410</v>
      </c>
      <c r="F28" s="65">
        <f>Rates!F83</f>
        <v>8.7999999999999995E-2</v>
      </c>
      <c r="G28" s="66">
        <f>E28*F28</f>
        <v>2324.08</v>
      </c>
      <c r="H28" s="66">
        <f t="shared" si="0"/>
        <v>0</v>
      </c>
      <c r="I28" s="67">
        <f>IF(ISERROR(H28/D28),0,H28/D28)</f>
        <v>0</v>
      </c>
      <c r="J28" s="68">
        <f t="shared" si="1"/>
        <v>0.28398156608595942</v>
      </c>
    </row>
    <row r="29" spans="1:10" ht="12.75" thickBot="1">
      <c r="A29" s="73" t="s">
        <v>39</v>
      </c>
      <c r="B29" s="74"/>
      <c r="C29" s="75"/>
      <c r="D29" s="76">
        <f>SUM(D27:D28)</f>
        <v>2380.33</v>
      </c>
      <c r="E29" s="75"/>
      <c r="F29" s="75"/>
      <c r="G29" s="76">
        <f>SUM(G27:G28)</f>
        <v>2380.33</v>
      </c>
      <c r="H29" s="76">
        <f t="shared" si="0"/>
        <v>0</v>
      </c>
      <c r="I29" s="77">
        <f>IF(ISERROR(H29/D29),0,H29/D29)</f>
        <v>0</v>
      </c>
      <c r="J29" s="78">
        <f t="shared" si="1"/>
        <v>0.29085480758037241</v>
      </c>
    </row>
    <row r="30" spans="1:10">
      <c r="A30" s="69" t="str">
        <f t="shared" ref="A30:A35" si="2">A4</f>
        <v>Monthly Service Charge</v>
      </c>
      <c r="B30" s="70">
        <v>428</v>
      </c>
      <c r="C30" s="46">
        <f t="shared" ref="C30:C35" si="3">C4</f>
        <v>0.96</v>
      </c>
      <c r="D30" s="46">
        <f t="shared" ref="D30:D39" si="4">B30*C30</f>
        <v>410.88</v>
      </c>
      <c r="E30" s="71">
        <f>B30</f>
        <v>428</v>
      </c>
      <c r="F30" s="47">
        <f t="shared" ref="F30:F35" si="5">D4</f>
        <v>0.97</v>
      </c>
      <c r="G30" s="47">
        <f t="shared" ref="G30:G39" si="6">E30*F30</f>
        <v>415.15999999999997</v>
      </c>
      <c r="H30" s="47">
        <f t="shared" si="0"/>
        <v>4.2799999999999727</v>
      </c>
      <c r="I30" s="48">
        <f>IF(ISERROR(H30/D30),0,H30/D30)</f>
        <v>1.04166666666666E-2</v>
      </c>
      <c r="J30" s="72">
        <f t="shared" si="1"/>
        <v>5.0728798912363995E-2</v>
      </c>
    </row>
    <row r="31" spans="1:10">
      <c r="A31" s="61" t="str">
        <f t="shared" si="2"/>
        <v>Smart Meter Rate Adder</v>
      </c>
      <c r="B31" s="43">
        <f>B30</f>
        <v>428</v>
      </c>
      <c r="C31" s="41">
        <f t="shared" si="3"/>
        <v>0</v>
      </c>
      <c r="D31" s="41">
        <f t="shared" si="4"/>
        <v>0</v>
      </c>
      <c r="E31" s="43">
        <f>B31</f>
        <v>428</v>
      </c>
      <c r="F31" s="41">
        <f t="shared" si="5"/>
        <v>0</v>
      </c>
      <c r="G31" s="41">
        <f t="shared" si="6"/>
        <v>0</v>
      </c>
      <c r="H31" s="41">
        <f t="shared" si="0"/>
        <v>0</v>
      </c>
      <c r="I31" s="42">
        <f>IF(ISERROR(H31/D31),0,H31/D31)</f>
        <v>0</v>
      </c>
      <c r="J31" s="62">
        <f t="shared" si="1"/>
        <v>0</v>
      </c>
    </row>
    <row r="32" spans="1:10">
      <c r="A32" s="61" t="str">
        <f t="shared" si="2"/>
        <v>Distribution Volumetric Rate</v>
      </c>
      <c r="B32" s="43">
        <f>B22</f>
        <v>25000</v>
      </c>
      <c r="C32" s="40">
        <f t="shared" si="3"/>
        <v>0.15429999999999999</v>
      </c>
      <c r="D32" s="41">
        <f t="shared" si="4"/>
        <v>3857.5</v>
      </c>
      <c r="E32" s="43">
        <f>B22</f>
        <v>25000</v>
      </c>
      <c r="F32" s="40">
        <f t="shared" si="5"/>
        <v>0.15570000000000001</v>
      </c>
      <c r="G32" s="41">
        <f t="shared" si="6"/>
        <v>3892.5</v>
      </c>
      <c r="H32" s="41">
        <f t="shared" si="0"/>
        <v>35</v>
      </c>
      <c r="I32" s="42">
        <f t="shared" ref="I32:I53" si="7">IF(ISERROR(H32/D32),0,H32/D32)</f>
        <v>9.0732339598185354E-3</v>
      </c>
      <c r="J32" s="62">
        <f t="shared" si="1"/>
        <v>0.47562831141337525</v>
      </c>
    </row>
    <row r="33" spans="1:10">
      <c r="A33" s="61" t="str">
        <f t="shared" si="2"/>
        <v>Rate Rider for Foregone Revenue Recovery - effective until December 31, 2012</v>
      </c>
      <c r="B33" s="43">
        <f>B22</f>
        <v>25000</v>
      </c>
      <c r="C33" s="40">
        <f t="shared" si="3"/>
        <v>1E-4</v>
      </c>
      <c r="D33" s="41">
        <f t="shared" si="4"/>
        <v>2.5</v>
      </c>
      <c r="E33" s="43">
        <f>B22</f>
        <v>25000</v>
      </c>
      <c r="F33" s="40">
        <f t="shared" si="5"/>
        <v>0</v>
      </c>
      <c r="G33" s="41">
        <f>E33*F33</f>
        <v>0</v>
      </c>
      <c r="H33" s="41">
        <f>G33-D33</f>
        <v>-2.5</v>
      </c>
      <c r="I33" s="42">
        <f>IF(ISERROR(H33/D33),0,H33/D33)</f>
        <v>-1</v>
      </c>
      <c r="J33" s="62">
        <f t="shared" si="1"/>
        <v>0</v>
      </c>
    </row>
    <row r="34" spans="1:10">
      <c r="A34" s="61" t="str">
        <f t="shared" si="2"/>
        <v>Rate Rider for Deferral/Variance Account Disposition - effective until May 31, 2013</v>
      </c>
      <c r="B34" s="43">
        <f>B22</f>
        <v>25000</v>
      </c>
      <c r="C34" s="40">
        <f t="shared" si="3"/>
        <v>4.7999999999999996E-3</v>
      </c>
      <c r="D34" s="41">
        <f t="shared" si="4"/>
        <v>119.99999999999999</v>
      </c>
      <c r="E34" s="43">
        <f>B22</f>
        <v>25000</v>
      </c>
      <c r="F34" s="40">
        <f t="shared" si="5"/>
        <v>4.7999999999999996E-3</v>
      </c>
      <c r="G34" s="41">
        <f t="shared" si="6"/>
        <v>119.99999999999999</v>
      </c>
      <c r="H34" s="41">
        <f t="shared" si="0"/>
        <v>0</v>
      </c>
      <c r="I34" s="42">
        <f t="shared" si="7"/>
        <v>0</v>
      </c>
      <c r="J34" s="62">
        <f t="shared" si="1"/>
        <v>1.4662915188080931E-2</v>
      </c>
    </row>
    <row r="35" spans="1:10">
      <c r="A35" s="61" t="str">
        <f t="shared" si="2"/>
        <v>Rate Rider for Deferral/Variance Account Disposition - effective until May 31, 2013</v>
      </c>
      <c r="B35" s="43">
        <f>B22</f>
        <v>25000</v>
      </c>
      <c r="C35" s="40">
        <f t="shared" si="3"/>
        <v>-6.1000000000000004E-3</v>
      </c>
      <c r="D35" s="41">
        <f t="shared" si="4"/>
        <v>-152.5</v>
      </c>
      <c r="E35" s="43">
        <f>B22</f>
        <v>25000</v>
      </c>
      <c r="F35" s="40">
        <f t="shared" si="5"/>
        <v>-6.1000000000000004E-3</v>
      </c>
      <c r="G35" s="41">
        <f>E35*F35</f>
        <v>-152.5</v>
      </c>
      <c r="H35" s="41">
        <f>G35-D35</f>
        <v>0</v>
      </c>
      <c r="I35" s="42">
        <f>IF(ISERROR(H35/D35),0,H35/D35)</f>
        <v>0</v>
      </c>
      <c r="J35" s="62">
        <f t="shared" si="1"/>
        <v>-1.8634121384852851E-2</v>
      </c>
    </row>
    <row r="36" spans="1:10">
      <c r="A36" s="61" t="str">
        <f>A10</f>
        <v>Rate Rider for Deferral/Variance Account Disposition (2012) - effective until December 31, 2013</v>
      </c>
      <c r="B36" s="43">
        <f>B22</f>
        <v>25000</v>
      </c>
      <c r="C36" s="40">
        <f>C10</f>
        <v>0</v>
      </c>
      <c r="D36" s="41">
        <f t="shared" si="4"/>
        <v>0</v>
      </c>
      <c r="E36" s="43">
        <f>B22</f>
        <v>25000</v>
      </c>
      <c r="F36" s="40">
        <f>D10</f>
        <v>-6.9999999999999999E-4</v>
      </c>
      <c r="G36" s="41">
        <f>E36*F36</f>
        <v>-17.5</v>
      </c>
      <c r="H36" s="41">
        <f>G36-D36</f>
        <v>-17.5</v>
      </c>
      <c r="I36" s="42">
        <f>IF(ISERROR(H36/D36),0,H36/D36)</f>
        <v>0</v>
      </c>
      <c r="J36" s="62">
        <f t="shared" si="1"/>
        <v>-2.1383417982618028E-3</v>
      </c>
    </row>
    <row r="37" spans="1:10">
      <c r="A37" s="61" t="str">
        <f>A11</f>
        <v>Rate Rider for Global Adjustment Sub-Account Disposition (2012) - effective until December 31, 2013</v>
      </c>
      <c r="B37" s="43">
        <f>B22</f>
        <v>25000</v>
      </c>
      <c r="C37" s="40">
        <f>C11</f>
        <v>0</v>
      </c>
      <c r="D37" s="41">
        <f t="shared" si="4"/>
        <v>0</v>
      </c>
      <c r="E37" s="43">
        <f>B22</f>
        <v>25000</v>
      </c>
      <c r="F37" s="40">
        <f>D11</f>
        <v>1.1000000000000001E-3</v>
      </c>
      <c r="G37" s="41">
        <f>E37*F37</f>
        <v>27.5</v>
      </c>
      <c r="H37" s="41">
        <f>G37-D37</f>
        <v>27.5</v>
      </c>
      <c r="I37" s="42">
        <f>IF(ISERROR(H37/D37),0,H37/D37)</f>
        <v>0</v>
      </c>
      <c r="J37" s="62">
        <f t="shared" si="1"/>
        <v>3.3602513972685473E-3</v>
      </c>
    </row>
    <row r="38" spans="1:10">
      <c r="A38" s="61" t="str">
        <f>A12</f>
        <v>Rate Rider for PILs - effective until December 31, 2013</v>
      </c>
      <c r="B38" s="43">
        <f>B22</f>
        <v>25000</v>
      </c>
      <c r="C38" s="40">
        <f>C12</f>
        <v>0</v>
      </c>
      <c r="D38" s="41">
        <f t="shared" si="4"/>
        <v>0</v>
      </c>
      <c r="E38" s="43">
        <f>B22</f>
        <v>25000</v>
      </c>
      <c r="F38" s="40">
        <f>D12</f>
        <v>0</v>
      </c>
      <c r="G38" s="41">
        <f>E38*F38</f>
        <v>0</v>
      </c>
      <c r="H38" s="41">
        <f>G38-D38</f>
        <v>0</v>
      </c>
      <c r="I38" s="42">
        <f>IF(ISERROR(H38/D38),0,H38/D38)</f>
        <v>0</v>
      </c>
      <c r="J38" s="62">
        <f t="shared" si="1"/>
        <v>0</v>
      </c>
    </row>
    <row r="39" spans="1:10" ht="12.75" thickBot="1">
      <c r="A39" s="61" t="str">
        <f t="shared" ref="A39" si="8">A13</f>
        <v>Rate Rider for Tax Changes - effective until December 31, 2012</v>
      </c>
      <c r="B39" s="43">
        <f>B22</f>
        <v>25000</v>
      </c>
      <c r="C39" s="40">
        <f t="shared" ref="C39" si="9">C13</f>
        <v>-2.0000000000000001E-4</v>
      </c>
      <c r="D39" s="41">
        <f t="shared" si="4"/>
        <v>-5</v>
      </c>
      <c r="E39" s="43">
        <f>B22</f>
        <v>25000</v>
      </c>
      <c r="F39" s="40">
        <f t="shared" ref="F39" si="10">D13</f>
        <v>-2.0000000000000001E-4</v>
      </c>
      <c r="G39" s="41">
        <f t="shared" si="6"/>
        <v>-5</v>
      </c>
      <c r="H39" s="41">
        <f t="shared" si="0"/>
        <v>0</v>
      </c>
      <c r="I39" s="42">
        <f t="shared" si="7"/>
        <v>0</v>
      </c>
      <c r="J39" s="62">
        <f t="shared" si="1"/>
        <v>-6.1095479950337218E-4</v>
      </c>
    </row>
    <row r="40" spans="1:10" ht="12.75" thickBot="1">
      <c r="A40" s="73" t="s">
        <v>40</v>
      </c>
      <c r="B40" s="74"/>
      <c r="C40" s="75"/>
      <c r="D40" s="76">
        <f>SUM(D30:D39)</f>
        <v>4233.38</v>
      </c>
      <c r="E40" s="75"/>
      <c r="F40" s="75"/>
      <c r="G40" s="76">
        <f>SUM(G30:G39)</f>
        <v>4280.16</v>
      </c>
      <c r="H40" s="76">
        <f t="shared" si="0"/>
        <v>46.779999999999745</v>
      </c>
      <c r="I40" s="77">
        <f t="shared" si="7"/>
        <v>1.1050271886766543E-2</v>
      </c>
      <c r="J40" s="78">
        <f t="shared" si="1"/>
        <v>0.5229968589284707</v>
      </c>
    </row>
    <row r="41" spans="1:10">
      <c r="A41" s="69" t="str">
        <f>A14</f>
        <v>Retail Transmission Rate - Network Service Rate</v>
      </c>
      <c r="B41" s="99">
        <f>D22*Rates!D87</f>
        <v>77.634143999999992</v>
      </c>
      <c r="C41" s="45">
        <f>C14</f>
        <v>1.9906999999999999</v>
      </c>
      <c r="D41" s="47">
        <f>B41*C41</f>
        <v>154.54629046079998</v>
      </c>
      <c r="E41" s="99">
        <f>D22*H22</f>
        <v>77.634143999999992</v>
      </c>
      <c r="F41" s="45">
        <f>D14</f>
        <v>1.9012</v>
      </c>
      <c r="G41" s="47">
        <f>E41*F41</f>
        <v>147.59803457279997</v>
      </c>
      <c r="H41" s="47">
        <f t="shared" si="0"/>
        <v>-6.9482558880000056</v>
      </c>
      <c r="I41" s="48">
        <f t="shared" si="7"/>
        <v>-4.4959059627266831E-2</v>
      </c>
      <c r="J41" s="72">
        <f t="shared" si="1"/>
        <v>1.8035145523903361E-2</v>
      </c>
    </row>
    <row r="42" spans="1:10" ht="12.75" thickBot="1">
      <c r="A42" s="63" t="str">
        <f>A15</f>
        <v>Retail Transmission Rate - Line and Transformation Connection Service Rate</v>
      </c>
      <c r="B42" s="100">
        <f>D22*Rates!D87</f>
        <v>77.634143999999992</v>
      </c>
      <c r="C42" s="65">
        <f>C15</f>
        <v>1.3992</v>
      </c>
      <c r="D42" s="66">
        <f>B42*C42</f>
        <v>108.62569428479999</v>
      </c>
      <c r="E42" s="100">
        <f>D22*H22</f>
        <v>77.634143999999992</v>
      </c>
      <c r="F42" s="65">
        <f>D15</f>
        <v>1.3680000000000001</v>
      </c>
      <c r="G42" s="66">
        <f>E42*F42</f>
        <v>106.203508992</v>
      </c>
      <c r="H42" s="66">
        <f t="shared" si="0"/>
        <v>-2.4221852927999947</v>
      </c>
      <c r="I42" s="67">
        <f t="shared" si="7"/>
        <v>-2.2298456260720367E-2</v>
      </c>
      <c r="J42" s="68">
        <f t="shared" si="1"/>
        <v>1.297710870855239E-2</v>
      </c>
    </row>
    <row r="43" spans="1:10" ht="12.75" thickBot="1">
      <c r="A43" s="73" t="s">
        <v>32</v>
      </c>
      <c r="B43" s="74"/>
      <c r="C43" s="75"/>
      <c r="D43" s="76">
        <f>SUM(D41:D42)</f>
        <v>263.17198474559996</v>
      </c>
      <c r="E43" s="75"/>
      <c r="F43" s="75"/>
      <c r="G43" s="76">
        <f>SUM(G41:G42)</f>
        <v>253.80154356479997</v>
      </c>
      <c r="H43" s="76">
        <f t="shared" si="0"/>
        <v>-9.3704411807999861</v>
      </c>
      <c r="I43" s="77">
        <f t="shared" si="7"/>
        <v>-3.5605770081713277E-2</v>
      </c>
      <c r="J43" s="78">
        <f t="shared" si="1"/>
        <v>3.1012254232455752E-2</v>
      </c>
    </row>
    <row r="44" spans="1:10" ht="12.75" thickBot="1">
      <c r="A44" s="81" t="s">
        <v>41</v>
      </c>
      <c r="B44" s="82"/>
      <c r="C44" s="83"/>
      <c r="D44" s="84">
        <f>D40+D43</f>
        <v>4496.5519847455998</v>
      </c>
      <c r="E44" s="83"/>
      <c r="F44" s="83"/>
      <c r="G44" s="84">
        <f>G40+G43</f>
        <v>4533.9615435648002</v>
      </c>
      <c r="H44" s="84">
        <f t="shared" si="0"/>
        <v>37.409558819200356</v>
      </c>
      <c r="I44" s="85">
        <f t="shared" si="7"/>
        <v>8.319609991413646E-3</v>
      </c>
      <c r="J44" s="86">
        <f t="shared" si="1"/>
        <v>0.55400911316092649</v>
      </c>
    </row>
    <row r="45" spans="1:10">
      <c r="A45" s="69" t="str">
        <f>A16</f>
        <v>Wholesale Market Service Rate</v>
      </c>
      <c r="B45" s="44">
        <f>B22*Rates!D87</f>
        <v>27160</v>
      </c>
      <c r="C45" s="45">
        <f>C16</f>
        <v>5.1999999999999998E-3</v>
      </c>
      <c r="D45" s="47">
        <f>B45*C45</f>
        <v>141.232</v>
      </c>
      <c r="E45" s="44">
        <f>B22*H22</f>
        <v>27160</v>
      </c>
      <c r="F45" s="45">
        <f>D16</f>
        <v>5.1999999999999998E-3</v>
      </c>
      <c r="G45" s="47">
        <f>E45*F45</f>
        <v>141.232</v>
      </c>
      <c r="H45" s="47">
        <f t="shared" si="0"/>
        <v>0</v>
      </c>
      <c r="I45" s="48">
        <f t="shared" si="7"/>
        <v>0</v>
      </c>
      <c r="J45" s="72">
        <f t="shared" si="1"/>
        <v>1.7257273648692052E-2</v>
      </c>
    </row>
    <row r="46" spans="1:10">
      <c r="A46" s="61" t="str">
        <f>A17</f>
        <v>Rural Rate Protection Charge</v>
      </c>
      <c r="B46" s="39">
        <f>B22*Rates!D87</f>
        <v>27160</v>
      </c>
      <c r="C46" s="40">
        <f>C17</f>
        <v>1.1000000000000001E-3</v>
      </c>
      <c r="D46" s="41">
        <f>B46*C46</f>
        <v>29.876000000000001</v>
      </c>
      <c r="E46" s="39">
        <f>B22*H22</f>
        <v>27160</v>
      </c>
      <c r="F46" s="40">
        <f>D17</f>
        <v>1.1000000000000001E-3</v>
      </c>
      <c r="G46" s="41">
        <f>E46*F46</f>
        <v>29.876000000000001</v>
      </c>
      <c r="H46" s="41">
        <f t="shared" si="0"/>
        <v>0</v>
      </c>
      <c r="I46" s="42">
        <f t="shared" si="7"/>
        <v>0</v>
      </c>
      <c r="J46" s="62">
        <f t="shared" si="1"/>
        <v>3.6505771179925497E-3</v>
      </c>
    </row>
    <row r="47" spans="1:10">
      <c r="A47" s="63" t="s">
        <v>45</v>
      </c>
      <c r="B47" s="64">
        <f>B22*Rates!D87</f>
        <v>27160</v>
      </c>
      <c r="C47" s="65">
        <f>Rates!D77</f>
        <v>0</v>
      </c>
      <c r="D47" s="66">
        <f>B47*C47</f>
        <v>0</v>
      </c>
      <c r="E47" s="64">
        <f>B22*Rates!F87</f>
        <v>27160</v>
      </c>
      <c r="F47" s="65">
        <f>Rates!F77</f>
        <v>0</v>
      </c>
      <c r="G47" s="66">
        <f>E47*F47</f>
        <v>0</v>
      </c>
      <c r="H47" s="41">
        <f>G47-D47</f>
        <v>0</v>
      </c>
      <c r="I47" s="42">
        <f>IF(ISERROR(H47/D47),0,H47/D47)</f>
        <v>0</v>
      </c>
      <c r="J47" s="62">
        <f t="shared" si="1"/>
        <v>0</v>
      </c>
    </row>
    <row r="48" spans="1:10" ht="12.75" thickBot="1">
      <c r="A48" s="63" t="str">
        <f>A19</f>
        <v>Standard Supply Service - Administarive Charge (if applicable)</v>
      </c>
      <c r="B48" s="79">
        <f>B30</f>
        <v>428</v>
      </c>
      <c r="C48" s="66">
        <f>C19</f>
        <v>0.25</v>
      </c>
      <c r="D48" s="66">
        <f>B48*C48</f>
        <v>107</v>
      </c>
      <c r="E48" s="64">
        <f>B30</f>
        <v>428</v>
      </c>
      <c r="F48" s="66">
        <f>D19</f>
        <v>0.25</v>
      </c>
      <c r="G48" s="66">
        <f>E48*F48</f>
        <v>107</v>
      </c>
      <c r="H48" s="66">
        <f t="shared" si="0"/>
        <v>0</v>
      </c>
      <c r="I48" s="67">
        <f t="shared" si="7"/>
        <v>0</v>
      </c>
      <c r="J48" s="68">
        <f t="shared" si="1"/>
        <v>1.3074432709372166E-2</v>
      </c>
    </row>
    <row r="49" spans="1:10" ht="12.75" thickBot="1">
      <c r="A49" s="73" t="s">
        <v>42</v>
      </c>
      <c r="B49" s="74"/>
      <c r="C49" s="75"/>
      <c r="D49" s="76">
        <f>SUM(D45:D48)</f>
        <v>278.108</v>
      </c>
      <c r="E49" s="75"/>
      <c r="F49" s="75"/>
      <c r="G49" s="76">
        <f>SUM(G45:G48)</f>
        <v>278.108</v>
      </c>
      <c r="H49" s="76">
        <f t="shared" si="0"/>
        <v>0</v>
      </c>
      <c r="I49" s="77">
        <f t="shared" si="7"/>
        <v>0</v>
      </c>
      <c r="J49" s="78">
        <f t="shared" si="1"/>
        <v>3.3982283476056765E-2</v>
      </c>
    </row>
    <row r="50" spans="1:10" ht="12.75" thickBot="1">
      <c r="A50" s="87" t="s">
        <v>19</v>
      </c>
      <c r="B50" s="88">
        <f>B22</f>
        <v>25000</v>
      </c>
      <c r="C50" s="89">
        <f>Rates!D81</f>
        <v>2E-3</v>
      </c>
      <c r="D50" s="90">
        <f>B50*C50</f>
        <v>50</v>
      </c>
      <c r="E50" s="88">
        <f>B22</f>
        <v>25000</v>
      </c>
      <c r="F50" s="89">
        <f>Rates!F81</f>
        <v>2E-3</v>
      </c>
      <c r="G50" s="90">
        <f>E50*F50</f>
        <v>50</v>
      </c>
      <c r="H50" s="90">
        <f t="shared" si="0"/>
        <v>0</v>
      </c>
      <c r="I50" s="91">
        <f t="shared" si="7"/>
        <v>0</v>
      </c>
      <c r="J50" s="92">
        <f t="shared" si="1"/>
        <v>6.109547995033722E-3</v>
      </c>
    </row>
    <row r="51" spans="1:10" ht="12.75" thickBot="1">
      <c r="A51" s="73" t="s">
        <v>43</v>
      </c>
      <c r="B51" s="74"/>
      <c r="C51" s="75"/>
      <c r="D51" s="76">
        <f>D29+D44+D49+D50</f>
        <v>7204.9899847455999</v>
      </c>
      <c r="E51" s="75"/>
      <c r="F51" s="75"/>
      <c r="G51" s="76">
        <f>G29+G44+G49+G50</f>
        <v>7242.3995435648003</v>
      </c>
      <c r="H51" s="76">
        <f t="shared" si="0"/>
        <v>37.409558819200356</v>
      </c>
      <c r="I51" s="77">
        <f t="shared" si="7"/>
        <v>5.1921736044607762E-3</v>
      </c>
      <c r="J51" s="78">
        <f t="shared" si="1"/>
        <v>0.88495575221238942</v>
      </c>
    </row>
    <row r="52" spans="1:10" ht="12.75" thickBot="1">
      <c r="A52" s="93" t="s">
        <v>46</v>
      </c>
      <c r="B52" s="94"/>
      <c r="C52" s="95">
        <f>Rates!D88</f>
        <v>0.13</v>
      </c>
      <c r="D52" s="90">
        <f>C52*D51</f>
        <v>936.64869801692805</v>
      </c>
      <c r="E52" s="96"/>
      <c r="F52" s="95">
        <f>Rates!F88</f>
        <v>0.13</v>
      </c>
      <c r="G52" s="90">
        <f>F52*G51</f>
        <v>941.51194066342407</v>
      </c>
      <c r="H52" s="90">
        <f t="shared" si="0"/>
        <v>4.863242646496019</v>
      </c>
      <c r="I52" s="91">
        <f t="shared" si="7"/>
        <v>5.1921736044607467E-3</v>
      </c>
      <c r="J52" s="92">
        <f t="shared" si="1"/>
        <v>0.11504424778761062</v>
      </c>
    </row>
    <row r="53" spans="1:10" ht="12.75" thickBot="1">
      <c r="A53" s="81" t="s">
        <v>33</v>
      </c>
      <c r="B53" s="82"/>
      <c r="C53" s="83"/>
      <c r="D53" s="104">
        <f>D51+D52</f>
        <v>8141.6386827625283</v>
      </c>
      <c r="E53" s="83"/>
      <c r="F53" s="83"/>
      <c r="G53" s="104">
        <f>G51+G52</f>
        <v>8183.9114842282243</v>
      </c>
      <c r="H53" s="104">
        <f t="shared" si="0"/>
        <v>42.27280146569592</v>
      </c>
      <c r="I53" s="85">
        <f t="shared" si="7"/>
        <v>5.1921736044607172E-3</v>
      </c>
      <c r="J53" s="86">
        <f t="shared" si="1"/>
        <v>1</v>
      </c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B2:L10"/>
  <sheetViews>
    <sheetView view="pageLayout" zoomScaleNormal="100" workbookViewId="0">
      <selection activeCell="M22" sqref="M22"/>
    </sheetView>
  </sheetViews>
  <sheetFormatPr defaultRowHeight="12.75"/>
  <cols>
    <col min="2" max="2" width="14.42578125" bestFit="1" customWidth="1"/>
    <col min="5" max="5" width="1.5703125" customWidth="1"/>
    <col min="6" max="7" width="9.28515625" bestFit="1" customWidth="1"/>
    <col min="9" max="9" width="1.5703125" customWidth="1"/>
    <col min="10" max="11" width="10.28515625" bestFit="1" customWidth="1"/>
  </cols>
  <sheetData>
    <row r="2" spans="2:12" ht="13.5" thickBot="1"/>
    <row r="3" spans="2:12" ht="13.5" thickBot="1">
      <c r="B3" s="157" t="s">
        <v>70</v>
      </c>
      <c r="C3" s="158"/>
      <c r="D3" s="158"/>
      <c r="E3" s="158"/>
      <c r="F3" s="158"/>
      <c r="G3" s="158"/>
      <c r="H3" s="158"/>
      <c r="I3" s="158"/>
      <c r="J3" s="158"/>
      <c r="K3" s="158"/>
      <c r="L3" s="159"/>
    </row>
    <row r="4" spans="2:12">
      <c r="B4" s="123" t="s">
        <v>53</v>
      </c>
      <c r="C4" s="155" t="s">
        <v>54</v>
      </c>
      <c r="D4" s="155"/>
      <c r="E4" s="124"/>
      <c r="F4" s="155" t="s">
        <v>55</v>
      </c>
      <c r="G4" s="155"/>
      <c r="H4" s="155"/>
      <c r="I4" s="124"/>
      <c r="J4" s="155" t="s">
        <v>33</v>
      </c>
      <c r="K4" s="155"/>
      <c r="L4" s="156"/>
    </row>
    <row r="5" spans="2:12">
      <c r="B5" s="114"/>
      <c r="C5" s="110" t="s">
        <v>27</v>
      </c>
      <c r="D5" s="110" t="s">
        <v>28</v>
      </c>
      <c r="E5" s="125"/>
      <c r="F5" s="110" t="s">
        <v>56</v>
      </c>
      <c r="G5" s="110" t="s">
        <v>57</v>
      </c>
      <c r="H5" s="110" t="s">
        <v>58</v>
      </c>
      <c r="I5" s="125"/>
      <c r="J5" s="110" t="s">
        <v>56</v>
      </c>
      <c r="K5" s="110" t="s">
        <v>57</v>
      </c>
      <c r="L5" s="115" t="s">
        <v>58</v>
      </c>
    </row>
    <row r="6" spans="2:12">
      <c r="B6" s="116" t="s">
        <v>59</v>
      </c>
      <c r="C6" s="111">
        <v>800</v>
      </c>
      <c r="D6" s="111">
        <v>0</v>
      </c>
      <c r="E6" s="126"/>
      <c r="F6" s="112">
        <f>'Residential R1 Impact'!D48</f>
        <v>56.153264000000007</v>
      </c>
      <c r="G6" s="112">
        <f>'Residential R1 Impact'!G48</f>
        <v>54.925615999999991</v>
      </c>
      <c r="H6" s="113">
        <f>(G6-F6)/F6</f>
        <v>-2.1862451308262618E-2</v>
      </c>
      <c r="I6" s="128"/>
      <c r="J6" s="112">
        <f>'Residential R1 Impact'!D60</f>
        <v>132.42487176000003</v>
      </c>
      <c r="K6" s="112">
        <f>'Residential R1 Impact'!G60</f>
        <v>131.17635374399998</v>
      </c>
      <c r="L6" s="117">
        <f>(K6-J6)/J6</f>
        <v>-9.4281232777993357E-3</v>
      </c>
    </row>
    <row r="7" spans="2:12">
      <c r="B7" s="116" t="s">
        <v>59</v>
      </c>
      <c r="C7" s="111">
        <v>2000</v>
      </c>
      <c r="D7" s="111">
        <v>0</v>
      </c>
      <c r="E7" s="126"/>
      <c r="F7" s="112">
        <f>'Residential R1 Impact (2)'!D48</f>
        <v>106.61816</v>
      </c>
      <c r="G7" s="112">
        <f>'Residential R1 Impact (2)'!G48</f>
        <v>104.14903999999999</v>
      </c>
      <c r="H7" s="113">
        <f>(G7-F7)/F7</f>
        <v>-2.3158531342127999E-2</v>
      </c>
      <c r="I7" s="128"/>
      <c r="J7" s="112">
        <f>'Residential R1 Impact (2)'!D60</f>
        <v>311.21542440000007</v>
      </c>
      <c r="K7" s="112">
        <f>'Residential R1 Impact (2)'!G60</f>
        <v>308.70432935999997</v>
      </c>
      <c r="L7" s="117">
        <f>(K7-J7)/J7</f>
        <v>-8.0686715475021924E-3</v>
      </c>
    </row>
    <row r="8" spans="2:12">
      <c r="B8" s="116" t="s">
        <v>60</v>
      </c>
      <c r="C8" s="111">
        <v>90000</v>
      </c>
      <c r="D8" s="111">
        <v>225</v>
      </c>
      <c r="E8" s="126"/>
      <c r="F8" s="112">
        <f>'Residential R2 Impact'!D46</f>
        <v>2169.1807800000001</v>
      </c>
      <c r="G8" s="112">
        <f>'Residential R2 Impact'!G46</f>
        <v>2180.9073200000003</v>
      </c>
      <c r="H8" s="113">
        <f>(G8-F8)/F8</f>
        <v>5.405976352049419E-3</v>
      </c>
      <c r="I8" s="128"/>
      <c r="J8" s="112">
        <f>'Residential R2 Impact'!D55</f>
        <v>13062.752065399998</v>
      </c>
      <c r="K8" s="112">
        <f>'Residential R2 Impact'!G55</f>
        <v>13076.003055599998</v>
      </c>
      <c r="L8" s="117">
        <f>(K8-J8)/J8</f>
        <v>1.0144102968239564E-3</v>
      </c>
    </row>
    <row r="9" spans="2:12">
      <c r="B9" s="116" t="s">
        <v>13</v>
      </c>
      <c r="C9" s="111">
        <v>287</v>
      </c>
      <c r="D9" s="111">
        <v>0</v>
      </c>
      <c r="E9" s="126"/>
      <c r="F9" s="112">
        <f>'Seasonal Impact'!D50*0.9</f>
        <v>61.360038863999996</v>
      </c>
      <c r="G9" s="112">
        <f>'Seasonal Impact'!G50*0.9</f>
        <v>75.484532015999989</v>
      </c>
      <c r="H9" s="113">
        <f>(G9-F9)/F9</f>
        <v>0.23019042056518071</v>
      </c>
      <c r="I9" s="128"/>
      <c r="J9" s="112">
        <f>'Seasonal Impact'!D62</f>
        <v>95.954866113599991</v>
      </c>
      <c r="K9" s="112">
        <f>'Seasonal Impact'!G62</f>
        <v>111.91554337535999</v>
      </c>
      <c r="L9" s="117">
        <f>(K9-J9)/J9</f>
        <v>0.16633525644092206</v>
      </c>
    </row>
    <row r="10" spans="2:12" ht="13.5" thickBot="1">
      <c r="B10" s="118" t="s">
        <v>14</v>
      </c>
      <c r="C10" s="119">
        <v>25000</v>
      </c>
      <c r="D10" s="119">
        <v>71.459999999999994</v>
      </c>
      <c r="E10" s="127"/>
      <c r="F10" s="120">
        <f>'Street Light Impact'!D44</f>
        <v>4496.5519847455998</v>
      </c>
      <c r="G10" s="120">
        <f>'Street Light Impact'!G44</f>
        <v>4506.4615435648002</v>
      </c>
      <c r="H10" s="121">
        <f>(G10-F10)/F10</f>
        <v>2.2038127998560229E-3</v>
      </c>
      <c r="I10" s="129"/>
      <c r="J10" s="120">
        <f>'Street Light Impact'!D53</f>
        <v>8141.6386827625283</v>
      </c>
      <c r="K10" s="120">
        <f>'Street Light Impact'!G53</f>
        <v>8152.8364842282244</v>
      </c>
      <c r="L10" s="122">
        <f>(K10-J10)/J10</f>
        <v>1.3753744058188286E-3</v>
      </c>
    </row>
  </sheetData>
  <mergeCells count="4">
    <mergeCell ref="C4:D4"/>
    <mergeCell ref="F4:H4"/>
    <mergeCell ref="J4:L4"/>
    <mergeCell ref="B3:L3"/>
  </mergeCells>
  <pageMargins left="0.75" right="0.75" top="1" bottom="1" header="0.5" footer="0.5"/>
  <pageSetup scale="75" orientation="portrait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88"/>
  <sheetViews>
    <sheetView view="pageLayout" topLeftCell="F1" zoomScaleNormal="100" workbookViewId="0">
      <selection activeCell="F71" sqref="F71"/>
    </sheetView>
  </sheetViews>
  <sheetFormatPr defaultRowHeight="12.75"/>
  <cols>
    <col min="1" max="1" width="9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3" spans="1:6" ht="38.25">
      <c r="A3" s="1" t="s">
        <v>0</v>
      </c>
      <c r="B3" s="9" t="s">
        <v>25</v>
      </c>
      <c r="C3" s="9"/>
      <c r="D3" s="10" t="s">
        <v>49</v>
      </c>
      <c r="E3" s="9"/>
      <c r="F3" s="10" t="s">
        <v>66</v>
      </c>
    </row>
    <row r="4" spans="1:6">
      <c r="A4" s="1" t="s">
        <v>1</v>
      </c>
    </row>
    <row r="5" spans="1:6">
      <c r="A5" t="s">
        <v>3</v>
      </c>
      <c r="B5" s="2" t="s">
        <v>15</v>
      </c>
      <c r="D5" s="3">
        <v>21.51</v>
      </c>
      <c r="E5" s="101"/>
      <c r="F5" s="3">
        <v>22.11</v>
      </c>
    </row>
    <row r="6" spans="1:6">
      <c r="A6" t="s">
        <v>2</v>
      </c>
      <c r="B6" s="2" t="s">
        <v>15</v>
      </c>
      <c r="D6" s="6">
        <v>1</v>
      </c>
      <c r="E6" s="3"/>
      <c r="F6" s="6">
        <v>0</v>
      </c>
    </row>
    <row r="7" spans="1:6">
      <c r="A7" t="s">
        <v>4</v>
      </c>
      <c r="B7" s="2" t="s">
        <v>16</v>
      </c>
      <c r="D7" s="4">
        <v>3.0200000000000001E-2</v>
      </c>
      <c r="E7" s="101"/>
      <c r="F7" s="4">
        <v>3.1E-2</v>
      </c>
    </row>
    <row r="8" spans="1:6">
      <c r="A8" t="s">
        <v>64</v>
      </c>
      <c r="B8" s="2" t="s">
        <v>16</v>
      </c>
      <c r="D8" s="4">
        <v>2.9999999999999997E-4</v>
      </c>
      <c r="E8" s="101"/>
      <c r="F8" s="4">
        <v>0</v>
      </c>
    </row>
    <row r="9" spans="1:6">
      <c r="A9" s="109" t="s">
        <v>50</v>
      </c>
      <c r="B9" s="2" t="s">
        <v>16</v>
      </c>
      <c r="D9" s="108">
        <v>4.5999999999999999E-3</v>
      </c>
      <c r="F9" s="108">
        <v>4.5999999999999999E-3</v>
      </c>
    </row>
    <row r="10" spans="1:6">
      <c r="A10" s="109" t="s">
        <v>50</v>
      </c>
      <c r="B10" s="2" t="s">
        <v>16</v>
      </c>
      <c r="D10" s="108">
        <v>-6.1000000000000004E-3</v>
      </c>
      <c r="F10" s="108">
        <v>-6.1000000000000004E-3</v>
      </c>
    </row>
    <row r="11" spans="1:6">
      <c r="A11" s="109" t="s">
        <v>67</v>
      </c>
      <c r="B11" s="2" t="s">
        <v>16</v>
      </c>
      <c r="D11" s="108"/>
      <c r="F11" s="108">
        <v>-1.1999999999999999E-3</v>
      </c>
    </row>
    <row r="12" spans="1:6">
      <c r="A12" s="109" t="s">
        <v>68</v>
      </c>
      <c r="B12" s="2" t="s">
        <v>16</v>
      </c>
      <c r="D12" s="108"/>
      <c r="F12" s="108">
        <v>1.1000000000000001E-3</v>
      </c>
    </row>
    <row r="13" spans="1:6">
      <c r="A13" s="109" t="s">
        <v>52</v>
      </c>
      <c r="B13" s="2" t="s">
        <v>16</v>
      </c>
      <c r="D13" s="4">
        <v>-2.0000000000000001E-4</v>
      </c>
      <c r="E13" s="3"/>
      <c r="F13" s="4">
        <v>-1E-4</v>
      </c>
    </row>
    <row r="14" spans="1:6">
      <c r="A14" t="s">
        <v>5</v>
      </c>
      <c r="B14" s="2" t="s">
        <v>16</v>
      </c>
      <c r="D14" s="4">
        <v>7.1000000000000004E-3</v>
      </c>
      <c r="E14" s="5"/>
      <c r="F14" s="4">
        <v>6.7999999999999996E-3</v>
      </c>
    </row>
    <row r="15" spans="1:6">
      <c r="A15" t="s">
        <v>6</v>
      </c>
      <c r="B15" s="2" t="s">
        <v>16</v>
      </c>
      <c r="D15" s="4">
        <v>5.1000000000000004E-3</v>
      </c>
      <c r="E15" s="7"/>
      <c r="F15" s="4">
        <v>5.0000000000000001E-3</v>
      </c>
    </row>
    <row r="16" spans="1:6">
      <c r="A16" t="s">
        <v>7</v>
      </c>
      <c r="B16" s="2" t="s">
        <v>16</v>
      </c>
      <c r="D16" s="4">
        <v>5.1999999999999998E-3</v>
      </c>
      <c r="E16" s="3"/>
      <c r="F16" s="4">
        <v>5.1999999999999998E-3</v>
      </c>
    </row>
    <row r="17" spans="1:6">
      <c r="A17" t="s">
        <v>8</v>
      </c>
      <c r="B17" s="2" t="s">
        <v>16</v>
      </c>
      <c r="D17" s="4">
        <v>1.1000000000000001E-3</v>
      </c>
      <c r="E17" s="4"/>
      <c r="F17" s="4">
        <v>1.1000000000000001E-3</v>
      </c>
    </row>
    <row r="18" spans="1:6">
      <c r="A18" t="s">
        <v>45</v>
      </c>
      <c r="B18" s="2" t="s">
        <v>16</v>
      </c>
      <c r="D18" s="103"/>
      <c r="E18" s="4"/>
      <c r="F18" s="103"/>
    </row>
    <row r="19" spans="1:6">
      <c r="A19" t="s">
        <v>9</v>
      </c>
      <c r="B19" s="2" t="s">
        <v>15</v>
      </c>
      <c r="D19" s="3">
        <v>0.25</v>
      </c>
      <c r="E19" s="3"/>
      <c r="F19" s="3">
        <v>0.25</v>
      </c>
    </row>
    <row r="21" spans="1:6">
      <c r="A21" s="1" t="s">
        <v>10</v>
      </c>
    </row>
    <row r="22" spans="1:6">
      <c r="A22" t="s">
        <v>3</v>
      </c>
      <c r="B22" s="2" t="s">
        <v>15</v>
      </c>
      <c r="D22" s="3">
        <v>596.12</v>
      </c>
      <c r="E22" s="101"/>
      <c r="F22" s="3">
        <v>596.12</v>
      </c>
    </row>
    <row r="23" spans="1:6">
      <c r="A23" t="s">
        <v>2</v>
      </c>
      <c r="B23" s="2" t="s">
        <v>15</v>
      </c>
      <c r="D23" s="6">
        <v>1</v>
      </c>
      <c r="E23" s="3"/>
      <c r="F23" s="6">
        <v>0</v>
      </c>
    </row>
    <row r="24" spans="1:6">
      <c r="A24" t="s">
        <v>4</v>
      </c>
      <c r="B24" s="2" t="s">
        <v>17</v>
      </c>
      <c r="D24" s="4">
        <v>2.7086000000000001</v>
      </c>
      <c r="E24" s="101"/>
      <c r="F24" s="4">
        <v>2.8481999999999998</v>
      </c>
    </row>
    <row r="25" spans="1:6">
      <c r="A25" t="s">
        <v>64</v>
      </c>
      <c r="B25" s="2" t="s">
        <v>17</v>
      </c>
      <c r="D25" s="4">
        <v>2.7199999999999998E-2</v>
      </c>
      <c r="E25" s="101"/>
      <c r="F25" s="4">
        <v>0</v>
      </c>
    </row>
    <row r="26" spans="1:6">
      <c r="A26" s="109" t="s">
        <v>50</v>
      </c>
      <c r="B26" s="2" t="s">
        <v>17</v>
      </c>
      <c r="D26" s="108">
        <v>2.2664</v>
      </c>
      <c r="F26" s="108">
        <v>2.2664</v>
      </c>
    </row>
    <row r="27" spans="1:6">
      <c r="A27" s="109" t="s">
        <v>50</v>
      </c>
      <c r="B27" s="2" t="s">
        <v>17</v>
      </c>
      <c r="D27" s="108">
        <v>-2.8218999999999999</v>
      </c>
      <c r="F27" s="108">
        <v>-2.8218999999999999</v>
      </c>
    </row>
    <row r="28" spans="1:6">
      <c r="A28" s="109" t="s">
        <v>67</v>
      </c>
      <c r="B28" s="2" t="s">
        <v>17</v>
      </c>
      <c r="D28" s="108"/>
      <c r="F28" s="108">
        <v>0.1096</v>
      </c>
    </row>
    <row r="29" spans="1:6">
      <c r="A29" s="109" t="s">
        <v>68</v>
      </c>
      <c r="B29" s="2" t="s">
        <v>17</v>
      </c>
      <c r="D29" s="108"/>
      <c r="F29" s="108">
        <v>0.46450000000000002</v>
      </c>
    </row>
    <row r="30" spans="1:6">
      <c r="A30" s="109" t="s">
        <v>69</v>
      </c>
      <c r="B30" s="2" t="s">
        <v>17</v>
      </c>
      <c r="D30" s="108"/>
      <c r="F30" s="108"/>
    </row>
    <row r="31" spans="1:6">
      <c r="A31" s="109" t="s">
        <v>52</v>
      </c>
      <c r="B31" s="2" t="s">
        <v>17</v>
      </c>
      <c r="D31" s="4">
        <v>-2.7300000000000001E-2</v>
      </c>
      <c r="E31" s="3"/>
      <c r="F31" s="4">
        <v>-0.02</v>
      </c>
    </row>
    <row r="32" spans="1:6">
      <c r="A32" t="s">
        <v>5</v>
      </c>
      <c r="B32" s="2" t="s">
        <v>17</v>
      </c>
      <c r="D32" s="4">
        <v>2.6396000000000002</v>
      </c>
      <c r="E32" s="5"/>
      <c r="F32" s="4">
        <v>2.5209000000000001</v>
      </c>
    </row>
    <row r="33" spans="1:6">
      <c r="A33" t="s">
        <v>6</v>
      </c>
      <c r="B33" s="2" t="s">
        <v>17</v>
      </c>
      <c r="D33" s="4">
        <v>1.8099000000000001</v>
      </c>
      <c r="E33" s="7"/>
      <c r="F33" s="4">
        <v>1.7696000000000001</v>
      </c>
    </row>
    <row r="34" spans="1:6">
      <c r="A34" t="s">
        <v>11</v>
      </c>
      <c r="B34" s="2" t="s">
        <v>17</v>
      </c>
      <c r="D34" s="4">
        <v>2.8001</v>
      </c>
      <c r="E34" s="5"/>
      <c r="F34" s="4">
        <v>2.6741999999999999</v>
      </c>
    </row>
    <row r="35" spans="1:6">
      <c r="A35" t="s">
        <v>12</v>
      </c>
      <c r="B35" s="2" t="s">
        <v>17</v>
      </c>
      <c r="D35" s="4">
        <v>2.0003000000000002</v>
      </c>
      <c r="E35" s="7"/>
      <c r="F35" s="4">
        <v>1.9558</v>
      </c>
    </row>
    <row r="36" spans="1:6">
      <c r="A36" t="s">
        <v>7</v>
      </c>
      <c r="B36" s="2" t="s">
        <v>16</v>
      </c>
      <c r="D36" s="4">
        <v>5.1999999999999998E-3</v>
      </c>
      <c r="E36" s="3"/>
      <c r="F36" s="4">
        <v>5.1999999999999998E-3</v>
      </c>
    </row>
    <row r="37" spans="1:6">
      <c r="A37" t="s">
        <v>8</v>
      </c>
      <c r="B37" s="2" t="s">
        <v>16</v>
      </c>
      <c r="D37" s="4">
        <v>1.1000000000000001E-3</v>
      </c>
      <c r="E37" s="4"/>
      <c r="F37" s="4">
        <v>1.1000000000000001E-3</v>
      </c>
    </row>
    <row r="38" spans="1:6">
      <c r="A38" t="s">
        <v>45</v>
      </c>
      <c r="B38" s="2" t="s">
        <v>16</v>
      </c>
      <c r="D38" s="103"/>
      <c r="E38" s="4"/>
      <c r="F38" s="103"/>
    </row>
    <row r="39" spans="1:6">
      <c r="A39" t="s">
        <v>9</v>
      </c>
      <c r="B39" s="2" t="s">
        <v>15</v>
      </c>
      <c r="D39" s="3">
        <v>0.25</v>
      </c>
      <c r="E39" s="3"/>
      <c r="F39" s="3">
        <v>0.25</v>
      </c>
    </row>
    <row r="41" spans="1:6">
      <c r="A41" s="1" t="s">
        <v>13</v>
      </c>
    </row>
    <row r="42" spans="1:6">
      <c r="A42" t="s">
        <v>3</v>
      </c>
      <c r="B42" s="2" t="s">
        <v>15</v>
      </c>
      <c r="D42" s="3">
        <v>26.15</v>
      </c>
      <c r="E42" s="101"/>
      <c r="F42" s="3">
        <v>26.38</v>
      </c>
    </row>
    <row r="43" spans="1:6">
      <c r="A43" t="s">
        <v>2</v>
      </c>
      <c r="B43" s="2" t="s">
        <v>15</v>
      </c>
      <c r="D43" s="6">
        <v>1</v>
      </c>
      <c r="E43" s="3"/>
      <c r="F43" s="6">
        <v>0</v>
      </c>
    </row>
    <row r="44" spans="1:6">
      <c r="A44" t="s">
        <v>4</v>
      </c>
      <c r="B44" s="2" t="s">
        <v>16</v>
      </c>
      <c r="D44" s="4">
        <v>0.10059999999999999</v>
      </c>
      <c r="E44" s="101"/>
      <c r="F44" s="4">
        <v>0.10150000000000001</v>
      </c>
    </row>
    <row r="45" spans="1:6">
      <c r="A45" t="s">
        <v>64</v>
      </c>
      <c r="B45" s="2" t="s">
        <v>16</v>
      </c>
      <c r="D45" s="4">
        <v>2.0000000000000001E-4</v>
      </c>
      <c r="E45" s="101"/>
      <c r="F45" s="4">
        <v>0</v>
      </c>
    </row>
    <row r="46" spans="1:6">
      <c r="A46" s="109" t="s">
        <v>50</v>
      </c>
      <c r="B46" s="2" t="s">
        <v>16</v>
      </c>
      <c r="D46" s="108">
        <v>4.5999999999999999E-3</v>
      </c>
      <c r="F46" s="108">
        <v>4.5999999999999999E-3</v>
      </c>
    </row>
    <row r="47" spans="1:6">
      <c r="A47" s="109" t="s">
        <v>50</v>
      </c>
      <c r="B47" s="2" t="s">
        <v>16</v>
      </c>
      <c r="D47" s="108">
        <v>-6.1000000000000004E-3</v>
      </c>
      <c r="F47" s="108">
        <v>-6.1000000000000004E-3</v>
      </c>
    </row>
    <row r="48" spans="1:6">
      <c r="A48" s="109" t="s">
        <v>51</v>
      </c>
      <c r="B48" s="2" t="s">
        <v>16</v>
      </c>
      <c r="D48" s="108">
        <v>3.0700000000000002E-2</v>
      </c>
      <c r="F48" s="108">
        <v>3.0700000000000002E-2</v>
      </c>
    </row>
    <row r="49" spans="1:6">
      <c r="A49" s="109" t="s">
        <v>67</v>
      </c>
      <c r="B49" s="2" t="s">
        <v>16</v>
      </c>
      <c r="D49" s="108"/>
      <c r="F49" s="108">
        <v>-1.5E-3</v>
      </c>
    </row>
    <row r="50" spans="1:6">
      <c r="A50" s="109" t="s">
        <v>68</v>
      </c>
      <c r="B50" s="2" t="s">
        <v>16</v>
      </c>
      <c r="D50" s="108"/>
      <c r="F50" s="108">
        <v>1.1000000000000001E-3</v>
      </c>
    </row>
    <row r="51" spans="1:6">
      <c r="A51" s="109" t="s">
        <v>69</v>
      </c>
      <c r="B51" s="2" t="s">
        <v>16</v>
      </c>
      <c r="D51" s="108"/>
      <c r="F51" s="108"/>
    </row>
    <row r="52" spans="1:6">
      <c r="A52" s="109" t="s">
        <v>71</v>
      </c>
      <c r="B52" s="2" t="s">
        <v>16</v>
      </c>
      <c r="D52" s="108"/>
      <c r="F52" s="108">
        <v>4.1099999999999998E-2</v>
      </c>
    </row>
    <row r="53" spans="1:6">
      <c r="A53" s="109" t="s">
        <v>72</v>
      </c>
      <c r="B53" s="2" t="s">
        <v>16</v>
      </c>
      <c r="D53" s="108"/>
      <c r="F53" s="108">
        <v>1.7399999999999999E-2</v>
      </c>
    </row>
    <row r="54" spans="1:6">
      <c r="A54" s="109" t="s">
        <v>52</v>
      </c>
      <c r="B54" s="2" t="s">
        <v>16</v>
      </c>
      <c r="D54" s="4">
        <v>-2.9999999999999997E-4</v>
      </c>
      <c r="E54" s="3"/>
      <c r="F54" s="4">
        <v>-2.0000000000000001E-4</v>
      </c>
    </row>
    <row r="55" spans="1:6">
      <c r="A55" t="s">
        <v>5</v>
      </c>
      <c r="B55" s="2" t="s">
        <v>16</v>
      </c>
      <c r="D55" s="4">
        <v>7.1000000000000004E-3</v>
      </c>
      <c r="E55" s="5"/>
      <c r="F55" s="4">
        <v>6.7999999999999996E-3</v>
      </c>
    </row>
    <row r="56" spans="1:6">
      <c r="A56" t="s">
        <v>6</v>
      </c>
      <c r="B56" s="2" t="s">
        <v>16</v>
      </c>
      <c r="D56" s="4">
        <v>5.1000000000000004E-3</v>
      </c>
      <c r="E56" s="7"/>
      <c r="F56" s="4">
        <v>5.0000000000000001E-3</v>
      </c>
    </row>
    <row r="57" spans="1:6">
      <c r="A57" t="s">
        <v>7</v>
      </c>
      <c r="B57" s="2" t="s">
        <v>16</v>
      </c>
      <c r="D57" s="4">
        <v>5.1999999999999998E-3</v>
      </c>
      <c r="E57" s="3"/>
      <c r="F57" s="4">
        <v>5.1999999999999998E-3</v>
      </c>
    </row>
    <row r="58" spans="1:6">
      <c r="A58" t="s">
        <v>8</v>
      </c>
      <c r="B58" s="2" t="s">
        <v>16</v>
      </c>
      <c r="D58" s="4">
        <v>1.1000000000000001E-3</v>
      </c>
      <c r="E58" s="4"/>
      <c r="F58" s="4">
        <v>1.1000000000000001E-3</v>
      </c>
    </row>
    <row r="59" spans="1:6">
      <c r="A59" t="s">
        <v>45</v>
      </c>
      <c r="B59" s="2" t="s">
        <v>16</v>
      </c>
      <c r="D59" s="103"/>
      <c r="E59" s="4"/>
      <c r="F59" s="103"/>
    </row>
    <row r="60" spans="1:6">
      <c r="A60" t="s">
        <v>9</v>
      </c>
      <c r="B60" s="2" t="s">
        <v>15</v>
      </c>
      <c r="D60" s="3">
        <v>0.25</v>
      </c>
      <c r="E60" s="3"/>
      <c r="F60" s="3">
        <v>0.25</v>
      </c>
    </row>
    <row r="62" spans="1:6">
      <c r="A62" s="1" t="s">
        <v>14</v>
      </c>
    </row>
    <row r="63" spans="1:6">
      <c r="A63" t="s">
        <v>3</v>
      </c>
      <c r="B63" s="2" t="s">
        <v>15</v>
      </c>
      <c r="D63" s="3">
        <v>0.96</v>
      </c>
      <c r="E63" s="101"/>
      <c r="F63" s="3">
        <v>0.97</v>
      </c>
    </row>
    <row r="64" spans="1:6">
      <c r="A64" t="s">
        <v>2</v>
      </c>
      <c r="B64" s="2" t="s">
        <v>15</v>
      </c>
      <c r="D64" s="6">
        <v>0</v>
      </c>
      <c r="E64" s="3"/>
      <c r="F64" s="6">
        <v>0</v>
      </c>
    </row>
    <row r="65" spans="1:6">
      <c r="A65" t="s">
        <v>4</v>
      </c>
      <c r="B65" s="2" t="s">
        <v>16</v>
      </c>
      <c r="D65" s="4">
        <v>0.15429999999999999</v>
      </c>
      <c r="E65" s="101"/>
      <c r="F65" s="4">
        <v>0.15570000000000001</v>
      </c>
    </row>
    <row r="66" spans="1:6">
      <c r="A66" t="s">
        <v>64</v>
      </c>
      <c r="B66" s="2" t="s">
        <v>16</v>
      </c>
      <c r="D66" s="4">
        <v>1E-4</v>
      </c>
      <c r="E66" s="101"/>
      <c r="F66" s="4">
        <v>0</v>
      </c>
    </row>
    <row r="67" spans="1:6">
      <c r="A67" s="109" t="s">
        <v>50</v>
      </c>
      <c r="B67" s="2" t="s">
        <v>16</v>
      </c>
      <c r="D67" s="108">
        <v>4.7999999999999996E-3</v>
      </c>
      <c r="F67" s="108">
        <v>4.7999999999999996E-3</v>
      </c>
    </row>
    <row r="68" spans="1:6">
      <c r="A68" s="109" t="s">
        <v>50</v>
      </c>
      <c r="B68" s="2" t="s">
        <v>16</v>
      </c>
      <c r="D68" s="108">
        <v>-6.1000000000000004E-3</v>
      </c>
      <c r="F68" s="108">
        <v>-6.1000000000000004E-3</v>
      </c>
    </row>
    <row r="69" spans="1:6">
      <c r="A69" s="109" t="s">
        <v>67</v>
      </c>
      <c r="B69" s="2" t="s">
        <v>16</v>
      </c>
      <c r="D69" s="108"/>
      <c r="F69" s="108">
        <v>-6.9999999999999999E-4</v>
      </c>
    </row>
    <row r="70" spans="1:6">
      <c r="A70" s="109" t="s">
        <v>68</v>
      </c>
      <c r="B70" s="2" t="s">
        <v>16</v>
      </c>
      <c r="D70" s="108"/>
      <c r="F70" s="108">
        <v>1.1000000000000001E-3</v>
      </c>
    </row>
    <row r="71" spans="1:6">
      <c r="A71" s="109" t="s">
        <v>69</v>
      </c>
      <c r="B71" s="2" t="s">
        <v>16</v>
      </c>
      <c r="D71" s="108"/>
      <c r="F71" s="108"/>
    </row>
    <row r="72" spans="1:6">
      <c r="A72" s="109" t="s">
        <v>52</v>
      </c>
      <c r="B72" s="2" t="s">
        <v>16</v>
      </c>
      <c r="D72" s="4">
        <v>-2.0000000000000001E-4</v>
      </c>
      <c r="E72" s="3"/>
      <c r="F72" s="4">
        <v>-2.0000000000000001E-4</v>
      </c>
    </row>
    <row r="73" spans="1:6">
      <c r="A73" t="s">
        <v>5</v>
      </c>
      <c r="B73" s="2" t="s">
        <v>17</v>
      </c>
      <c r="D73" s="4">
        <v>1.9906999999999999</v>
      </c>
      <c r="E73" s="5"/>
      <c r="F73" s="4">
        <v>1.9012</v>
      </c>
    </row>
    <row r="74" spans="1:6">
      <c r="A74" t="s">
        <v>6</v>
      </c>
      <c r="B74" s="2" t="s">
        <v>17</v>
      </c>
      <c r="D74" s="4">
        <v>1.3992</v>
      </c>
      <c r="E74" s="7"/>
      <c r="F74" s="4">
        <v>1.3680000000000001</v>
      </c>
    </row>
    <row r="75" spans="1:6">
      <c r="A75" t="s">
        <v>7</v>
      </c>
      <c r="B75" s="2" t="s">
        <v>16</v>
      </c>
      <c r="D75" s="4">
        <v>5.1999999999999998E-3</v>
      </c>
      <c r="E75" s="3"/>
      <c r="F75" s="4">
        <v>5.1999999999999998E-3</v>
      </c>
    </row>
    <row r="76" spans="1:6">
      <c r="A76" t="s">
        <v>8</v>
      </c>
      <c r="B76" s="2" t="s">
        <v>16</v>
      </c>
      <c r="D76" s="4">
        <v>1.1000000000000001E-3</v>
      </c>
      <c r="E76" s="4"/>
      <c r="F76" s="4">
        <v>1.1000000000000001E-3</v>
      </c>
    </row>
    <row r="77" spans="1:6">
      <c r="A77" t="s">
        <v>45</v>
      </c>
      <c r="B77" s="2" t="s">
        <v>16</v>
      </c>
      <c r="D77" s="103"/>
      <c r="E77" s="4"/>
      <c r="F77" s="103"/>
    </row>
    <row r="78" spans="1:6">
      <c r="A78" t="s">
        <v>9</v>
      </c>
      <c r="B78" s="2" t="s">
        <v>15</v>
      </c>
      <c r="D78" s="3">
        <v>0.25</v>
      </c>
      <c r="E78" s="3"/>
      <c r="F78" s="3">
        <v>0.25</v>
      </c>
    </row>
    <row r="80" spans="1:6">
      <c r="A80" s="1" t="s">
        <v>18</v>
      </c>
    </row>
    <row r="81" spans="1:6">
      <c r="A81" t="s">
        <v>19</v>
      </c>
      <c r="B81" s="2" t="s">
        <v>16</v>
      </c>
      <c r="D81" s="4">
        <v>2E-3</v>
      </c>
      <c r="F81" s="4">
        <v>2E-3</v>
      </c>
    </row>
    <row r="82" spans="1:6">
      <c r="A82" t="s">
        <v>20</v>
      </c>
      <c r="B82" s="2" t="s">
        <v>16</v>
      </c>
      <c r="D82" s="4">
        <v>7.4999999999999997E-2</v>
      </c>
      <c r="F82" s="4">
        <v>7.4999999999999997E-2</v>
      </c>
    </row>
    <row r="83" spans="1:6">
      <c r="A83" t="s">
        <v>21</v>
      </c>
      <c r="B83" s="2" t="s">
        <v>16</v>
      </c>
      <c r="D83" s="4">
        <v>8.7999999999999995E-2</v>
      </c>
      <c r="F83" s="4">
        <v>8.7999999999999995E-2</v>
      </c>
    </row>
    <row r="86" spans="1:6">
      <c r="A86" s="1" t="s">
        <v>23</v>
      </c>
      <c r="E86" s="3"/>
    </row>
    <row r="87" spans="1:6">
      <c r="A87" t="s">
        <v>24</v>
      </c>
      <c r="D87" s="4">
        <v>1.0864</v>
      </c>
      <c r="F87" s="4">
        <v>1.0864</v>
      </c>
    </row>
    <row r="88" spans="1:6">
      <c r="A88" t="s">
        <v>46</v>
      </c>
      <c r="D88" s="105">
        <v>0.13</v>
      </c>
      <c r="F88" s="105">
        <v>0.13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scale="58" orientation="portrait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0"/>
  <sheetViews>
    <sheetView view="pageLayout" zoomScaleNormal="100" workbookViewId="0">
      <selection activeCell="D11" sqref="D11"/>
    </sheetView>
  </sheetViews>
  <sheetFormatPr defaultRowHeight="12"/>
  <cols>
    <col min="1" max="1" width="81.8554687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/>
    </row>
    <row r="12" spans="1:4">
      <c r="A12" s="27"/>
      <c r="B12" s="28"/>
      <c r="C12" s="31"/>
      <c r="D12" s="32"/>
    </row>
    <row r="13" spans="1:4">
      <c r="A13" s="27"/>
      <c r="B13" s="28"/>
      <c r="C13" s="31"/>
      <c r="D13" s="32"/>
    </row>
    <row r="14" spans="1:4">
      <c r="A14" s="27"/>
      <c r="B14" s="28"/>
      <c r="C14" s="31"/>
      <c r="D14" s="32"/>
    </row>
    <row r="15" spans="1:4">
      <c r="A15" s="27" t="str">
        <f>Rates!A13</f>
        <v>Rate Rider for Tax Changes - effective until December 31, 2012</v>
      </c>
      <c r="B15" s="28" t="str">
        <f>Rates!B13</f>
        <v>$/kWh</v>
      </c>
      <c r="C15" s="31">
        <f>Rates!D13</f>
        <v>-2.0000000000000001E-4</v>
      </c>
      <c r="D15" s="32">
        <f>Rates!F13</f>
        <v>-1E-4</v>
      </c>
    </row>
    <row r="16" spans="1:4">
      <c r="A16" s="27" t="str">
        <f>Rates!A14</f>
        <v>Retail Transmission Rate - Network Service Rate</v>
      </c>
      <c r="B16" s="28" t="str">
        <f>Rates!B14</f>
        <v>$/kWh</v>
      </c>
      <c r="C16" s="31">
        <f>Rates!D14</f>
        <v>7.1000000000000004E-3</v>
      </c>
      <c r="D16" s="32">
        <f>Rates!F14</f>
        <v>6.7999999999999996E-3</v>
      </c>
    </row>
    <row r="17" spans="1:10">
      <c r="A17" s="27" t="str">
        <f>Rates!A15</f>
        <v>Retail Transmission Rate - Line and Transformation Connection Service Rate</v>
      </c>
      <c r="B17" s="28" t="str">
        <f>Rates!B15</f>
        <v>$/kWh</v>
      </c>
      <c r="C17" s="31">
        <f>Rates!D15</f>
        <v>5.1000000000000004E-3</v>
      </c>
      <c r="D17" s="32">
        <f>Rates!F15</f>
        <v>5.0000000000000001E-3</v>
      </c>
    </row>
    <row r="18" spans="1:10">
      <c r="A18" s="19" t="str">
        <f>Rates!A16</f>
        <v>Wholesale Market Service Rate</v>
      </c>
      <c r="B18" s="20" t="str">
        <f>Rates!B16</f>
        <v>$/kWh</v>
      </c>
      <c r="C18" s="21">
        <f>Rates!D16</f>
        <v>5.1999999999999998E-3</v>
      </c>
      <c r="D18" s="22">
        <f>Rates!F16</f>
        <v>5.1999999999999998E-3</v>
      </c>
    </row>
    <row r="19" spans="1:10">
      <c r="A19" s="27" t="str">
        <f>Rates!A17</f>
        <v>Rural Rate Protection Charge</v>
      </c>
      <c r="B19" s="28" t="str">
        <f>Rates!B17</f>
        <v>$/kWh</v>
      </c>
      <c r="C19" s="31">
        <f>Rates!D17</f>
        <v>1.1000000000000001E-3</v>
      </c>
      <c r="D19" s="32">
        <f>Rates!F17</f>
        <v>1.1000000000000001E-3</v>
      </c>
    </row>
    <row r="20" spans="1:10">
      <c r="A20" s="106" t="str">
        <f>Rates!A18</f>
        <v>Special Purpose Charge</v>
      </c>
      <c r="B20" s="28" t="str">
        <f>Rates!B18</f>
        <v>$/kWh</v>
      </c>
      <c r="C20" s="31">
        <f>Rates!D18</f>
        <v>0</v>
      </c>
      <c r="D20" s="32">
        <f>Rates!F18</f>
        <v>0</v>
      </c>
    </row>
    <row r="21" spans="1:10" ht="12.75" thickBot="1">
      <c r="A21" s="12" t="str">
        <f>Rates!A19</f>
        <v>Standard Supply Service - Administarive Charge (if applicable)</v>
      </c>
      <c r="B21" s="17" t="str">
        <f>Rates!B19</f>
        <v>$</v>
      </c>
      <c r="C21" s="18">
        <f>Rates!D19</f>
        <v>0.25</v>
      </c>
      <c r="D21" s="13">
        <f>Rates!F19</f>
        <v>0.25</v>
      </c>
    </row>
    <row r="23" spans="1:10" ht="12.75" thickBot="1"/>
    <row r="24" spans="1:10" ht="13.5" thickBot="1">
      <c r="A24" s="33" t="s">
        <v>26</v>
      </c>
      <c r="B24" s="34">
        <v>800</v>
      </c>
      <c r="C24" s="35" t="s">
        <v>27</v>
      </c>
      <c r="D24" s="36"/>
      <c r="E24" s="35" t="s">
        <v>28</v>
      </c>
      <c r="G24" s="102" t="s">
        <v>23</v>
      </c>
      <c r="H24" s="53">
        <f>Rates!F87</f>
        <v>1.0864</v>
      </c>
    </row>
    <row r="25" spans="1:10" ht="13.5" thickBot="1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/>
    <row r="27" spans="1:10" ht="12.75" customHeight="1">
      <c r="A27" s="149" t="str">
        <f>A3</f>
        <v>Residential - R1</v>
      </c>
      <c r="B27" s="151" t="s">
        <v>31</v>
      </c>
      <c r="C27" s="49" t="s">
        <v>37</v>
      </c>
      <c r="D27" s="49" t="s">
        <v>38</v>
      </c>
      <c r="E27" s="151" t="s">
        <v>31</v>
      </c>
      <c r="F27" s="49" t="s">
        <v>37</v>
      </c>
      <c r="G27" s="49" t="s">
        <v>38</v>
      </c>
      <c r="H27" s="153" t="s">
        <v>44</v>
      </c>
      <c r="I27" s="153"/>
      <c r="J27" s="154"/>
    </row>
    <row r="28" spans="1:10" ht="12.75" thickBot="1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>
      <c r="A29" s="54" t="s">
        <v>35</v>
      </c>
      <c r="B29" s="55">
        <f>IF(B24*Rates!D87&gt;B25,B25,B24*Rates!D87)</f>
        <v>750</v>
      </c>
      <c r="C29" s="56">
        <f>Rates!D82</f>
        <v>7.4999999999999997E-2</v>
      </c>
      <c r="D29" s="57">
        <f>B29*C29</f>
        <v>56.25</v>
      </c>
      <c r="E29" s="55">
        <f>IF(B24*H24&gt;B25,B25,B24*H24)</f>
        <v>750</v>
      </c>
      <c r="F29" s="56">
        <f>Rates!F82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39" si="0">IF(ISERROR(G29/G$57),0,G29/G$57)</f>
        <v>0.38593083703788789</v>
      </c>
    </row>
    <row r="30" spans="1:10" ht="12.75" thickBot="1">
      <c r="A30" s="63" t="s">
        <v>36</v>
      </c>
      <c r="B30" s="64">
        <f>IF(B24*Rates!D87&gt;=B25,B24*Rates!D87-B25,0)</f>
        <v>119.12</v>
      </c>
      <c r="C30" s="65">
        <f>Rates!D83</f>
        <v>8.7999999999999995E-2</v>
      </c>
      <c r="D30" s="66">
        <f>B30*C30</f>
        <v>10.482559999999999</v>
      </c>
      <c r="E30" s="64">
        <f>IF(B24*H24&gt;=B25,B24*H24-B25,0)</f>
        <v>119.12</v>
      </c>
      <c r="F30" s="65">
        <f>Rates!F83</f>
        <v>8.7999999999999995E-2</v>
      </c>
      <c r="G30" s="66">
        <f>E30*F30</f>
        <v>10.482559999999999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7.1920767201775676E-2</v>
      </c>
    </row>
    <row r="31" spans="1:10" ht="12.75" thickBot="1">
      <c r="A31" s="73" t="s">
        <v>39</v>
      </c>
      <c r="B31" s="74"/>
      <c r="C31" s="75"/>
      <c r="D31" s="76">
        <f>SUM(D29:D30)</f>
        <v>66.732560000000007</v>
      </c>
      <c r="E31" s="75"/>
      <c r="F31" s="75"/>
      <c r="G31" s="76">
        <f>SUM(G29:G30)</f>
        <v>66.732560000000007</v>
      </c>
      <c r="H31" s="76">
        <f t="shared" si="1"/>
        <v>0</v>
      </c>
      <c r="I31" s="77">
        <f t="shared" si="2"/>
        <v>0</v>
      </c>
      <c r="J31" s="78">
        <f t="shared" si="0"/>
        <v>0.45785160423966365</v>
      </c>
    </row>
    <row r="32" spans="1:10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0.15169654767835913</v>
      </c>
    </row>
    <row r="33" spans="1:10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>
      <c r="A34" s="61" t="str">
        <f t="shared" si="3"/>
        <v>Distribution Volumetric Rate</v>
      </c>
      <c r="B34" s="43">
        <f>B24</f>
        <v>800</v>
      </c>
      <c r="C34" s="40">
        <f t="shared" si="4"/>
        <v>3.0200000000000001E-2</v>
      </c>
      <c r="D34" s="41">
        <f t="shared" si="6"/>
        <v>24.16</v>
      </c>
      <c r="E34" s="43">
        <f>B24</f>
        <v>800</v>
      </c>
      <c r="F34" s="40">
        <f t="shared" si="5"/>
        <v>3.1E-2</v>
      </c>
      <c r="G34" s="41">
        <f t="shared" si="7"/>
        <v>24.8</v>
      </c>
      <c r="H34" s="41">
        <f t="shared" si="1"/>
        <v>0.64000000000000057</v>
      </c>
      <c r="I34" s="42">
        <f t="shared" si="2"/>
        <v>2.6490066225165587E-2</v>
      </c>
      <c r="J34" s="62">
        <f t="shared" si="0"/>
        <v>0.17015261792959324</v>
      </c>
    </row>
    <row r="35" spans="1:10">
      <c r="A35" s="61" t="str">
        <f t="shared" si="3"/>
        <v>Rate Rider for Foregone Revenue Recovery - effective until December 31, 2012</v>
      </c>
      <c r="B35" s="43">
        <f>B24</f>
        <v>800</v>
      </c>
      <c r="C35" s="40">
        <f t="shared" si="4"/>
        <v>2.9999999999999997E-4</v>
      </c>
      <c r="D35" s="41">
        <f t="shared" si="6"/>
        <v>0.24</v>
      </c>
      <c r="E35" s="43">
        <f>B24</f>
        <v>800</v>
      </c>
      <c r="F35" s="40">
        <f t="shared" si="5"/>
        <v>0</v>
      </c>
      <c r="G35" s="41">
        <f>E35*F35</f>
        <v>0</v>
      </c>
      <c r="H35" s="41">
        <f>G35-D35</f>
        <v>-0.24</v>
      </c>
      <c r="I35" s="42">
        <f>IF(ISERROR(H35/D35),0,H35/D35)</f>
        <v>-1</v>
      </c>
      <c r="J35" s="62">
        <f t="shared" si="0"/>
        <v>0</v>
      </c>
    </row>
    <row r="36" spans="1:10">
      <c r="A36" s="61" t="str">
        <f t="shared" si="3"/>
        <v>Rate Rider for Deferral/Variance Account Disposition - effective until May 31, 2013</v>
      </c>
      <c r="B36" s="43">
        <f>B24</f>
        <v>800</v>
      </c>
      <c r="C36" s="40">
        <f t="shared" si="4"/>
        <v>4.5999999999999999E-3</v>
      </c>
      <c r="D36" s="41">
        <f t="shared" si="6"/>
        <v>3.6799999999999997</v>
      </c>
      <c r="E36" s="43">
        <f>B24</f>
        <v>800</v>
      </c>
      <c r="F36" s="40">
        <f t="shared" si="5"/>
        <v>4.5999999999999999E-3</v>
      </c>
      <c r="G36" s="41">
        <f t="shared" si="7"/>
        <v>3.6799999999999997</v>
      </c>
      <c r="H36" s="41">
        <f t="shared" si="1"/>
        <v>0</v>
      </c>
      <c r="I36" s="42">
        <f t="shared" si="2"/>
        <v>0</v>
      </c>
      <c r="J36" s="62">
        <f t="shared" si="0"/>
        <v>2.5248452983100932E-2</v>
      </c>
    </row>
    <row r="37" spans="1:10">
      <c r="A37" s="61" t="str">
        <f t="shared" si="3"/>
        <v>Rate Rider for Deferral/Variance Account Disposition - effective until May 31, 2013</v>
      </c>
      <c r="B37" s="43">
        <f>B24</f>
        <v>800</v>
      </c>
      <c r="C37" s="40">
        <f t="shared" si="4"/>
        <v>-6.1000000000000004E-3</v>
      </c>
      <c r="D37" s="41">
        <f t="shared" si="6"/>
        <v>-4.88</v>
      </c>
      <c r="E37" s="43">
        <f>B24</f>
        <v>800</v>
      </c>
      <c r="F37" s="40">
        <f t="shared" si="5"/>
        <v>-6.1000000000000004E-3</v>
      </c>
      <c r="G37" s="41">
        <f t="shared" si="7"/>
        <v>-4.88</v>
      </c>
      <c r="H37" s="41">
        <f t="shared" si="1"/>
        <v>0</v>
      </c>
      <c r="I37" s="42">
        <f t="shared" si="2"/>
        <v>0</v>
      </c>
      <c r="J37" s="62">
        <f t="shared" si="0"/>
        <v>-3.3481644173242543E-2</v>
      </c>
    </row>
    <row r="38" spans="1:10">
      <c r="A38" s="61" t="str">
        <f>A10</f>
        <v>Rate Rider for Deferral/Variance Account Disposition (2012) - effective until December 31, 2013</v>
      </c>
      <c r="B38" s="43">
        <f>B24</f>
        <v>800</v>
      </c>
      <c r="C38" s="40">
        <f>C10</f>
        <v>0</v>
      </c>
      <c r="D38" s="41">
        <f t="shared" si="6"/>
        <v>0</v>
      </c>
      <c r="E38" s="43">
        <f>B24</f>
        <v>800</v>
      </c>
      <c r="F38" s="40">
        <f>D10</f>
        <v>-1.1999999999999999E-3</v>
      </c>
      <c r="G38" s="41">
        <f t="shared" si="7"/>
        <v>-0.96</v>
      </c>
      <c r="H38" s="41">
        <f t="shared" si="1"/>
        <v>-0.96</v>
      </c>
      <c r="I38" s="42">
        <f t="shared" si="2"/>
        <v>0</v>
      </c>
      <c r="J38" s="62">
        <f t="shared" si="0"/>
        <v>-6.5865529521132865E-3</v>
      </c>
    </row>
    <row r="39" spans="1:10">
      <c r="A39" s="61" t="str">
        <f>A11</f>
        <v>Rate Rider for Global Adjustment Sub-Account Disposition (2012) - effective until December 31, 2013</v>
      </c>
      <c r="B39" s="43">
        <f>B24</f>
        <v>800</v>
      </c>
      <c r="C39" s="40">
        <f>C11</f>
        <v>0</v>
      </c>
      <c r="D39" s="41">
        <f t="shared" si="6"/>
        <v>0</v>
      </c>
      <c r="E39" s="43">
        <f>B24</f>
        <v>800</v>
      </c>
      <c r="F39" s="40">
        <f>D11</f>
        <v>0</v>
      </c>
      <c r="G39" s="41">
        <f t="shared" si="7"/>
        <v>0</v>
      </c>
      <c r="H39" s="41">
        <f t="shared" si="1"/>
        <v>0</v>
      </c>
      <c r="I39" s="42">
        <f t="shared" si="2"/>
        <v>0</v>
      </c>
      <c r="J39" s="62">
        <f t="shared" si="0"/>
        <v>0</v>
      </c>
    </row>
    <row r="40" spans="1:10">
      <c r="A40" s="61"/>
      <c r="B40" s="43">
        <f>B24</f>
        <v>800</v>
      </c>
      <c r="C40" s="40">
        <f t="shared" ref="C40:C42" si="8">C12</f>
        <v>0</v>
      </c>
      <c r="D40" s="41">
        <f t="shared" si="6"/>
        <v>0</v>
      </c>
      <c r="E40" s="43">
        <f>B24</f>
        <v>800</v>
      </c>
      <c r="F40" s="40">
        <f t="shared" ref="F40:F42" si="9">D12</f>
        <v>0</v>
      </c>
      <c r="G40" s="41">
        <f t="shared" ref="G40:G42" si="10">E40*F40</f>
        <v>0</v>
      </c>
      <c r="H40" s="41">
        <f t="shared" ref="H40:H42" si="11">G40-D40</f>
        <v>0</v>
      </c>
      <c r="I40" s="42">
        <f t="shared" ref="I40:I42" si="12">IF(ISERROR(H40/D40),0,H40/D40)</f>
        <v>0</v>
      </c>
      <c r="J40" s="62">
        <f t="shared" ref="J40:J42" si="13">IF(ISERROR(G40/G$57),0,G40/G$57)</f>
        <v>0</v>
      </c>
    </row>
    <row r="41" spans="1:10">
      <c r="A41" s="61"/>
      <c r="B41" s="43">
        <f>B24</f>
        <v>800</v>
      </c>
      <c r="C41" s="40">
        <f t="shared" si="8"/>
        <v>0</v>
      </c>
      <c r="D41" s="41">
        <f t="shared" si="6"/>
        <v>0</v>
      </c>
      <c r="E41" s="43">
        <f>B24</f>
        <v>800</v>
      </c>
      <c r="F41" s="40">
        <f t="shared" si="9"/>
        <v>0</v>
      </c>
      <c r="G41" s="41">
        <f t="shared" si="10"/>
        <v>0</v>
      </c>
      <c r="H41" s="41">
        <f t="shared" si="11"/>
        <v>0</v>
      </c>
      <c r="I41" s="42">
        <f t="shared" si="12"/>
        <v>0</v>
      </c>
      <c r="J41" s="62">
        <f t="shared" si="13"/>
        <v>0</v>
      </c>
    </row>
    <row r="42" spans="1:10">
      <c r="A42" s="61"/>
      <c r="B42" s="43">
        <f>B24</f>
        <v>800</v>
      </c>
      <c r="C42" s="40">
        <f t="shared" si="8"/>
        <v>0</v>
      </c>
      <c r="D42" s="41">
        <f t="shared" si="6"/>
        <v>0</v>
      </c>
      <c r="E42" s="43">
        <f>B24</f>
        <v>800</v>
      </c>
      <c r="F42" s="40">
        <f t="shared" si="9"/>
        <v>0</v>
      </c>
      <c r="G42" s="41">
        <f t="shared" si="10"/>
        <v>0</v>
      </c>
      <c r="H42" s="41">
        <f t="shared" si="11"/>
        <v>0</v>
      </c>
      <c r="I42" s="42">
        <f t="shared" si="12"/>
        <v>0</v>
      </c>
      <c r="J42" s="62">
        <f t="shared" si="13"/>
        <v>0</v>
      </c>
    </row>
    <row r="43" spans="1:10" ht="12.75" thickBot="1">
      <c r="A43" s="61" t="str">
        <f t="shared" ref="A43" si="14">A15</f>
        <v>Rate Rider for Tax Changes - effective until December 31, 2012</v>
      </c>
      <c r="B43" s="43">
        <f>B24</f>
        <v>800</v>
      </c>
      <c r="C43" s="40">
        <f t="shared" ref="C43" si="15">C15</f>
        <v>-2.0000000000000001E-4</v>
      </c>
      <c r="D43" s="41">
        <f t="shared" si="6"/>
        <v>-0.16</v>
      </c>
      <c r="E43" s="43">
        <f>B24</f>
        <v>800</v>
      </c>
      <c r="F43" s="40">
        <f t="shared" ref="F43" si="16">D15</f>
        <v>-1E-4</v>
      </c>
      <c r="G43" s="41">
        <f t="shared" si="7"/>
        <v>-0.08</v>
      </c>
      <c r="H43" s="41">
        <f t="shared" si="1"/>
        <v>0.08</v>
      </c>
      <c r="I43" s="42">
        <f t="shared" si="2"/>
        <v>-0.5</v>
      </c>
      <c r="J43" s="62">
        <f t="shared" ref="J43:J57" si="17">IF(ISERROR(G43/G$57),0,G43/G$57)</f>
        <v>-5.4887941267610721E-4</v>
      </c>
    </row>
    <row r="44" spans="1:10" ht="12.75" thickBot="1">
      <c r="A44" s="73" t="s">
        <v>40</v>
      </c>
      <c r="B44" s="74"/>
      <c r="C44" s="75"/>
      <c r="D44" s="80">
        <f>SUM(D32:D43)</f>
        <v>45.550000000000004</v>
      </c>
      <c r="E44" s="75"/>
      <c r="F44" s="75"/>
      <c r="G44" s="76">
        <f>SUM(G32:G43)</f>
        <v>44.669999999999995</v>
      </c>
      <c r="H44" s="76">
        <f t="shared" si="1"/>
        <v>-0.88000000000000966</v>
      </c>
      <c r="I44" s="77">
        <f t="shared" si="2"/>
        <v>-1.9319429198682975E-2</v>
      </c>
      <c r="J44" s="78">
        <f t="shared" si="17"/>
        <v>0.30648054205302133</v>
      </c>
    </row>
    <row r="45" spans="1:10">
      <c r="A45" s="69" t="str">
        <f>A16</f>
        <v>Retail Transmission Rate - Network Service Rate</v>
      </c>
      <c r="B45" s="44">
        <f>B24*Rates!D87</f>
        <v>869.12</v>
      </c>
      <c r="C45" s="45">
        <f>C16</f>
        <v>7.1000000000000004E-3</v>
      </c>
      <c r="D45" s="47">
        <f>B45*C45</f>
        <v>6.1707520000000002</v>
      </c>
      <c r="E45" s="44">
        <f>B24*H24</f>
        <v>869.12</v>
      </c>
      <c r="F45" s="45">
        <f>D16</f>
        <v>6.7999999999999996E-3</v>
      </c>
      <c r="G45" s="47">
        <f>E45*F45</f>
        <v>5.9100159999999997</v>
      </c>
      <c r="H45" s="47">
        <f t="shared" si="1"/>
        <v>-0.26073600000000052</v>
      </c>
      <c r="I45" s="48">
        <f t="shared" si="2"/>
        <v>-4.2253521126760646E-2</v>
      </c>
      <c r="J45" s="72">
        <f t="shared" si="17"/>
        <v>4.0548576387329956E-2</v>
      </c>
    </row>
    <row r="46" spans="1:10" ht="12.75" thickBot="1">
      <c r="A46" s="63" t="str">
        <f>A17</f>
        <v>Retail Transmission Rate - Line and Transformation Connection Service Rate</v>
      </c>
      <c r="B46" s="64">
        <f>B24*Rates!D87</f>
        <v>869.12</v>
      </c>
      <c r="C46" s="65">
        <f>C17</f>
        <v>5.1000000000000004E-3</v>
      </c>
      <c r="D46" s="66">
        <f>B46*C46</f>
        <v>4.432512</v>
      </c>
      <c r="E46" s="64">
        <f>B24*H24</f>
        <v>869.12</v>
      </c>
      <c r="F46" s="65">
        <f>D17</f>
        <v>5.0000000000000001E-3</v>
      </c>
      <c r="G46" s="66">
        <f>E46*F46</f>
        <v>4.3456000000000001</v>
      </c>
      <c r="H46" s="66">
        <f t="shared" si="1"/>
        <v>-8.6911999999999878E-2</v>
      </c>
      <c r="I46" s="67">
        <f t="shared" si="2"/>
        <v>-1.9607843137254874E-2</v>
      </c>
      <c r="J46" s="68">
        <f t="shared" si="17"/>
        <v>2.9815129696566148E-2</v>
      </c>
    </row>
    <row r="47" spans="1:10" ht="12.75" thickBot="1">
      <c r="A47" s="73" t="s">
        <v>32</v>
      </c>
      <c r="B47" s="74"/>
      <c r="C47" s="75"/>
      <c r="D47" s="76">
        <f>SUM(D45:D46)</f>
        <v>10.603263999999999</v>
      </c>
      <c r="E47" s="75"/>
      <c r="F47" s="75"/>
      <c r="G47" s="76">
        <f>SUM(G45:G46)</f>
        <v>10.255616</v>
      </c>
      <c r="H47" s="76">
        <f t="shared" si="1"/>
        <v>-0.34764799999999951</v>
      </c>
      <c r="I47" s="77">
        <f t="shared" si="2"/>
        <v>-3.2786885245901592E-2</v>
      </c>
      <c r="J47" s="78">
        <f t="shared" si="17"/>
        <v>7.0363706083896096E-2</v>
      </c>
    </row>
    <row r="48" spans="1:10" ht="12.75" thickBot="1">
      <c r="A48" s="81" t="s">
        <v>41</v>
      </c>
      <c r="B48" s="82"/>
      <c r="C48" s="83"/>
      <c r="D48" s="84">
        <f>D44+D47</f>
        <v>56.153264000000007</v>
      </c>
      <c r="E48" s="83"/>
      <c r="F48" s="83"/>
      <c r="G48" s="84">
        <f>G44+G47</f>
        <v>54.925615999999991</v>
      </c>
      <c r="H48" s="84">
        <f t="shared" si="1"/>
        <v>-1.2276480000000163</v>
      </c>
      <c r="I48" s="85">
        <f t="shared" si="2"/>
        <v>-2.1862451308262618E-2</v>
      </c>
      <c r="J48" s="86">
        <f t="shared" si="17"/>
        <v>0.37684424813691741</v>
      </c>
    </row>
    <row r="49" spans="1:10">
      <c r="A49" s="69" t="str">
        <f>A18</f>
        <v>Wholesale Market Service Rate</v>
      </c>
      <c r="B49" s="44">
        <f>B24*Rates!D87</f>
        <v>869.12</v>
      </c>
      <c r="C49" s="45">
        <f>C18</f>
        <v>5.1999999999999998E-3</v>
      </c>
      <c r="D49" s="47">
        <f>B49*C49</f>
        <v>4.5194239999999999</v>
      </c>
      <c r="E49" s="44">
        <f>B24*H24</f>
        <v>869.12</v>
      </c>
      <c r="F49" s="45">
        <f>D18</f>
        <v>5.1999999999999998E-3</v>
      </c>
      <c r="G49" s="47">
        <f>E49*F49</f>
        <v>4.5194239999999999</v>
      </c>
      <c r="H49" s="47">
        <f t="shared" si="1"/>
        <v>0</v>
      </c>
      <c r="I49" s="48">
        <f t="shared" si="2"/>
        <v>0</v>
      </c>
      <c r="J49" s="72">
        <f t="shared" si="17"/>
        <v>3.1007734884428789E-2</v>
      </c>
    </row>
    <row r="50" spans="1:10">
      <c r="A50" s="61" t="str">
        <f>A19</f>
        <v>Rural Rate Protection Charge</v>
      </c>
      <c r="B50" s="39">
        <f>B24*Rates!D87</f>
        <v>869.12</v>
      </c>
      <c r="C50" s="40">
        <f>C19</f>
        <v>1.1000000000000001E-3</v>
      </c>
      <c r="D50" s="41">
        <f>B50*C50</f>
        <v>0.9560320000000001</v>
      </c>
      <c r="E50" s="39">
        <f>B24*H24</f>
        <v>869.12</v>
      </c>
      <c r="F50" s="40">
        <f>D19</f>
        <v>1.1000000000000001E-3</v>
      </c>
      <c r="G50" s="41">
        <f>E50*F50</f>
        <v>0.9560320000000001</v>
      </c>
      <c r="H50" s="41">
        <f t="shared" si="1"/>
        <v>0</v>
      </c>
      <c r="I50" s="42">
        <f t="shared" si="2"/>
        <v>0</v>
      </c>
      <c r="J50" s="62">
        <f t="shared" si="17"/>
        <v>6.5593285332445524E-3</v>
      </c>
    </row>
    <row r="51" spans="1:10">
      <c r="A51" s="63" t="s">
        <v>45</v>
      </c>
      <c r="B51" s="64">
        <f>B24*Rates!D87</f>
        <v>869.12</v>
      </c>
      <c r="C51" s="65">
        <f>Rates!D18</f>
        <v>0</v>
      </c>
      <c r="D51" s="66">
        <f>B51*C51</f>
        <v>0</v>
      </c>
      <c r="E51" s="64">
        <f>B24*Rates!F87</f>
        <v>869.12</v>
      </c>
      <c r="F51" s="65">
        <f>Rates!F18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17"/>
        <v>0</v>
      </c>
    </row>
    <row r="52" spans="1:10" ht="12.75" thickBot="1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17"/>
        <v>1.7152481646128352E-3</v>
      </c>
    </row>
    <row r="53" spans="1:10" ht="12.75" thickBot="1">
      <c r="A53" s="73" t="s">
        <v>42</v>
      </c>
      <c r="B53" s="74"/>
      <c r="C53" s="75"/>
      <c r="D53" s="76">
        <f>SUM(D49:D52)</f>
        <v>5.7254560000000003</v>
      </c>
      <c r="E53" s="75"/>
      <c r="F53" s="75"/>
      <c r="G53" s="76">
        <f>SUM(G49:G52)</f>
        <v>5.7254560000000003</v>
      </c>
      <c r="H53" s="76">
        <f t="shared" si="1"/>
        <v>0</v>
      </c>
      <c r="I53" s="77">
        <f t="shared" si="2"/>
        <v>0</v>
      </c>
      <c r="J53" s="78">
        <f t="shared" si="17"/>
        <v>3.9282311582286178E-2</v>
      </c>
    </row>
    <row r="54" spans="1:10" ht="12.75" thickBot="1">
      <c r="A54" s="87" t="s">
        <v>19</v>
      </c>
      <c r="B54" s="88">
        <f>B24</f>
        <v>800</v>
      </c>
      <c r="C54" s="89">
        <f>Rates!D81</f>
        <v>2E-3</v>
      </c>
      <c r="D54" s="90">
        <f>B54*C54</f>
        <v>1.6</v>
      </c>
      <c r="E54" s="88">
        <f>B24</f>
        <v>800</v>
      </c>
      <c r="F54" s="89">
        <f>Rates!F81</f>
        <v>2E-3</v>
      </c>
      <c r="G54" s="90">
        <f>E54*F54</f>
        <v>1.6</v>
      </c>
      <c r="H54" s="90">
        <f t="shared" si="1"/>
        <v>0</v>
      </c>
      <c r="I54" s="91">
        <f t="shared" si="2"/>
        <v>0</v>
      </c>
      <c r="J54" s="92">
        <f t="shared" si="17"/>
        <v>1.0977588253522146E-2</v>
      </c>
    </row>
    <row r="55" spans="1:10" ht="12.75" thickBot="1">
      <c r="A55" s="73" t="s">
        <v>43</v>
      </c>
      <c r="B55" s="74"/>
      <c r="C55" s="75"/>
      <c r="D55" s="76">
        <f>D31+D48+D53+D54</f>
        <v>130.21128000000002</v>
      </c>
      <c r="E55" s="75"/>
      <c r="F55" s="75"/>
      <c r="G55" s="76">
        <f>G31+G48+G53+G54</f>
        <v>128.983632</v>
      </c>
      <c r="H55" s="76">
        <f t="shared" si="1"/>
        <v>-1.2276480000000163</v>
      </c>
      <c r="I55" s="77">
        <f t="shared" si="2"/>
        <v>-9.428123277799098E-3</v>
      </c>
      <c r="J55" s="78">
        <f t="shared" si="17"/>
        <v>0.88495575221238942</v>
      </c>
    </row>
    <row r="56" spans="1:10" ht="12.75" thickBot="1">
      <c r="A56" s="93" t="s">
        <v>46</v>
      </c>
      <c r="B56" s="94"/>
      <c r="C56" s="95">
        <f>Rates!D88</f>
        <v>0.13</v>
      </c>
      <c r="D56" s="90">
        <f>C56*D55</f>
        <v>16.927466400000004</v>
      </c>
      <c r="E56" s="96"/>
      <c r="F56" s="95">
        <f>Rates!F88</f>
        <v>0.13</v>
      </c>
      <c r="G56" s="90">
        <f>F56*G55</f>
        <v>16.76787216</v>
      </c>
      <c r="H56" s="90">
        <f t="shared" si="1"/>
        <v>-0.15959424000000411</v>
      </c>
      <c r="I56" s="91">
        <f t="shared" si="2"/>
        <v>-9.4281232777992142E-3</v>
      </c>
      <c r="J56" s="92">
        <f t="shared" si="17"/>
        <v>0.11504424778761062</v>
      </c>
    </row>
    <row r="57" spans="1:10" ht="12.75" thickBot="1">
      <c r="A57" s="81" t="s">
        <v>33</v>
      </c>
      <c r="B57" s="82"/>
      <c r="C57" s="83"/>
      <c r="D57" s="104">
        <f>D55+D56</f>
        <v>147.13874640000003</v>
      </c>
      <c r="E57" s="83"/>
      <c r="F57" s="83"/>
      <c r="G57" s="104">
        <f>G55+G56</f>
        <v>145.75150416</v>
      </c>
      <c r="H57" s="104">
        <f t="shared" si="1"/>
        <v>-1.3872422400000346</v>
      </c>
      <c r="I57" s="85">
        <f t="shared" si="2"/>
        <v>-9.4281232777992073E-3</v>
      </c>
      <c r="J57" s="86">
        <f t="shared" si="17"/>
        <v>1</v>
      </c>
    </row>
    <row r="58" spans="1:10">
      <c r="A58" s="130"/>
      <c r="B58" s="131"/>
      <c r="C58" s="132"/>
      <c r="D58" s="132"/>
      <c r="E58" s="132"/>
      <c r="F58" s="132"/>
      <c r="G58" s="132"/>
      <c r="H58" s="132"/>
      <c r="I58" s="132"/>
      <c r="J58" s="133"/>
    </row>
    <row r="59" spans="1:10">
      <c r="A59" s="134" t="s">
        <v>62</v>
      </c>
      <c r="B59" s="135"/>
      <c r="C59" s="136"/>
      <c r="D59" s="137">
        <f>D57*0.1</f>
        <v>14.713874640000004</v>
      </c>
      <c r="E59" s="136"/>
      <c r="F59" s="136"/>
      <c r="G59" s="137">
        <f>G57*0.1</f>
        <v>14.575150416</v>
      </c>
      <c r="H59" s="136"/>
      <c r="I59" s="136"/>
      <c r="J59" s="138"/>
    </row>
    <row r="60" spans="1:10" ht="12.75" thickBot="1">
      <c r="A60" s="139" t="s">
        <v>63</v>
      </c>
      <c r="B60" s="140"/>
      <c r="C60" s="141"/>
      <c r="D60" s="142">
        <f>D57-D59</f>
        <v>132.42487176000003</v>
      </c>
      <c r="E60" s="141"/>
      <c r="F60" s="141"/>
      <c r="G60" s="142">
        <f>G57-G59</f>
        <v>131.17635374399998</v>
      </c>
      <c r="H60" s="144">
        <f>G60-D60</f>
        <v>-1.2485180160000482</v>
      </c>
      <c r="I60" s="145">
        <f>H60/D60</f>
        <v>-9.4281232777993357E-3</v>
      </c>
      <c r="J60" s="143"/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2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0"/>
  <sheetViews>
    <sheetView tabSelected="1" view="pageLayout" zoomScaleNormal="100" workbookViewId="0">
      <selection activeCell="F20" sqref="F20"/>
    </sheetView>
  </sheetViews>
  <sheetFormatPr defaultRowHeight="12"/>
  <cols>
    <col min="1" max="1" width="81.8554687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>
        <f>Rates!F12</f>
        <v>1.1000000000000001E-3</v>
      </c>
    </row>
    <row r="12" spans="1:4">
      <c r="A12" s="27"/>
      <c r="B12" s="28"/>
      <c r="C12" s="31"/>
      <c r="D12" s="32"/>
    </row>
    <row r="13" spans="1:4">
      <c r="A13" s="27"/>
      <c r="B13" s="28"/>
      <c r="C13" s="31"/>
      <c r="D13" s="32"/>
    </row>
    <row r="14" spans="1:4">
      <c r="A14" s="27"/>
      <c r="B14" s="28"/>
      <c r="C14" s="31"/>
      <c r="D14" s="32"/>
    </row>
    <row r="15" spans="1:4">
      <c r="A15" s="27" t="str">
        <f>Rates!A13</f>
        <v>Rate Rider for Tax Changes - effective until December 31, 2012</v>
      </c>
      <c r="B15" s="28" t="str">
        <f>Rates!B13</f>
        <v>$/kWh</v>
      </c>
      <c r="C15" s="31">
        <f>Rates!D13</f>
        <v>-2.0000000000000001E-4</v>
      </c>
      <c r="D15" s="32">
        <f>Rates!F13</f>
        <v>-1E-4</v>
      </c>
    </row>
    <row r="16" spans="1:4">
      <c r="A16" s="27" t="str">
        <f>Rates!A14</f>
        <v>Retail Transmission Rate - Network Service Rate</v>
      </c>
      <c r="B16" s="28" t="str">
        <f>Rates!B14</f>
        <v>$/kWh</v>
      </c>
      <c r="C16" s="31">
        <f>Rates!D14</f>
        <v>7.1000000000000004E-3</v>
      </c>
      <c r="D16" s="32">
        <f>Rates!F14</f>
        <v>6.7999999999999996E-3</v>
      </c>
    </row>
    <row r="17" spans="1:10">
      <c r="A17" s="27" t="str">
        <f>Rates!A15</f>
        <v>Retail Transmission Rate - Line and Transformation Connection Service Rate</v>
      </c>
      <c r="B17" s="28" t="str">
        <f>Rates!B15</f>
        <v>$/kWh</v>
      </c>
      <c r="C17" s="31">
        <f>Rates!D15</f>
        <v>5.1000000000000004E-3</v>
      </c>
      <c r="D17" s="32">
        <f>Rates!F15</f>
        <v>5.0000000000000001E-3</v>
      </c>
    </row>
    <row r="18" spans="1:10">
      <c r="A18" s="19" t="str">
        <f>Rates!A16</f>
        <v>Wholesale Market Service Rate</v>
      </c>
      <c r="B18" s="20" t="str">
        <f>Rates!B16</f>
        <v>$/kWh</v>
      </c>
      <c r="C18" s="21">
        <f>Rates!D16</f>
        <v>5.1999999999999998E-3</v>
      </c>
      <c r="D18" s="22">
        <f>Rates!F16</f>
        <v>5.1999999999999998E-3</v>
      </c>
    </row>
    <row r="19" spans="1:10">
      <c r="A19" s="27" t="str">
        <f>Rates!A17</f>
        <v>Rural Rate Protection Charge</v>
      </c>
      <c r="B19" s="28" t="str">
        <f>Rates!B17</f>
        <v>$/kWh</v>
      </c>
      <c r="C19" s="31">
        <f>Rates!D17</f>
        <v>1.1000000000000001E-3</v>
      </c>
      <c r="D19" s="32">
        <f>Rates!F17</f>
        <v>1.1000000000000001E-3</v>
      </c>
    </row>
    <row r="20" spans="1:10">
      <c r="A20" s="106" t="str">
        <f>Rates!A18</f>
        <v>Special Purpose Charge</v>
      </c>
      <c r="B20" s="28" t="str">
        <f>Rates!B18</f>
        <v>$/kWh</v>
      </c>
      <c r="C20" s="31">
        <f>Rates!D18</f>
        <v>0</v>
      </c>
      <c r="D20" s="32">
        <f>Rates!F18</f>
        <v>0</v>
      </c>
    </row>
    <row r="21" spans="1:10" ht="12.75" thickBot="1">
      <c r="A21" s="12" t="str">
        <f>Rates!A19</f>
        <v>Standard Supply Service - Administarive Charge (if applicable)</v>
      </c>
      <c r="B21" s="17" t="str">
        <f>Rates!B19</f>
        <v>$</v>
      </c>
      <c r="C21" s="18">
        <f>Rates!D19</f>
        <v>0.25</v>
      </c>
      <c r="D21" s="13">
        <f>Rates!F19</f>
        <v>0.25</v>
      </c>
    </row>
    <row r="23" spans="1:10" ht="12.75" thickBot="1"/>
    <row r="24" spans="1:10" ht="13.5" thickBot="1">
      <c r="A24" s="33" t="s">
        <v>26</v>
      </c>
      <c r="B24" s="34">
        <v>800</v>
      </c>
      <c r="C24" s="35" t="s">
        <v>27</v>
      </c>
      <c r="D24" s="36"/>
      <c r="E24" s="35" t="s">
        <v>28</v>
      </c>
      <c r="G24" s="102" t="s">
        <v>23</v>
      </c>
      <c r="H24" s="53">
        <f>Rates!F87</f>
        <v>1.0864</v>
      </c>
    </row>
    <row r="25" spans="1:10" ht="13.5" thickBot="1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/>
    <row r="27" spans="1:10" ht="12.75" customHeight="1">
      <c r="A27" s="149" t="str">
        <f>A3</f>
        <v>Residential - R1</v>
      </c>
      <c r="B27" s="151" t="s">
        <v>31</v>
      </c>
      <c r="C27" s="146" t="s">
        <v>37</v>
      </c>
      <c r="D27" s="146" t="s">
        <v>38</v>
      </c>
      <c r="E27" s="151" t="s">
        <v>31</v>
      </c>
      <c r="F27" s="146" t="s">
        <v>37</v>
      </c>
      <c r="G27" s="146" t="s">
        <v>38</v>
      </c>
      <c r="H27" s="153" t="s">
        <v>44</v>
      </c>
      <c r="I27" s="153"/>
      <c r="J27" s="154"/>
    </row>
    <row r="28" spans="1:10" ht="12.75" thickBot="1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>
      <c r="A29" s="54" t="s">
        <v>35</v>
      </c>
      <c r="B29" s="55">
        <f>IF(B24*Rates!D87&gt;B25,B25,B24*Rates!D87)</f>
        <v>750</v>
      </c>
      <c r="C29" s="56">
        <f>Rates!D82</f>
        <v>7.4999999999999997E-2</v>
      </c>
      <c r="D29" s="57">
        <f>B29*C29</f>
        <v>56.25</v>
      </c>
      <c r="E29" s="55">
        <f>IF(B24*H24&gt;B25,B25,B24*H24)</f>
        <v>750</v>
      </c>
      <c r="F29" s="56">
        <f>Rates!F82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57" si="0">IF(ISERROR(G29/G$57),0,G29/G$57)</f>
        <v>0.38331563883833852</v>
      </c>
    </row>
    <row r="30" spans="1:10" ht="12.75" thickBot="1">
      <c r="A30" s="63" t="s">
        <v>36</v>
      </c>
      <c r="B30" s="64">
        <f>IF(B24*Rates!D87&gt;=B25,B24*Rates!D87-B25,0)</f>
        <v>119.12</v>
      </c>
      <c r="C30" s="65">
        <f>Rates!D83</f>
        <v>8.7999999999999995E-2</v>
      </c>
      <c r="D30" s="66">
        <f>B30*C30</f>
        <v>10.482559999999999</v>
      </c>
      <c r="E30" s="64">
        <f>IF(B24*H24&gt;=B25,B24*H24-B25,0)</f>
        <v>119.12</v>
      </c>
      <c r="F30" s="65">
        <f>Rates!F83</f>
        <v>8.7999999999999995E-2</v>
      </c>
      <c r="G30" s="66">
        <f>E30*F30</f>
        <v>10.482559999999999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7.1433407698866011E-2</v>
      </c>
    </row>
    <row r="31" spans="1:10" ht="12.75" thickBot="1">
      <c r="A31" s="73" t="s">
        <v>39</v>
      </c>
      <c r="B31" s="74"/>
      <c r="C31" s="75"/>
      <c r="D31" s="76">
        <f>SUM(D29:D30)</f>
        <v>66.732560000000007</v>
      </c>
      <c r="E31" s="75"/>
      <c r="F31" s="75"/>
      <c r="G31" s="76">
        <f>SUM(G29:G30)</f>
        <v>66.732560000000007</v>
      </c>
      <c r="H31" s="76">
        <f t="shared" si="1"/>
        <v>0</v>
      </c>
      <c r="I31" s="77">
        <f t="shared" si="2"/>
        <v>0</v>
      </c>
      <c r="J31" s="78">
        <f t="shared" si="0"/>
        <v>0.45474904653720455</v>
      </c>
    </row>
    <row r="32" spans="1:10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0.15066860043938959</v>
      </c>
    </row>
    <row r="33" spans="1:10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>
      <c r="A34" s="61" t="str">
        <f t="shared" si="3"/>
        <v>Distribution Volumetric Rate</v>
      </c>
      <c r="B34" s="43">
        <f>B24</f>
        <v>800</v>
      </c>
      <c r="C34" s="40">
        <f t="shared" si="4"/>
        <v>3.0200000000000001E-2</v>
      </c>
      <c r="D34" s="41">
        <f t="shared" si="6"/>
        <v>24.16</v>
      </c>
      <c r="E34" s="43">
        <f>B24</f>
        <v>800</v>
      </c>
      <c r="F34" s="40">
        <f t="shared" si="5"/>
        <v>3.1E-2</v>
      </c>
      <c r="G34" s="41">
        <f t="shared" si="7"/>
        <v>24.8</v>
      </c>
      <c r="H34" s="41">
        <f t="shared" si="1"/>
        <v>0.64000000000000057</v>
      </c>
      <c r="I34" s="42">
        <f t="shared" si="2"/>
        <v>2.6490066225165587E-2</v>
      </c>
      <c r="J34" s="62">
        <f t="shared" si="0"/>
        <v>0.16899960610116968</v>
      </c>
    </row>
    <row r="35" spans="1:10">
      <c r="A35" s="61" t="str">
        <f t="shared" si="3"/>
        <v>Rate Rider for Foregone Revenue Recovery - effective until December 31, 2012</v>
      </c>
      <c r="B35" s="43">
        <f>B24</f>
        <v>800</v>
      </c>
      <c r="C35" s="40">
        <f t="shared" si="4"/>
        <v>2.9999999999999997E-4</v>
      </c>
      <c r="D35" s="41">
        <f t="shared" si="6"/>
        <v>0.24</v>
      </c>
      <c r="E35" s="43">
        <f>B24</f>
        <v>800</v>
      </c>
      <c r="F35" s="40">
        <f t="shared" si="5"/>
        <v>0</v>
      </c>
      <c r="G35" s="41">
        <f>E35*F35</f>
        <v>0</v>
      </c>
      <c r="H35" s="41">
        <f>G35-D35</f>
        <v>-0.24</v>
      </c>
      <c r="I35" s="42">
        <f>IF(ISERROR(H35/D35),0,H35/D35)</f>
        <v>-1</v>
      </c>
      <c r="J35" s="62">
        <f t="shared" si="0"/>
        <v>0</v>
      </c>
    </row>
    <row r="36" spans="1:10">
      <c r="A36" s="61" t="str">
        <f t="shared" si="3"/>
        <v>Rate Rider for Deferral/Variance Account Disposition - effective until May 31, 2013</v>
      </c>
      <c r="B36" s="43">
        <f>B24</f>
        <v>800</v>
      </c>
      <c r="C36" s="40">
        <f t="shared" si="4"/>
        <v>4.5999999999999999E-3</v>
      </c>
      <c r="D36" s="41">
        <f t="shared" si="6"/>
        <v>3.6799999999999997</v>
      </c>
      <c r="E36" s="43">
        <f>B24</f>
        <v>800</v>
      </c>
      <c r="F36" s="40">
        <f t="shared" si="5"/>
        <v>4.5999999999999999E-3</v>
      </c>
      <c r="G36" s="41">
        <f t="shared" si="7"/>
        <v>3.6799999999999997</v>
      </c>
      <c r="H36" s="41">
        <f t="shared" si="1"/>
        <v>0</v>
      </c>
      <c r="I36" s="42">
        <f t="shared" si="2"/>
        <v>0</v>
      </c>
      <c r="J36" s="62">
        <f t="shared" si="0"/>
        <v>2.5077360905334856E-2</v>
      </c>
    </row>
    <row r="37" spans="1:10">
      <c r="A37" s="61" t="str">
        <f t="shared" si="3"/>
        <v>Rate Rider for Deferral/Variance Account Disposition - effective until May 31, 2013</v>
      </c>
      <c r="B37" s="43">
        <f>B24</f>
        <v>800</v>
      </c>
      <c r="C37" s="40">
        <f t="shared" si="4"/>
        <v>-6.1000000000000004E-3</v>
      </c>
      <c r="D37" s="41">
        <f t="shared" si="6"/>
        <v>-4.88</v>
      </c>
      <c r="E37" s="43">
        <f>B24</f>
        <v>800</v>
      </c>
      <c r="F37" s="40">
        <f t="shared" si="5"/>
        <v>-6.1000000000000004E-3</v>
      </c>
      <c r="G37" s="41">
        <f t="shared" si="7"/>
        <v>-4.88</v>
      </c>
      <c r="H37" s="41">
        <f t="shared" si="1"/>
        <v>0</v>
      </c>
      <c r="I37" s="42">
        <f t="shared" si="2"/>
        <v>0</v>
      </c>
      <c r="J37" s="62">
        <f t="shared" si="0"/>
        <v>-3.3254761200552742E-2</v>
      </c>
    </row>
    <row r="38" spans="1:10">
      <c r="A38" s="61" t="str">
        <f>A10</f>
        <v>Rate Rider for Deferral/Variance Account Disposition (2012) - effective until December 31, 2013</v>
      </c>
      <c r="B38" s="43">
        <f>B24</f>
        <v>800</v>
      </c>
      <c r="C38" s="40">
        <f>C10</f>
        <v>0</v>
      </c>
      <c r="D38" s="41">
        <f t="shared" si="6"/>
        <v>0</v>
      </c>
      <c r="E38" s="43">
        <f>B24</f>
        <v>800</v>
      </c>
      <c r="F38" s="40">
        <f>D10</f>
        <v>-1.1999999999999999E-3</v>
      </c>
      <c r="G38" s="41">
        <f t="shared" si="7"/>
        <v>-0.96</v>
      </c>
      <c r="H38" s="41">
        <f t="shared" si="1"/>
        <v>-0.96</v>
      </c>
      <c r="I38" s="42">
        <f t="shared" si="2"/>
        <v>0</v>
      </c>
      <c r="J38" s="62">
        <f t="shared" si="0"/>
        <v>-6.5419202361743107E-3</v>
      </c>
    </row>
    <row r="39" spans="1:10">
      <c r="A39" s="61" t="str">
        <f>A11</f>
        <v>Rate Rider for Global Adjustment Sub-Account Disposition (2012) - effective until December 31, 2013</v>
      </c>
      <c r="B39" s="43">
        <f>B24</f>
        <v>800</v>
      </c>
      <c r="C39" s="40">
        <f>C11</f>
        <v>0</v>
      </c>
      <c r="D39" s="41">
        <f t="shared" si="6"/>
        <v>0</v>
      </c>
      <c r="E39" s="43">
        <f>B24</f>
        <v>800</v>
      </c>
      <c r="F39" s="40">
        <f>D11</f>
        <v>1.1000000000000001E-3</v>
      </c>
      <c r="G39" s="41">
        <f t="shared" si="7"/>
        <v>0.88</v>
      </c>
      <c r="H39" s="41">
        <f t="shared" si="1"/>
        <v>0.88</v>
      </c>
      <c r="I39" s="42">
        <f t="shared" si="2"/>
        <v>0</v>
      </c>
      <c r="J39" s="62">
        <f t="shared" si="0"/>
        <v>5.996760216493118E-3</v>
      </c>
    </row>
    <row r="40" spans="1:10">
      <c r="A40" s="61"/>
      <c r="B40" s="43">
        <f>B24</f>
        <v>800</v>
      </c>
      <c r="C40" s="40">
        <f t="shared" ref="C40:C43" si="8">C12</f>
        <v>0</v>
      </c>
      <c r="D40" s="41">
        <f t="shared" si="6"/>
        <v>0</v>
      </c>
      <c r="E40" s="43">
        <f>B24</f>
        <v>800</v>
      </c>
      <c r="F40" s="40">
        <f t="shared" ref="F40:F43" si="9">D12</f>
        <v>0</v>
      </c>
      <c r="G40" s="41">
        <f t="shared" si="7"/>
        <v>0</v>
      </c>
      <c r="H40" s="41">
        <f t="shared" si="1"/>
        <v>0</v>
      </c>
      <c r="I40" s="42">
        <f t="shared" si="2"/>
        <v>0</v>
      </c>
      <c r="J40" s="62">
        <f t="shared" si="0"/>
        <v>0</v>
      </c>
    </row>
    <row r="41" spans="1:10">
      <c r="A41" s="61"/>
      <c r="B41" s="43">
        <f>B24</f>
        <v>800</v>
      </c>
      <c r="C41" s="40">
        <f t="shared" si="8"/>
        <v>0</v>
      </c>
      <c r="D41" s="41">
        <f t="shared" si="6"/>
        <v>0</v>
      </c>
      <c r="E41" s="43">
        <f>B24</f>
        <v>800</v>
      </c>
      <c r="F41" s="40">
        <f t="shared" si="9"/>
        <v>0</v>
      </c>
      <c r="G41" s="41">
        <f t="shared" si="7"/>
        <v>0</v>
      </c>
      <c r="H41" s="41">
        <f t="shared" si="1"/>
        <v>0</v>
      </c>
      <c r="I41" s="42">
        <f t="shared" si="2"/>
        <v>0</v>
      </c>
      <c r="J41" s="62">
        <f t="shared" si="0"/>
        <v>0</v>
      </c>
    </row>
    <row r="42" spans="1:10">
      <c r="A42" s="61"/>
      <c r="B42" s="43">
        <f>B24</f>
        <v>800</v>
      </c>
      <c r="C42" s="40">
        <f t="shared" si="8"/>
        <v>0</v>
      </c>
      <c r="D42" s="41">
        <f t="shared" si="6"/>
        <v>0</v>
      </c>
      <c r="E42" s="43">
        <f>B24</f>
        <v>800</v>
      </c>
      <c r="F42" s="40">
        <f t="shared" si="9"/>
        <v>0</v>
      </c>
      <c r="G42" s="41">
        <f t="shared" si="7"/>
        <v>0</v>
      </c>
      <c r="H42" s="41">
        <f t="shared" si="1"/>
        <v>0</v>
      </c>
      <c r="I42" s="42">
        <f t="shared" si="2"/>
        <v>0</v>
      </c>
      <c r="J42" s="62">
        <f t="shared" si="0"/>
        <v>0</v>
      </c>
    </row>
    <row r="43" spans="1:10" ht="12.75" thickBot="1">
      <c r="A43" s="61" t="str">
        <f t="shared" ref="A43" si="10">A15</f>
        <v>Rate Rider for Tax Changes - effective until December 31, 2012</v>
      </c>
      <c r="B43" s="43">
        <f>B24</f>
        <v>800</v>
      </c>
      <c r="C43" s="40">
        <f t="shared" si="8"/>
        <v>-2.0000000000000001E-4</v>
      </c>
      <c r="D43" s="41">
        <f t="shared" si="6"/>
        <v>-0.16</v>
      </c>
      <c r="E43" s="43">
        <f>B24</f>
        <v>800</v>
      </c>
      <c r="F43" s="40">
        <f t="shared" si="9"/>
        <v>-1E-4</v>
      </c>
      <c r="G43" s="41">
        <f t="shared" si="7"/>
        <v>-0.08</v>
      </c>
      <c r="H43" s="41">
        <f t="shared" si="1"/>
        <v>0.08</v>
      </c>
      <c r="I43" s="42">
        <f t="shared" si="2"/>
        <v>-0.5</v>
      </c>
      <c r="J43" s="62">
        <f t="shared" si="0"/>
        <v>-5.4516001968119259E-4</v>
      </c>
    </row>
    <row r="44" spans="1:10" ht="12.75" thickBot="1">
      <c r="A44" s="73" t="s">
        <v>40</v>
      </c>
      <c r="B44" s="74"/>
      <c r="C44" s="75"/>
      <c r="D44" s="80">
        <f>SUM(D32:D43)</f>
        <v>45.550000000000004</v>
      </c>
      <c r="E44" s="75"/>
      <c r="F44" s="75"/>
      <c r="G44" s="76">
        <f>SUM(G32:G43)</f>
        <v>45.55</v>
      </c>
      <c r="H44" s="76">
        <f t="shared" si="1"/>
        <v>0</v>
      </c>
      <c r="I44" s="77">
        <f t="shared" si="2"/>
        <v>0</v>
      </c>
      <c r="J44" s="78">
        <f t="shared" si="0"/>
        <v>0.31040048620597899</v>
      </c>
    </row>
    <row r="45" spans="1:10">
      <c r="A45" s="69" t="str">
        <f>A16</f>
        <v>Retail Transmission Rate - Network Service Rate</v>
      </c>
      <c r="B45" s="44">
        <f>B24*Rates!D87</f>
        <v>869.12</v>
      </c>
      <c r="C45" s="45">
        <f>C16</f>
        <v>7.1000000000000004E-3</v>
      </c>
      <c r="D45" s="47">
        <f>B45*C45</f>
        <v>6.1707520000000002</v>
      </c>
      <c r="E45" s="44">
        <f>B24*H24</f>
        <v>869.12</v>
      </c>
      <c r="F45" s="45">
        <f>D16</f>
        <v>6.7999999999999996E-3</v>
      </c>
      <c r="G45" s="47">
        <f>E45*F45</f>
        <v>5.9100159999999997</v>
      </c>
      <c r="H45" s="47">
        <f t="shared" si="1"/>
        <v>-0.26073600000000052</v>
      </c>
      <c r="I45" s="48">
        <f t="shared" si="2"/>
        <v>-4.2253521126760646E-2</v>
      </c>
      <c r="J45" s="72">
        <f t="shared" si="0"/>
        <v>4.0273805485952031E-2</v>
      </c>
    </row>
    <row r="46" spans="1:10" ht="12.75" thickBot="1">
      <c r="A46" s="63" t="str">
        <f>A17</f>
        <v>Retail Transmission Rate - Line and Transformation Connection Service Rate</v>
      </c>
      <c r="B46" s="64">
        <f>B24*Rates!D87</f>
        <v>869.12</v>
      </c>
      <c r="C46" s="65">
        <f>C17</f>
        <v>5.1000000000000004E-3</v>
      </c>
      <c r="D46" s="66">
        <f>B46*C46</f>
        <v>4.432512</v>
      </c>
      <c r="E46" s="64">
        <f>B24*H24</f>
        <v>869.12</v>
      </c>
      <c r="F46" s="65">
        <f>D17</f>
        <v>5.0000000000000001E-3</v>
      </c>
      <c r="G46" s="66">
        <f>E46*F46</f>
        <v>4.3456000000000001</v>
      </c>
      <c r="H46" s="66">
        <f t="shared" si="1"/>
        <v>-8.6911999999999878E-2</v>
      </c>
      <c r="I46" s="67">
        <f t="shared" si="2"/>
        <v>-1.9607843137254874E-2</v>
      </c>
      <c r="J46" s="68">
        <f t="shared" si="0"/>
        <v>2.9613092269082378E-2</v>
      </c>
    </row>
    <row r="47" spans="1:10" ht="12.75" thickBot="1">
      <c r="A47" s="73" t="s">
        <v>32</v>
      </c>
      <c r="B47" s="74"/>
      <c r="C47" s="75"/>
      <c r="D47" s="76">
        <f>SUM(D45:D46)</f>
        <v>10.603263999999999</v>
      </c>
      <c r="E47" s="75"/>
      <c r="F47" s="75"/>
      <c r="G47" s="76">
        <f>SUM(G45:G46)</f>
        <v>10.255616</v>
      </c>
      <c r="H47" s="76">
        <f t="shared" si="1"/>
        <v>-0.34764799999999951</v>
      </c>
      <c r="I47" s="77">
        <f t="shared" si="2"/>
        <v>-3.2786885245901592E-2</v>
      </c>
      <c r="J47" s="78">
        <f t="shared" si="0"/>
        <v>6.9886897755034413E-2</v>
      </c>
    </row>
    <row r="48" spans="1:10" ht="12.75" thickBot="1">
      <c r="A48" s="81" t="s">
        <v>41</v>
      </c>
      <c r="B48" s="82"/>
      <c r="C48" s="83"/>
      <c r="D48" s="84">
        <f>D44+D47</f>
        <v>56.153264000000007</v>
      </c>
      <c r="E48" s="83"/>
      <c r="F48" s="83"/>
      <c r="G48" s="84">
        <f>G44+G47</f>
        <v>55.805616000000001</v>
      </c>
      <c r="H48" s="84">
        <f t="shared" si="1"/>
        <v>-0.34764800000000662</v>
      </c>
      <c r="I48" s="85">
        <f t="shared" si="2"/>
        <v>-6.1910559642624971E-3</v>
      </c>
      <c r="J48" s="86">
        <f t="shared" si="0"/>
        <v>0.38028738396101341</v>
      </c>
    </row>
    <row r="49" spans="1:10">
      <c r="A49" s="69" t="str">
        <f>A18</f>
        <v>Wholesale Market Service Rate</v>
      </c>
      <c r="B49" s="44">
        <f>B24*Rates!D87</f>
        <v>869.12</v>
      </c>
      <c r="C49" s="45">
        <f>C18</f>
        <v>5.1999999999999998E-3</v>
      </c>
      <c r="D49" s="47">
        <f>B49*C49</f>
        <v>4.5194239999999999</v>
      </c>
      <c r="E49" s="44">
        <f>B24*H24</f>
        <v>869.12</v>
      </c>
      <c r="F49" s="45">
        <f>D18</f>
        <v>5.1999999999999998E-3</v>
      </c>
      <c r="G49" s="47">
        <f>E49*F49</f>
        <v>4.5194239999999999</v>
      </c>
      <c r="H49" s="47">
        <f t="shared" si="1"/>
        <v>0</v>
      </c>
      <c r="I49" s="48">
        <f t="shared" si="2"/>
        <v>0</v>
      </c>
      <c r="J49" s="72">
        <f t="shared" si="0"/>
        <v>3.0797615959845672E-2</v>
      </c>
    </row>
    <row r="50" spans="1:10">
      <c r="A50" s="61" t="str">
        <f>A19</f>
        <v>Rural Rate Protection Charge</v>
      </c>
      <c r="B50" s="39">
        <f>B24*Rates!D87</f>
        <v>869.12</v>
      </c>
      <c r="C50" s="40">
        <f>C19</f>
        <v>1.1000000000000001E-3</v>
      </c>
      <c r="D50" s="41">
        <f>B50*C50</f>
        <v>0.9560320000000001</v>
      </c>
      <c r="E50" s="39">
        <f>B24*H24</f>
        <v>869.12</v>
      </c>
      <c r="F50" s="40">
        <f>D19</f>
        <v>1.1000000000000001E-3</v>
      </c>
      <c r="G50" s="41">
        <f>E50*F50</f>
        <v>0.9560320000000001</v>
      </c>
      <c r="H50" s="41">
        <f t="shared" si="1"/>
        <v>0</v>
      </c>
      <c r="I50" s="42">
        <f t="shared" si="2"/>
        <v>0</v>
      </c>
      <c r="J50" s="62">
        <f t="shared" si="0"/>
        <v>6.5148802991981244E-3</v>
      </c>
    </row>
    <row r="51" spans="1:10">
      <c r="A51" s="63" t="s">
        <v>45</v>
      </c>
      <c r="B51" s="64">
        <f>B24*Rates!D87</f>
        <v>869.12</v>
      </c>
      <c r="C51" s="65">
        <f>Rates!D18</f>
        <v>0</v>
      </c>
      <c r="D51" s="66">
        <f>B51*C51</f>
        <v>0</v>
      </c>
      <c r="E51" s="64">
        <f>B24*Rates!F87</f>
        <v>869.12</v>
      </c>
      <c r="F51" s="65">
        <f>Rates!F18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0"/>
        <v>0</v>
      </c>
    </row>
    <row r="52" spans="1:10" ht="12.75" thickBot="1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0"/>
        <v>1.7036250615037267E-3</v>
      </c>
    </row>
    <row r="53" spans="1:10" ht="12.75" thickBot="1">
      <c r="A53" s="73" t="s">
        <v>42</v>
      </c>
      <c r="B53" s="74"/>
      <c r="C53" s="75"/>
      <c r="D53" s="76">
        <f>SUM(D49:D52)</f>
        <v>5.7254560000000003</v>
      </c>
      <c r="E53" s="75"/>
      <c r="F53" s="75"/>
      <c r="G53" s="76">
        <f>SUM(G49:G52)</f>
        <v>5.7254560000000003</v>
      </c>
      <c r="H53" s="76">
        <f t="shared" si="1"/>
        <v>0</v>
      </c>
      <c r="I53" s="77">
        <f t="shared" si="2"/>
        <v>0</v>
      </c>
      <c r="J53" s="78">
        <f t="shared" si="0"/>
        <v>3.9016121320547527E-2</v>
      </c>
    </row>
    <row r="54" spans="1:10" ht="12.75" thickBot="1">
      <c r="A54" s="87" t="s">
        <v>19</v>
      </c>
      <c r="B54" s="88">
        <f>B24</f>
        <v>800</v>
      </c>
      <c r="C54" s="89">
        <f>Rates!D81</f>
        <v>2E-3</v>
      </c>
      <c r="D54" s="90">
        <f>B54*C54</f>
        <v>1.6</v>
      </c>
      <c r="E54" s="88">
        <f>B24</f>
        <v>800</v>
      </c>
      <c r="F54" s="89">
        <f>Rates!F81</f>
        <v>2E-3</v>
      </c>
      <c r="G54" s="90">
        <f>E54*F54</f>
        <v>1.6</v>
      </c>
      <c r="H54" s="90">
        <f t="shared" si="1"/>
        <v>0</v>
      </c>
      <c r="I54" s="91">
        <f t="shared" si="2"/>
        <v>0</v>
      </c>
      <c r="J54" s="92">
        <f t="shared" si="0"/>
        <v>1.0903200393623852E-2</v>
      </c>
    </row>
    <row r="55" spans="1:10" ht="12.75" thickBot="1">
      <c r="A55" s="73" t="s">
        <v>43</v>
      </c>
      <c r="B55" s="74"/>
      <c r="C55" s="75"/>
      <c r="D55" s="76">
        <f>D31+D48+D53+D54</f>
        <v>130.21128000000002</v>
      </c>
      <c r="E55" s="75"/>
      <c r="F55" s="75"/>
      <c r="G55" s="76">
        <f>G31+G48+G53+G54</f>
        <v>129.863632</v>
      </c>
      <c r="H55" s="76">
        <f t="shared" si="1"/>
        <v>-0.34764800000002083</v>
      </c>
      <c r="I55" s="77">
        <f t="shared" si="2"/>
        <v>-2.6698762196333587E-3</v>
      </c>
      <c r="J55" s="78">
        <f t="shared" si="0"/>
        <v>0.88495575221238931</v>
      </c>
    </row>
    <row r="56" spans="1:10" ht="12.75" thickBot="1">
      <c r="A56" s="93" t="s">
        <v>46</v>
      </c>
      <c r="B56" s="94"/>
      <c r="C56" s="95">
        <f>Rates!D88</f>
        <v>0.13</v>
      </c>
      <c r="D56" s="90">
        <f>C56*D55</f>
        <v>16.927466400000004</v>
      </c>
      <c r="E56" s="96"/>
      <c r="F56" s="95">
        <f>Rates!F88</f>
        <v>0.13</v>
      </c>
      <c r="G56" s="90">
        <f>F56*G55</f>
        <v>16.882272159999999</v>
      </c>
      <c r="H56" s="90">
        <f t="shared" si="1"/>
        <v>-4.5194240000004271E-2</v>
      </c>
      <c r="I56" s="91">
        <f t="shared" si="2"/>
        <v>-2.669876219633451E-3</v>
      </c>
      <c r="J56" s="92">
        <f t="shared" si="0"/>
        <v>0.1150442477876106</v>
      </c>
    </row>
    <row r="57" spans="1:10" ht="12.75" thickBot="1">
      <c r="A57" s="81" t="s">
        <v>33</v>
      </c>
      <c r="B57" s="82"/>
      <c r="C57" s="83"/>
      <c r="D57" s="104">
        <f>D55+D56</f>
        <v>147.13874640000003</v>
      </c>
      <c r="E57" s="83"/>
      <c r="F57" s="83"/>
      <c r="G57" s="104">
        <f>G55+G56</f>
        <v>146.74590416000001</v>
      </c>
      <c r="H57" s="104">
        <f t="shared" si="1"/>
        <v>-0.39284224000002155</v>
      </c>
      <c r="I57" s="85">
        <f t="shared" si="2"/>
        <v>-2.6698762196333452E-3</v>
      </c>
      <c r="J57" s="86">
        <f t="shared" si="0"/>
        <v>1</v>
      </c>
    </row>
    <row r="58" spans="1:10">
      <c r="A58" s="130"/>
      <c r="B58" s="131"/>
      <c r="C58" s="132"/>
      <c r="D58" s="132"/>
      <c r="E58" s="132"/>
      <c r="F58" s="132"/>
      <c r="G58" s="132"/>
      <c r="H58" s="132"/>
      <c r="I58" s="132"/>
      <c r="J58" s="133"/>
    </row>
    <row r="59" spans="1:10">
      <c r="A59" s="134" t="s">
        <v>62</v>
      </c>
      <c r="B59" s="135"/>
      <c r="C59" s="136"/>
      <c r="D59" s="137">
        <f>D57*0.1</f>
        <v>14.713874640000004</v>
      </c>
      <c r="E59" s="136"/>
      <c r="F59" s="136"/>
      <c r="G59" s="137">
        <f>G57*0.1</f>
        <v>14.674590416000001</v>
      </c>
      <c r="H59" s="136"/>
      <c r="I59" s="136"/>
      <c r="J59" s="138"/>
    </row>
    <row r="60" spans="1:10" ht="12.75" thickBot="1">
      <c r="A60" s="139" t="s">
        <v>63</v>
      </c>
      <c r="B60" s="140"/>
      <c r="C60" s="141"/>
      <c r="D60" s="142">
        <f>D57-D59</f>
        <v>132.42487176000003</v>
      </c>
      <c r="E60" s="141"/>
      <c r="F60" s="141"/>
      <c r="G60" s="142">
        <f>G57-G59</f>
        <v>132.07131374400001</v>
      </c>
      <c r="H60" s="144">
        <f>G60-D60</f>
        <v>-0.35355801600002223</v>
      </c>
      <c r="I60" s="145">
        <f>H60/D60</f>
        <v>-2.6698762196333665E-3</v>
      </c>
      <c r="J60" s="143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2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0"/>
  <sheetViews>
    <sheetView view="pageLayout" zoomScaleNormal="100" workbookViewId="0">
      <selection activeCell="G9" sqref="G9"/>
    </sheetView>
  </sheetViews>
  <sheetFormatPr defaultRowHeight="12"/>
  <cols>
    <col min="1" max="1" width="81.8554687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/>
    </row>
    <row r="12" spans="1:4">
      <c r="A12" s="27"/>
      <c r="B12" s="28"/>
      <c r="C12" s="31"/>
      <c r="D12" s="32"/>
    </row>
    <row r="13" spans="1:4">
      <c r="A13" s="27"/>
      <c r="B13" s="28"/>
      <c r="C13" s="31"/>
      <c r="D13" s="32"/>
    </row>
    <row r="14" spans="1:4">
      <c r="A14" s="27"/>
      <c r="B14" s="28"/>
      <c r="C14" s="31"/>
      <c r="D14" s="32"/>
    </row>
    <row r="15" spans="1:4">
      <c r="A15" s="27" t="str">
        <f>Rates!A13</f>
        <v>Rate Rider for Tax Changes - effective until December 31, 2012</v>
      </c>
      <c r="B15" s="28" t="str">
        <f>Rates!B13</f>
        <v>$/kWh</v>
      </c>
      <c r="C15" s="31">
        <f>Rates!D13</f>
        <v>-2.0000000000000001E-4</v>
      </c>
      <c r="D15" s="32">
        <f>Rates!F13</f>
        <v>-1E-4</v>
      </c>
    </row>
    <row r="16" spans="1:4">
      <c r="A16" s="27" t="str">
        <f>Rates!A14</f>
        <v>Retail Transmission Rate - Network Service Rate</v>
      </c>
      <c r="B16" s="28" t="str">
        <f>Rates!B14</f>
        <v>$/kWh</v>
      </c>
      <c r="C16" s="31">
        <f>Rates!D14</f>
        <v>7.1000000000000004E-3</v>
      </c>
      <c r="D16" s="32">
        <f>Rates!F14</f>
        <v>6.7999999999999996E-3</v>
      </c>
    </row>
    <row r="17" spans="1:10">
      <c r="A17" s="27" t="str">
        <f>Rates!A15</f>
        <v>Retail Transmission Rate - Line and Transformation Connection Service Rate</v>
      </c>
      <c r="B17" s="28" t="str">
        <f>Rates!B15</f>
        <v>$/kWh</v>
      </c>
      <c r="C17" s="31">
        <f>Rates!D15</f>
        <v>5.1000000000000004E-3</v>
      </c>
      <c r="D17" s="32">
        <f>Rates!F15</f>
        <v>5.0000000000000001E-3</v>
      </c>
    </row>
    <row r="18" spans="1:10">
      <c r="A18" s="19" t="str">
        <f>Rates!A16</f>
        <v>Wholesale Market Service Rate</v>
      </c>
      <c r="B18" s="20" t="str">
        <f>Rates!B16</f>
        <v>$/kWh</v>
      </c>
      <c r="C18" s="21">
        <f>Rates!D16</f>
        <v>5.1999999999999998E-3</v>
      </c>
      <c r="D18" s="22">
        <f>Rates!F16</f>
        <v>5.1999999999999998E-3</v>
      </c>
    </row>
    <row r="19" spans="1:10">
      <c r="A19" s="27" t="str">
        <f>Rates!A17</f>
        <v>Rural Rate Protection Charge</v>
      </c>
      <c r="B19" s="28" t="str">
        <f>Rates!B17</f>
        <v>$/kWh</v>
      </c>
      <c r="C19" s="31">
        <f>Rates!D17</f>
        <v>1.1000000000000001E-3</v>
      </c>
      <c r="D19" s="32">
        <f>Rates!F17</f>
        <v>1.1000000000000001E-3</v>
      </c>
    </row>
    <row r="20" spans="1:10">
      <c r="A20" s="106" t="str">
        <f>Rates!A18</f>
        <v>Special Purpose Charge</v>
      </c>
      <c r="B20" s="28" t="str">
        <f>Rates!B18</f>
        <v>$/kWh</v>
      </c>
      <c r="C20" s="31">
        <f>Rates!D18</f>
        <v>0</v>
      </c>
      <c r="D20" s="32">
        <f>Rates!F18</f>
        <v>0</v>
      </c>
    </row>
    <row r="21" spans="1:10" ht="12.75" thickBot="1">
      <c r="A21" s="12" t="str">
        <f>Rates!A19</f>
        <v>Standard Supply Service - Administarive Charge (if applicable)</v>
      </c>
      <c r="B21" s="17" t="str">
        <f>Rates!B19</f>
        <v>$</v>
      </c>
      <c r="C21" s="18">
        <f>Rates!D19</f>
        <v>0.25</v>
      </c>
      <c r="D21" s="13">
        <f>Rates!F19</f>
        <v>0.25</v>
      </c>
    </row>
    <row r="23" spans="1:10" ht="12.75" thickBot="1"/>
    <row r="24" spans="1:10" ht="13.5" thickBot="1">
      <c r="A24" s="33" t="s">
        <v>26</v>
      </c>
      <c r="B24" s="34">
        <v>2000</v>
      </c>
      <c r="C24" s="35" t="s">
        <v>27</v>
      </c>
      <c r="D24" s="36"/>
      <c r="E24" s="35" t="s">
        <v>28</v>
      </c>
      <c r="G24" s="102" t="s">
        <v>23</v>
      </c>
      <c r="H24" s="53">
        <f>Rates!F87</f>
        <v>1.0864</v>
      </c>
    </row>
    <row r="25" spans="1:10" ht="13.5" thickBot="1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/>
    <row r="27" spans="1:10" ht="12.75" customHeight="1">
      <c r="A27" s="149" t="str">
        <f>A3</f>
        <v>Residential - R1</v>
      </c>
      <c r="B27" s="151" t="s">
        <v>31</v>
      </c>
      <c r="C27" s="49" t="s">
        <v>37</v>
      </c>
      <c r="D27" s="49" t="s">
        <v>38</v>
      </c>
      <c r="E27" s="151" t="s">
        <v>31</v>
      </c>
      <c r="F27" s="49" t="s">
        <v>37</v>
      </c>
      <c r="G27" s="49" t="s">
        <v>38</v>
      </c>
      <c r="H27" s="153" t="s">
        <v>44</v>
      </c>
      <c r="I27" s="153"/>
      <c r="J27" s="154"/>
    </row>
    <row r="28" spans="1:10" ht="12.75" thickBot="1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>
      <c r="A29" s="54" t="s">
        <v>35</v>
      </c>
      <c r="B29" s="55">
        <f>IF(B24*Rates!D87&gt;B25,B25,B24*Rates!D87)</f>
        <v>750</v>
      </c>
      <c r="C29" s="56">
        <f>Rates!D82</f>
        <v>7.4999999999999997E-2</v>
      </c>
      <c r="D29" s="57">
        <f>B29*C29</f>
        <v>56.25</v>
      </c>
      <c r="E29" s="55">
        <f>IF(B24*H24&gt;B25,B25,B24*H24)</f>
        <v>750</v>
      </c>
      <c r="F29" s="56">
        <f>Rates!F82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39" si="0">IF(ISERROR(G29/G$57),0,G29/G$57)</f>
        <v>0.16399186919391379</v>
      </c>
    </row>
    <row r="30" spans="1:10" ht="12.75" thickBot="1">
      <c r="A30" s="63" t="s">
        <v>36</v>
      </c>
      <c r="B30" s="64">
        <f>IF(B24*Rates!D87&gt;=B25,B24*Rates!D87-B25,0)</f>
        <v>1422.8000000000002</v>
      </c>
      <c r="C30" s="65">
        <f>Rates!D83</f>
        <v>8.7999999999999995E-2</v>
      </c>
      <c r="D30" s="66">
        <f>B30*C30</f>
        <v>125.2064</v>
      </c>
      <c r="E30" s="64">
        <f>IF(B24*H24&gt;=B25,B24*H24-B25,0)</f>
        <v>1422.8000000000002</v>
      </c>
      <c r="F30" s="65">
        <f>Rates!F83</f>
        <v>8.7999999999999995E-2</v>
      </c>
      <c r="G30" s="66">
        <f>E30*F30</f>
        <v>125.2064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0.36502811681850394</v>
      </c>
    </row>
    <row r="31" spans="1:10" ht="12.75" thickBot="1">
      <c r="A31" s="73" t="s">
        <v>39</v>
      </c>
      <c r="B31" s="74"/>
      <c r="C31" s="75"/>
      <c r="D31" s="76">
        <f>SUM(D29:D30)</f>
        <v>181.4564</v>
      </c>
      <c r="E31" s="75"/>
      <c r="F31" s="75"/>
      <c r="G31" s="76">
        <f>SUM(G29:G30)</f>
        <v>181.4564</v>
      </c>
      <c r="H31" s="76">
        <f t="shared" si="1"/>
        <v>0</v>
      </c>
      <c r="I31" s="77">
        <f t="shared" si="2"/>
        <v>0</v>
      </c>
      <c r="J31" s="78">
        <f t="shared" si="0"/>
        <v>0.52901998601241773</v>
      </c>
    </row>
    <row r="32" spans="1:10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6.4459737384487709E-2</v>
      </c>
    </row>
    <row r="33" spans="1:10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>
      <c r="A34" s="61" t="str">
        <f t="shared" si="3"/>
        <v>Distribution Volumetric Rate</v>
      </c>
      <c r="B34" s="43">
        <f>B24</f>
        <v>2000</v>
      </c>
      <c r="C34" s="40">
        <f t="shared" si="4"/>
        <v>3.0200000000000001E-2</v>
      </c>
      <c r="D34" s="41">
        <f t="shared" si="6"/>
        <v>60.400000000000006</v>
      </c>
      <c r="E34" s="43">
        <f>B24</f>
        <v>2000</v>
      </c>
      <c r="F34" s="40">
        <f t="shared" si="5"/>
        <v>3.1E-2</v>
      </c>
      <c r="G34" s="41">
        <f t="shared" si="7"/>
        <v>62</v>
      </c>
      <c r="H34" s="41">
        <f t="shared" si="1"/>
        <v>1.5999999999999943</v>
      </c>
      <c r="I34" s="42">
        <f t="shared" si="2"/>
        <v>2.6490066225165466E-2</v>
      </c>
      <c r="J34" s="62">
        <f t="shared" si="0"/>
        <v>0.18075548248929166</v>
      </c>
    </row>
    <row r="35" spans="1:10">
      <c r="A35" s="61" t="str">
        <f t="shared" si="3"/>
        <v>Rate Rider for Foregone Revenue Recovery - effective until December 31, 2012</v>
      </c>
      <c r="B35" s="43">
        <f>B24</f>
        <v>2000</v>
      </c>
      <c r="C35" s="40">
        <f t="shared" si="4"/>
        <v>2.9999999999999997E-4</v>
      </c>
      <c r="D35" s="41">
        <f t="shared" si="6"/>
        <v>0.6</v>
      </c>
      <c r="E35" s="43">
        <f>B24</f>
        <v>2000</v>
      </c>
      <c r="F35" s="40">
        <f t="shared" si="5"/>
        <v>0</v>
      </c>
      <c r="G35" s="41">
        <f>E35*F35</f>
        <v>0</v>
      </c>
      <c r="H35" s="41">
        <f>G35-D35</f>
        <v>-0.6</v>
      </c>
      <c r="I35" s="42">
        <f>IF(ISERROR(H35/D35),0,H35/D35)</f>
        <v>-1</v>
      </c>
      <c r="J35" s="62">
        <f t="shared" si="0"/>
        <v>0</v>
      </c>
    </row>
    <row r="36" spans="1:10">
      <c r="A36" s="61" t="str">
        <f t="shared" si="3"/>
        <v>Rate Rider for Deferral/Variance Account Disposition - effective until May 31, 2013</v>
      </c>
      <c r="B36" s="43">
        <f>B24</f>
        <v>2000</v>
      </c>
      <c r="C36" s="40">
        <f t="shared" si="4"/>
        <v>4.5999999999999999E-3</v>
      </c>
      <c r="D36" s="41">
        <f t="shared" si="6"/>
        <v>9.1999999999999993</v>
      </c>
      <c r="E36" s="43">
        <f>B24</f>
        <v>2000</v>
      </c>
      <c r="F36" s="40">
        <f t="shared" si="5"/>
        <v>4.5999999999999999E-3</v>
      </c>
      <c r="G36" s="41">
        <f t="shared" si="7"/>
        <v>9.1999999999999993</v>
      </c>
      <c r="H36" s="41">
        <f t="shared" si="1"/>
        <v>0</v>
      </c>
      <c r="I36" s="42">
        <f t="shared" si="2"/>
        <v>0</v>
      </c>
      <c r="J36" s="62">
        <f t="shared" si="0"/>
        <v>2.6821781272604563E-2</v>
      </c>
    </row>
    <row r="37" spans="1:10">
      <c r="A37" s="61" t="str">
        <f t="shared" si="3"/>
        <v>Rate Rider for Deferral/Variance Account Disposition - effective until May 31, 2013</v>
      </c>
      <c r="B37" s="43">
        <f>B24</f>
        <v>2000</v>
      </c>
      <c r="C37" s="40">
        <f t="shared" si="4"/>
        <v>-6.1000000000000004E-3</v>
      </c>
      <c r="D37" s="41">
        <f t="shared" si="6"/>
        <v>-12.200000000000001</v>
      </c>
      <c r="E37" s="43">
        <f>B24</f>
        <v>2000</v>
      </c>
      <c r="F37" s="40">
        <f t="shared" si="5"/>
        <v>-6.1000000000000004E-3</v>
      </c>
      <c r="G37" s="41">
        <f>E37*F37</f>
        <v>-12.200000000000001</v>
      </c>
      <c r="H37" s="41">
        <f>G37-D37</f>
        <v>0</v>
      </c>
      <c r="I37" s="42">
        <f>IF(ISERROR(H37/D37),0,H37/D37)</f>
        <v>0</v>
      </c>
      <c r="J37" s="62">
        <f t="shared" si="0"/>
        <v>-3.5568014296279975E-2</v>
      </c>
    </row>
    <row r="38" spans="1:10">
      <c r="A38" s="61" t="str">
        <f>A10</f>
        <v>Rate Rider for Deferral/Variance Account Disposition (2012) - effective until December 31, 2013</v>
      </c>
      <c r="B38" s="43">
        <f>B24</f>
        <v>2000</v>
      </c>
      <c r="C38" s="40">
        <f>C10</f>
        <v>0</v>
      </c>
      <c r="D38" s="41">
        <f t="shared" si="6"/>
        <v>0</v>
      </c>
      <c r="E38" s="43">
        <f>B24</f>
        <v>2000</v>
      </c>
      <c r="F38" s="40">
        <f>D10</f>
        <v>-1.1999999999999999E-3</v>
      </c>
      <c r="G38" s="41">
        <f>E38*F38</f>
        <v>-2.4</v>
      </c>
      <c r="H38" s="41">
        <f>G38-D38</f>
        <v>-2.4</v>
      </c>
      <c r="I38" s="42">
        <f>IF(ISERROR(H38/D38),0,H38/D38)</f>
        <v>0</v>
      </c>
      <c r="J38" s="62">
        <f t="shared" si="0"/>
        <v>-6.9969864189403218E-3</v>
      </c>
    </row>
    <row r="39" spans="1:10">
      <c r="A39" s="61" t="str">
        <f>A11</f>
        <v>Rate Rider for Global Adjustment Sub-Account Disposition (2012) - effective until December 31, 2013</v>
      </c>
      <c r="B39" s="43">
        <f>B24</f>
        <v>2000</v>
      </c>
      <c r="C39" s="40">
        <f>C11</f>
        <v>0</v>
      </c>
      <c r="D39" s="41">
        <f t="shared" si="6"/>
        <v>0</v>
      </c>
      <c r="E39" s="43">
        <f>B24</f>
        <v>2000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0"/>
        <v>0</v>
      </c>
    </row>
    <row r="40" spans="1:10">
      <c r="A40" s="61"/>
      <c r="B40" s="43">
        <f>B24</f>
        <v>2000</v>
      </c>
      <c r="C40" s="40">
        <f t="shared" ref="C40:C42" si="8">C12</f>
        <v>0</v>
      </c>
      <c r="D40" s="41">
        <f t="shared" si="6"/>
        <v>0</v>
      </c>
      <c r="E40" s="43">
        <f>B24</f>
        <v>2000</v>
      </c>
      <c r="F40" s="40">
        <f t="shared" ref="F40:F42" si="9">D12</f>
        <v>0</v>
      </c>
      <c r="G40" s="41">
        <f t="shared" ref="G40:G42" si="10">E40*F40</f>
        <v>0</v>
      </c>
      <c r="H40" s="41">
        <f t="shared" ref="H40:H42" si="11">G40-D40</f>
        <v>0</v>
      </c>
      <c r="I40" s="42">
        <f t="shared" ref="I40:I42" si="12">IF(ISERROR(H40/D40),0,H40/D40)</f>
        <v>0</v>
      </c>
      <c r="J40" s="62">
        <f t="shared" ref="J40:J42" si="13">IF(ISERROR(G40/G$57),0,G40/G$57)</f>
        <v>0</v>
      </c>
    </row>
    <row r="41" spans="1:10">
      <c r="A41" s="61"/>
      <c r="B41" s="43">
        <f>B24</f>
        <v>2000</v>
      </c>
      <c r="C41" s="40">
        <f t="shared" si="8"/>
        <v>0</v>
      </c>
      <c r="D41" s="41">
        <f t="shared" si="6"/>
        <v>0</v>
      </c>
      <c r="E41" s="43">
        <f>B24</f>
        <v>2000</v>
      </c>
      <c r="F41" s="40">
        <f t="shared" si="9"/>
        <v>0</v>
      </c>
      <c r="G41" s="41">
        <f t="shared" si="10"/>
        <v>0</v>
      </c>
      <c r="H41" s="41">
        <f t="shared" si="11"/>
        <v>0</v>
      </c>
      <c r="I41" s="42">
        <f t="shared" si="12"/>
        <v>0</v>
      </c>
      <c r="J41" s="62">
        <f t="shared" si="13"/>
        <v>0</v>
      </c>
    </row>
    <row r="42" spans="1:10">
      <c r="A42" s="61"/>
      <c r="B42" s="43">
        <f>B24</f>
        <v>2000</v>
      </c>
      <c r="C42" s="40">
        <f t="shared" si="8"/>
        <v>0</v>
      </c>
      <c r="D42" s="41">
        <f t="shared" si="6"/>
        <v>0</v>
      </c>
      <c r="E42" s="43">
        <f>B24</f>
        <v>2000</v>
      </c>
      <c r="F42" s="40">
        <f t="shared" si="9"/>
        <v>0</v>
      </c>
      <c r="G42" s="41">
        <f t="shared" si="10"/>
        <v>0</v>
      </c>
      <c r="H42" s="41">
        <f t="shared" si="11"/>
        <v>0</v>
      </c>
      <c r="I42" s="42">
        <f t="shared" si="12"/>
        <v>0</v>
      </c>
      <c r="J42" s="62">
        <f t="shared" si="13"/>
        <v>0</v>
      </c>
    </row>
    <row r="43" spans="1:10" ht="12.75" thickBot="1">
      <c r="A43" s="61" t="str">
        <f t="shared" ref="A43" si="14">A15</f>
        <v>Rate Rider for Tax Changes - effective until December 31, 2012</v>
      </c>
      <c r="B43" s="43">
        <f>B24</f>
        <v>2000</v>
      </c>
      <c r="C43" s="40">
        <f t="shared" ref="C43" si="15">C15</f>
        <v>-2.0000000000000001E-4</v>
      </c>
      <c r="D43" s="41">
        <f t="shared" si="6"/>
        <v>-0.4</v>
      </c>
      <c r="E43" s="43">
        <f>B24</f>
        <v>2000</v>
      </c>
      <c r="F43" s="40">
        <f t="shared" ref="F43" si="16">D15</f>
        <v>-1E-4</v>
      </c>
      <c r="G43" s="41">
        <f t="shared" si="7"/>
        <v>-0.2</v>
      </c>
      <c r="H43" s="41">
        <f t="shared" si="1"/>
        <v>0.2</v>
      </c>
      <c r="I43" s="42">
        <f t="shared" si="2"/>
        <v>-0.5</v>
      </c>
      <c r="J43" s="62">
        <f t="shared" ref="J43:J57" si="17">IF(ISERROR(G43/G$57),0,G43/G$57)</f>
        <v>-5.8308220157836019E-4</v>
      </c>
    </row>
    <row r="44" spans="1:10" ht="12.75" thickBot="1">
      <c r="A44" s="73" t="s">
        <v>40</v>
      </c>
      <c r="B44" s="74"/>
      <c r="C44" s="75"/>
      <c r="D44" s="80">
        <f>SUM(D32:D43)</f>
        <v>80.11</v>
      </c>
      <c r="E44" s="75"/>
      <c r="F44" s="75"/>
      <c r="G44" s="76">
        <f>SUM(G32:G43)</f>
        <v>78.509999999999991</v>
      </c>
      <c r="H44" s="76">
        <f t="shared" si="1"/>
        <v>-1.6000000000000085</v>
      </c>
      <c r="I44" s="77">
        <f t="shared" si="2"/>
        <v>-1.997253776057931E-2</v>
      </c>
      <c r="J44" s="78">
        <f t="shared" si="17"/>
        <v>0.22888891822958524</v>
      </c>
    </row>
    <row r="45" spans="1:10">
      <c r="A45" s="69" t="str">
        <f>A16</f>
        <v>Retail Transmission Rate - Network Service Rate</v>
      </c>
      <c r="B45" s="44">
        <f>B24*Rates!D87</f>
        <v>2172.8000000000002</v>
      </c>
      <c r="C45" s="45">
        <f>C16</f>
        <v>7.1000000000000004E-3</v>
      </c>
      <c r="D45" s="47">
        <f>B45*C45</f>
        <v>15.426880000000002</v>
      </c>
      <c r="E45" s="44">
        <f>B24*H24</f>
        <v>2172.8000000000002</v>
      </c>
      <c r="F45" s="45">
        <f>D16</f>
        <v>6.7999999999999996E-3</v>
      </c>
      <c r="G45" s="47">
        <f>E45*F45</f>
        <v>14.775040000000001</v>
      </c>
      <c r="H45" s="47">
        <f t="shared" si="1"/>
        <v>-0.65184000000000175</v>
      </c>
      <c r="I45" s="48">
        <f t="shared" si="2"/>
        <v>-4.2253521126760674E-2</v>
      </c>
      <c r="J45" s="72">
        <f t="shared" si="17"/>
        <v>4.3075314258041675E-2</v>
      </c>
    </row>
    <row r="46" spans="1:10" ht="12.75" thickBot="1">
      <c r="A46" s="63" t="str">
        <f>A17</f>
        <v>Retail Transmission Rate - Line and Transformation Connection Service Rate</v>
      </c>
      <c r="B46" s="64">
        <f>B24*Rates!D87</f>
        <v>2172.8000000000002</v>
      </c>
      <c r="C46" s="65">
        <f>C17</f>
        <v>5.1000000000000004E-3</v>
      </c>
      <c r="D46" s="66">
        <f>B46*C46</f>
        <v>11.081280000000001</v>
      </c>
      <c r="E46" s="64">
        <f>B24*H24</f>
        <v>2172.8000000000002</v>
      </c>
      <c r="F46" s="65">
        <f>D17</f>
        <v>5.0000000000000001E-3</v>
      </c>
      <c r="G46" s="66">
        <f>E46*F46</f>
        <v>10.864000000000001</v>
      </c>
      <c r="H46" s="66">
        <f t="shared" si="1"/>
        <v>-0.21728000000000058</v>
      </c>
      <c r="I46" s="67">
        <f t="shared" si="2"/>
        <v>-1.9607843137254954E-2</v>
      </c>
      <c r="J46" s="68">
        <f t="shared" si="17"/>
        <v>3.1673025189736526E-2</v>
      </c>
    </row>
    <row r="47" spans="1:10" ht="12.75" thickBot="1">
      <c r="A47" s="73" t="s">
        <v>32</v>
      </c>
      <c r="B47" s="74"/>
      <c r="C47" s="75"/>
      <c r="D47" s="76">
        <f>SUM(D45:D46)</f>
        <v>26.508160000000004</v>
      </c>
      <c r="E47" s="75"/>
      <c r="F47" s="75"/>
      <c r="G47" s="76">
        <f>SUM(G45:G46)</f>
        <v>25.639040000000001</v>
      </c>
      <c r="H47" s="76">
        <f t="shared" si="1"/>
        <v>-0.86912000000000234</v>
      </c>
      <c r="I47" s="77">
        <f t="shared" si="2"/>
        <v>-3.2786885245901724E-2</v>
      </c>
      <c r="J47" s="78">
        <f t="shared" si="17"/>
        <v>7.47483394477782E-2</v>
      </c>
    </row>
    <row r="48" spans="1:10" ht="12.75" thickBot="1">
      <c r="A48" s="81" t="s">
        <v>41</v>
      </c>
      <c r="B48" s="82"/>
      <c r="C48" s="83"/>
      <c r="D48" s="84">
        <f>D44+D47</f>
        <v>106.61816</v>
      </c>
      <c r="E48" s="83"/>
      <c r="F48" s="83"/>
      <c r="G48" s="84">
        <f>G44+G47</f>
        <v>104.14903999999999</v>
      </c>
      <c r="H48" s="84">
        <f t="shared" si="1"/>
        <v>-2.469120000000018</v>
      </c>
      <c r="I48" s="85">
        <f t="shared" si="2"/>
        <v>-2.3158531342127999E-2</v>
      </c>
      <c r="J48" s="86">
        <f t="shared" si="17"/>
        <v>0.30363725767736344</v>
      </c>
    </row>
    <row r="49" spans="1:10">
      <c r="A49" s="69" t="str">
        <f>A18</f>
        <v>Wholesale Market Service Rate</v>
      </c>
      <c r="B49" s="44">
        <f>B24*Rates!D87</f>
        <v>2172.8000000000002</v>
      </c>
      <c r="C49" s="45">
        <f>C18</f>
        <v>5.1999999999999998E-3</v>
      </c>
      <c r="D49" s="47">
        <f>B49*C49</f>
        <v>11.29856</v>
      </c>
      <c r="E49" s="44">
        <f>B24*H24</f>
        <v>2172.8000000000002</v>
      </c>
      <c r="F49" s="45">
        <f>D18</f>
        <v>5.1999999999999998E-3</v>
      </c>
      <c r="G49" s="47">
        <f>E49*F49</f>
        <v>11.29856</v>
      </c>
      <c r="H49" s="47">
        <f t="shared" si="1"/>
        <v>0</v>
      </c>
      <c r="I49" s="48">
        <f t="shared" si="2"/>
        <v>0</v>
      </c>
      <c r="J49" s="72">
        <f t="shared" si="17"/>
        <v>3.2939946197325987E-2</v>
      </c>
    </row>
    <row r="50" spans="1:10">
      <c r="A50" s="61" t="str">
        <f>A19</f>
        <v>Rural Rate Protection Charge</v>
      </c>
      <c r="B50" s="39">
        <f>B24*Rates!D87</f>
        <v>2172.8000000000002</v>
      </c>
      <c r="C50" s="40">
        <f>C19</f>
        <v>1.1000000000000001E-3</v>
      </c>
      <c r="D50" s="41">
        <f>B50*C50</f>
        <v>2.3900800000000002</v>
      </c>
      <c r="E50" s="39">
        <f>B24*H24</f>
        <v>2172.8000000000002</v>
      </c>
      <c r="F50" s="40">
        <f>D19</f>
        <v>1.1000000000000001E-3</v>
      </c>
      <c r="G50" s="41">
        <f>E50*F50</f>
        <v>2.3900800000000002</v>
      </c>
      <c r="H50" s="41">
        <f t="shared" si="1"/>
        <v>0</v>
      </c>
      <c r="I50" s="42">
        <f t="shared" si="2"/>
        <v>0</v>
      </c>
      <c r="J50" s="62">
        <f t="shared" si="17"/>
        <v>6.9680655417420356E-3</v>
      </c>
    </row>
    <row r="51" spans="1:10">
      <c r="A51" s="63" t="s">
        <v>45</v>
      </c>
      <c r="B51" s="64">
        <f>B24*Rates!D87</f>
        <v>2172.8000000000002</v>
      </c>
      <c r="C51" s="65">
        <f>Rates!D18</f>
        <v>0</v>
      </c>
      <c r="D51" s="66">
        <f>B51*C51</f>
        <v>0</v>
      </c>
      <c r="E51" s="64">
        <f>B24*Rates!F87</f>
        <v>2172.8000000000002</v>
      </c>
      <c r="F51" s="65">
        <f>Rates!F18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17"/>
        <v>0</v>
      </c>
    </row>
    <row r="52" spans="1:10" ht="12.75" thickBot="1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17"/>
        <v>7.2885275197295016E-4</v>
      </c>
    </row>
    <row r="53" spans="1:10" ht="12.75" thickBot="1">
      <c r="A53" s="73" t="s">
        <v>42</v>
      </c>
      <c r="B53" s="74"/>
      <c r="C53" s="75"/>
      <c r="D53" s="76">
        <f>SUM(D49:D52)</f>
        <v>13.938639999999999</v>
      </c>
      <c r="E53" s="75"/>
      <c r="F53" s="75"/>
      <c r="G53" s="76">
        <f>SUM(G49:G52)</f>
        <v>13.938639999999999</v>
      </c>
      <c r="H53" s="76">
        <f t="shared" si="1"/>
        <v>0</v>
      </c>
      <c r="I53" s="77">
        <f t="shared" si="2"/>
        <v>0</v>
      </c>
      <c r="J53" s="78">
        <f t="shared" si="17"/>
        <v>4.0636864491040967E-2</v>
      </c>
    </row>
    <row r="54" spans="1:10" ht="12.75" thickBot="1">
      <c r="A54" s="87" t="s">
        <v>19</v>
      </c>
      <c r="B54" s="88">
        <f>B24</f>
        <v>2000</v>
      </c>
      <c r="C54" s="89">
        <f>Rates!D81</f>
        <v>2E-3</v>
      </c>
      <c r="D54" s="90">
        <f>B54*C54</f>
        <v>4</v>
      </c>
      <c r="E54" s="88">
        <f>B24</f>
        <v>2000</v>
      </c>
      <c r="F54" s="89">
        <f>Rates!F81</f>
        <v>2E-3</v>
      </c>
      <c r="G54" s="90">
        <f>E54*F54</f>
        <v>4</v>
      </c>
      <c r="H54" s="90">
        <f t="shared" si="1"/>
        <v>0</v>
      </c>
      <c r="I54" s="91">
        <f t="shared" si="2"/>
        <v>0</v>
      </c>
      <c r="J54" s="92">
        <f t="shared" si="17"/>
        <v>1.1661644031567203E-2</v>
      </c>
    </row>
    <row r="55" spans="1:10" ht="12.75" thickBot="1">
      <c r="A55" s="73" t="s">
        <v>43</v>
      </c>
      <c r="B55" s="74"/>
      <c r="C55" s="75"/>
      <c r="D55" s="76">
        <f>D31+D48+D53+D54</f>
        <v>306.01320000000004</v>
      </c>
      <c r="E55" s="75"/>
      <c r="F55" s="75"/>
      <c r="G55" s="76">
        <f>G31+G48+G53+G54</f>
        <v>303.54408000000001</v>
      </c>
      <c r="H55" s="76">
        <f t="shared" si="1"/>
        <v>-2.4691200000000322</v>
      </c>
      <c r="I55" s="77">
        <f t="shared" si="2"/>
        <v>-8.0686715475019773E-3</v>
      </c>
      <c r="J55" s="78">
        <f t="shared" si="17"/>
        <v>0.88495575221238942</v>
      </c>
    </row>
    <row r="56" spans="1:10" ht="12.75" thickBot="1">
      <c r="A56" s="93" t="s">
        <v>46</v>
      </c>
      <c r="B56" s="94"/>
      <c r="C56" s="95">
        <f>Rates!D88</f>
        <v>0.13</v>
      </c>
      <c r="D56" s="90">
        <f>C56*D55</f>
        <v>39.78171600000001</v>
      </c>
      <c r="E56" s="96"/>
      <c r="F56" s="95">
        <f>Rates!F88</f>
        <v>0.13</v>
      </c>
      <c r="G56" s="90">
        <f>F56*G55</f>
        <v>39.460730400000003</v>
      </c>
      <c r="H56" s="90">
        <f t="shared" si="1"/>
        <v>-0.32098560000000731</v>
      </c>
      <c r="I56" s="91">
        <f t="shared" si="2"/>
        <v>-8.0686715475020536E-3</v>
      </c>
      <c r="J56" s="92">
        <f t="shared" si="17"/>
        <v>0.11504424778761063</v>
      </c>
    </row>
    <row r="57" spans="1:10" ht="12.75" thickBot="1">
      <c r="A57" s="81" t="s">
        <v>33</v>
      </c>
      <c r="B57" s="82"/>
      <c r="C57" s="83"/>
      <c r="D57" s="104">
        <f>D55+D56</f>
        <v>345.79491600000006</v>
      </c>
      <c r="E57" s="83"/>
      <c r="F57" s="83"/>
      <c r="G57" s="104">
        <f>G55+G56</f>
        <v>343.0048104</v>
      </c>
      <c r="H57" s="104">
        <f t="shared" si="1"/>
        <v>-2.7901056000000608</v>
      </c>
      <c r="I57" s="85">
        <f t="shared" si="2"/>
        <v>-8.0686715475020467E-3</v>
      </c>
      <c r="J57" s="86">
        <f t="shared" si="17"/>
        <v>1</v>
      </c>
    </row>
    <row r="58" spans="1:10">
      <c r="A58" s="130"/>
      <c r="B58" s="131"/>
      <c r="C58" s="132"/>
      <c r="D58" s="132"/>
      <c r="E58" s="132"/>
      <c r="F58" s="132"/>
      <c r="G58" s="132"/>
      <c r="H58" s="132"/>
      <c r="I58" s="132"/>
      <c r="J58" s="133"/>
    </row>
    <row r="59" spans="1:10">
      <c r="A59" s="134" t="s">
        <v>62</v>
      </c>
      <c r="B59" s="135"/>
      <c r="C59" s="136"/>
      <c r="D59" s="137">
        <f>D57*0.1</f>
        <v>34.579491600000004</v>
      </c>
      <c r="E59" s="136"/>
      <c r="F59" s="136"/>
      <c r="G59" s="137">
        <f>G57*0.1</f>
        <v>34.300481040000001</v>
      </c>
      <c r="H59" s="136"/>
      <c r="I59" s="136"/>
      <c r="J59" s="138"/>
    </row>
    <row r="60" spans="1:10" ht="12.75" thickBot="1">
      <c r="A60" s="139" t="s">
        <v>63</v>
      </c>
      <c r="B60" s="140"/>
      <c r="C60" s="141"/>
      <c r="D60" s="142">
        <f>D57-D59</f>
        <v>311.21542440000007</v>
      </c>
      <c r="E60" s="141"/>
      <c r="F60" s="141"/>
      <c r="G60" s="142">
        <f>G57-G59</f>
        <v>308.70432935999997</v>
      </c>
      <c r="H60" s="144">
        <f>G60-D60</f>
        <v>-2.5110950400001002</v>
      </c>
      <c r="I60" s="145">
        <f>H60/D60</f>
        <v>-8.0686715475021924E-3</v>
      </c>
      <c r="J60" s="143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2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60"/>
  <sheetViews>
    <sheetView view="pageLayout" topLeftCell="A55" zoomScaleNormal="100" workbookViewId="0">
      <selection activeCell="H7" sqref="H7"/>
    </sheetView>
  </sheetViews>
  <sheetFormatPr defaultRowHeight="12"/>
  <cols>
    <col min="1" max="1" width="81.8554687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>
        <f>Rates!F12</f>
        <v>1.1000000000000001E-3</v>
      </c>
    </row>
    <row r="12" spans="1:4">
      <c r="A12" s="27"/>
      <c r="B12" s="28"/>
      <c r="C12" s="31"/>
      <c r="D12" s="32"/>
    </row>
    <row r="13" spans="1:4">
      <c r="A13" s="27"/>
      <c r="B13" s="28"/>
      <c r="C13" s="31"/>
      <c r="D13" s="32"/>
    </row>
    <row r="14" spans="1:4">
      <c r="A14" s="27"/>
      <c r="B14" s="28"/>
      <c r="C14" s="31"/>
      <c r="D14" s="32"/>
    </row>
    <row r="15" spans="1:4">
      <c r="A15" s="27" t="str">
        <f>Rates!A13</f>
        <v>Rate Rider for Tax Changes - effective until December 31, 2012</v>
      </c>
      <c r="B15" s="28" t="str">
        <f>Rates!B13</f>
        <v>$/kWh</v>
      </c>
      <c r="C15" s="31">
        <f>Rates!D13</f>
        <v>-2.0000000000000001E-4</v>
      </c>
      <c r="D15" s="32">
        <f>Rates!F13</f>
        <v>-1E-4</v>
      </c>
    </row>
    <row r="16" spans="1:4">
      <c r="A16" s="27" t="str">
        <f>Rates!A14</f>
        <v>Retail Transmission Rate - Network Service Rate</v>
      </c>
      <c r="B16" s="28" t="str">
        <f>Rates!B14</f>
        <v>$/kWh</v>
      </c>
      <c r="C16" s="31">
        <f>Rates!D14</f>
        <v>7.1000000000000004E-3</v>
      </c>
      <c r="D16" s="32">
        <f>Rates!F14</f>
        <v>6.7999999999999996E-3</v>
      </c>
    </row>
    <row r="17" spans="1:10">
      <c r="A17" s="27" t="str">
        <f>Rates!A15</f>
        <v>Retail Transmission Rate - Line and Transformation Connection Service Rate</v>
      </c>
      <c r="B17" s="28" t="str">
        <f>Rates!B15</f>
        <v>$/kWh</v>
      </c>
      <c r="C17" s="31">
        <f>Rates!D15</f>
        <v>5.1000000000000004E-3</v>
      </c>
      <c r="D17" s="32">
        <f>Rates!F15</f>
        <v>5.0000000000000001E-3</v>
      </c>
    </row>
    <row r="18" spans="1:10">
      <c r="A18" s="19" t="str">
        <f>Rates!A16</f>
        <v>Wholesale Market Service Rate</v>
      </c>
      <c r="B18" s="20" t="str">
        <f>Rates!B16</f>
        <v>$/kWh</v>
      </c>
      <c r="C18" s="21">
        <f>Rates!D16</f>
        <v>5.1999999999999998E-3</v>
      </c>
      <c r="D18" s="22">
        <f>Rates!F16</f>
        <v>5.1999999999999998E-3</v>
      </c>
    </row>
    <row r="19" spans="1:10">
      <c r="A19" s="27" t="str">
        <f>Rates!A17</f>
        <v>Rural Rate Protection Charge</v>
      </c>
      <c r="B19" s="28" t="str">
        <f>Rates!B17</f>
        <v>$/kWh</v>
      </c>
      <c r="C19" s="31">
        <f>Rates!D17</f>
        <v>1.1000000000000001E-3</v>
      </c>
      <c r="D19" s="32">
        <f>Rates!F17</f>
        <v>1.1000000000000001E-3</v>
      </c>
    </row>
    <row r="20" spans="1:10">
      <c r="A20" s="106" t="str">
        <f>Rates!A18</f>
        <v>Special Purpose Charge</v>
      </c>
      <c r="B20" s="28" t="str">
        <f>Rates!B18</f>
        <v>$/kWh</v>
      </c>
      <c r="C20" s="31">
        <f>Rates!D18</f>
        <v>0</v>
      </c>
      <c r="D20" s="32">
        <f>Rates!F18</f>
        <v>0</v>
      </c>
    </row>
    <row r="21" spans="1:10" ht="12.75" thickBot="1">
      <c r="A21" s="12" t="str">
        <f>Rates!A19</f>
        <v>Standard Supply Service - Administarive Charge (if applicable)</v>
      </c>
      <c r="B21" s="17" t="str">
        <f>Rates!B19</f>
        <v>$</v>
      </c>
      <c r="C21" s="18">
        <f>Rates!D19</f>
        <v>0.25</v>
      </c>
      <c r="D21" s="13">
        <f>Rates!F19</f>
        <v>0.25</v>
      </c>
    </row>
    <row r="23" spans="1:10" ht="12.75" thickBot="1"/>
    <row r="24" spans="1:10" ht="13.5" thickBot="1">
      <c r="A24" s="33" t="s">
        <v>26</v>
      </c>
      <c r="B24" s="34">
        <v>2000</v>
      </c>
      <c r="C24" s="35" t="s">
        <v>27</v>
      </c>
      <c r="D24" s="36"/>
      <c r="E24" s="35" t="s">
        <v>28</v>
      </c>
      <c r="G24" s="102" t="s">
        <v>23</v>
      </c>
      <c r="H24" s="53">
        <f>Rates!F87</f>
        <v>1.0864</v>
      </c>
    </row>
    <row r="25" spans="1:10" ht="13.5" thickBot="1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/>
    <row r="27" spans="1:10" ht="12.75" customHeight="1">
      <c r="A27" s="149" t="str">
        <f>A3</f>
        <v>Residential - R1</v>
      </c>
      <c r="B27" s="151" t="s">
        <v>31</v>
      </c>
      <c r="C27" s="146" t="s">
        <v>37</v>
      </c>
      <c r="D27" s="146" t="s">
        <v>38</v>
      </c>
      <c r="E27" s="151" t="s">
        <v>31</v>
      </c>
      <c r="F27" s="146" t="s">
        <v>37</v>
      </c>
      <c r="G27" s="146" t="s">
        <v>38</v>
      </c>
      <c r="H27" s="153" t="s">
        <v>44</v>
      </c>
      <c r="I27" s="153"/>
      <c r="J27" s="154"/>
    </row>
    <row r="28" spans="1:10" ht="12.75" thickBot="1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>
      <c r="A29" s="54" t="s">
        <v>35</v>
      </c>
      <c r="B29" s="55">
        <f>IF(B24*Rates!D87&gt;B25,B25,B24*Rates!D87)</f>
        <v>750</v>
      </c>
      <c r="C29" s="56">
        <f>Rates!D82</f>
        <v>7.4999999999999997E-2</v>
      </c>
      <c r="D29" s="57">
        <f>B29*C29</f>
        <v>56.25</v>
      </c>
      <c r="E29" s="55">
        <f>IF(B24*H24&gt;B25,B25,B24*H24)</f>
        <v>750</v>
      </c>
      <c r="F29" s="56">
        <f>Rates!F82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57" si="0">IF(ISERROR(G29/G$57),0,G29/G$57)</f>
        <v>0.16281185579111426</v>
      </c>
    </row>
    <row r="30" spans="1:10" ht="12.75" thickBot="1">
      <c r="A30" s="63" t="s">
        <v>36</v>
      </c>
      <c r="B30" s="64">
        <f>IF(B24*Rates!D87&gt;=B25,B24*Rates!D87-B25,0)</f>
        <v>1422.8000000000002</v>
      </c>
      <c r="C30" s="65">
        <f>Rates!D83</f>
        <v>8.7999999999999995E-2</v>
      </c>
      <c r="D30" s="66">
        <f>B30*C30</f>
        <v>125.2064</v>
      </c>
      <c r="E30" s="64">
        <f>IF(B24*H24&gt;=B25,B24*H24-B25,0)</f>
        <v>1422.8000000000002</v>
      </c>
      <c r="F30" s="65">
        <f>Rates!F83</f>
        <v>8.7999999999999995E-2</v>
      </c>
      <c r="G30" s="66">
        <f>E30*F30</f>
        <v>125.2064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0.36240153494977012</v>
      </c>
    </row>
    <row r="31" spans="1:10" ht="12.75" thickBot="1">
      <c r="A31" s="73" t="s">
        <v>39</v>
      </c>
      <c r="B31" s="74"/>
      <c r="C31" s="75"/>
      <c r="D31" s="76">
        <f>SUM(D29:D30)</f>
        <v>181.4564</v>
      </c>
      <c r="E31" s="75"/>
      <c r="F31" s="75"/>
      <c r="G31" s="76">
        <f>SUM(G29:G30)</f>
        <v>181.4564</v>
      </c>
      <c r="H31" s="76">
        <f t="shared" si="1"/>
        <v>0</v>
      </c>
      <c r="I31" s="77">
        <f t="shared" si="2"/>
        <v>0</v>
      </c>
      <c r="J31" s="78">
        <f t="shared" si="0"/>
        <v>0.52521339074088436</v>
      </c>
    </row>
    <row r="32" spans="1:10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6.3995913449627309E-2</v>
      </c>
    </row>
    <row r="33" spans="1:10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>
      <c r="A34" s="61" t="str">
        <f t="shared" si="3"/>
        <v>Distribution Volumetric Rate</v>
      </c>
      <c r="B34" s="43">
        <f>B24</f>
        <v>2000</v>
      </c>
      <c r="C34" s="40">
        <f t="shared" si="4"/>
        <v>3.0200000000000001E-2</v>
      </c>
      <c r="D34" s="41">
        <f t="shared" si="6"/>
        <v>60.400000000000006</v>
      </c>
      <c r="E34" s="43">
        <f>B24</f>
        <v>2000</v>
      </c>
      <c r="F34" s="40">
        <f t="shared" si="5"/>
        <v>3.1E-2</v>
      </c>
      <c r="G34" s="41">
        <f t="shared" si="7"/>
        <v>62</v>
      </c>
      <c r="H34" s="41">
        <f t="shared" si="1"/>
        <v>1.5999999999999943</v>
      </c>
      <c r="I34" s="42">
        <f t="shared" si="2"/>
        <v>2.6490066225165466E-2</v>
      </c>
      <c r="J34" s="62">
        <f t="shared" si="0"/>
        <v>0.17945484549420596</v>
      </c>
    </row>
    <row r="35" spans="1:10">
      <c r="A35" s="61" t="str">
        <f t="shared" si="3"/>
        <v>Rate Rider for Foregone Revenue Recovery - effective until December 31, 2012</v>
      </c>
      <c r="B35" s="43">
        <f>B24</f>
        <v>2000</v>
      </c>
      <c r="C35" s="40">
        <f t="shared" si="4"/>
        <v>2.9999999999999997E-4</v>
      </c>
      <c r="D35" s="41">
        <f t="shared" si="6"/>
        <v>0.6</v>
      </c>
      <c r="E35" s="43">
        <f>B24</f>
        <v>2000</v>
      </c>
      <c r="F35" s="40">
        <f t="shared" si="5"/>
        <v>0</v>
      </c>
      <c r="G35" s="41">
        <f>E35*F35</f>
        <v>0</v>
      </c>
      <c r="H35" s="41">
        <f>G35-D35</f>
        <v>-0.6</v>
      </c>
      <c r="I35" s="42">
        <f>IF(ISERROR(H35/D35),0,H35/D35)</f>
        <v>-1</v>
      </c>
      <c r="J35" s="62">
        <f t="shared" si="0"/>
        <v>0</v>
      </c>
    </row>
    <row r="36" spans="1:10">
      <c r="A36" s="61" t="str">
        <f t="shared" si="3"/>
        <v>Rate Rider for Deferral/Variance Account Disposition - effective until May 31, 2013</v>
      </c>
      <c r="B36" s="43">
        <f>B24</f>
        <v>2000</v>
      </c>
      <c r="C36" s="40">
        <f t="shared" si="4"/>
        <v>4.5999999999999999E-3</v>
      </c>
      <c r="D36" s="41">
        <f t="shared" si="6"/>
        <v>9.1999999999999993</v>
      </c>
      <c r="E36" s="43">
        <f>B24</f>
        <v>2000</v>
      </c>
      <c r="F36" s="40">
        <f t="shared" si="5"/>
        <v>4.5999999999999999E-3</v>
      </c>
      <c r="G36" s="41">
        <f t="shared" si="7"/>
        <v>9.1999999999999993</v>
      </c>
      <c r="H36" s="41">
        <f t="shared" si="1"/>
        <v>0</v>
      </c>
      <c r="I36" s="42">
        <f t="shared" si="2"/>
        <v>0</v>
      </c>
      <c r="J36" s="62">
        <f t="shared" si="0"/>
        <v>2.6628783524946686E-2</v>
      </c>
    </row>
    <row r="37" spans="1:10">
      <c r="A37" s="61" t="str">
        <f t="shared" si="3"/>
        <v>Rate Rider for Deferral/Variance Account Disposition - effective until May 31, 2013</v>
      </c>
      <c r="B37" s="43">
        <f>B24</f>
        <v>2000</v>
      </c>
      <c r="C37" s="40">
        <f t="shared" si="4"/>
        <v>-6.1000000000000004E-3</v>
      </c>
      <c r="D37" s="41">
        <f t="shared" si="6"/>
        <v>-12.200000000000001</v>
      </c>
      <c r="E37" s="43">
        <f>B24</f>
        <v>2000</v>
      </c>
      <c r="F37" s="40">
        <f t="shared" si="5"/>
        <v>-6.1000000000000004E-3</v>
      </c>
      <c r="G37" s="41">
        <f>E37*F37</f>
        <v>-12.200000000000001</v>
      </c>
      <c r="H37" s="41">
        <f>G37-D37</f>
        <v>0</v>
      </c>
      <c r="I37" s="42">
        <f>IF(ISERROR(H37/D37),0,H37/D37)</f>
        <v>0</v>
      </c>
      <c r="J37" s="62">
        <f t="shared" si="0"/>
        <v>-3.531208250047279E-2</v>
      </c>
    </row>
    <row r="38" spans="1:10">
      <c r="A38" s="61" t="str">
        <f>A10</f>
        <v>Rate Rider for Deferral/Variance Account Disposition (2012) - effective until December 31, 2013</v>
      </c>
      <c r="B38" s="43">
        <f>B24</f>
        <v>2000</v>
      </c>
      <c r="C38" s="40">
        <f>C10</f>
        <v>0</v>
      </c>
      <c r="D38" s="41">
        <f t="shared" si="6"/>
        <v>0</v>
      </c>
      <c r="E38" s="43">
        <f>B24</f>
        <v>2000</v>
      </c>
      <c r="F38" s="40">
        <f>D10</f>
        <v>-1.1999999999999999E-3</v>
      </c>
      <c r="G38" s="41">
        <f>E38*F38</f>
        <v>-2.4</v>
      </c>
      <c r="H38" s="41">
        <f>G38-D38</f>
        <v>-2.4</v>
      </c>
      <c r="I38" s="42">
        <f>IF(ISERROR(H38/D38),0,H38/D38)</f>
        <v>0</v>
      </c>
      <c r="J38" s="62">
        <f t="shared" si="0"/>
        <v>-6.9466391804208754E-3</v>
      </c>
    </row>
    <row r="39" spans="1:10">
      <c r="A39" s="61" t="str">
        <f>A11</f>
        <v>Rate Rider for Global Adjustment Sub-Account Disposition (2012) - effective until December 31, 2013</v>
      </c>
      <c r="B39" s="43">
        <f>B24</f>
        <v>2000</v>
      </c>
      <c r="C39" s="40">
        <f>C11</f>
        <v>0</v>
      </c>
      <c r="D39" s="41">
        <f t="shared" si="6"/>
        <v>0</v>
      </c>
      <c r="E39" s="43">
        <f>B24</f>
        <v>2000</v>
      </c>
      <c r="F39" s="40">
        <f>D11</f>
        <v>1.1000000000000001E-3</v>
      </c>
      <c r="G39" s="41">
        <f>E39*F39</f>
        <v>2.2000000000000002</v>
      </c>
      <c r="H39" s="41">
        <f>G39-D39</f>
        <v>2.2000000000000002</v>
      </c>
      <c r="I39" s="42">
        <f>IF(ISERROR(H39/D39),0,H39/D39)</f>
        <v>0</v>
      </c>
      <c r="J39" s="62">
        <f t="shared" si="0"/>
        <v>6.3677525820524696E-3</v>
      </c>
    </row>
    <row r="40" spans="1:10">
      <c r="A40" s="61"/>
      <c r="B40" s="43">
        <f>B24</f>
        <v>2000</v>
      </c>
      <c r="C40" s="40">
        <f t="shared" ref="C40:C43" si="8">C12</f>
        <v>0</v>
      </c>
      <c r="D40" s="41">
        <f t="shared" si="6"/>
        <v>0</v>
      </c>
      <c r="E40" s="43">
        <f>B24</f>
        <v>2000</v>
      </c>
      <c r="F40" s="40">
        <f t="shared" ref="F40:F43" si="9">D12</f>
        <v>0</v>
      </c>
      <c r="G40" s="41">
        <f t="shared" ref="G40:G42" si="10">E40*F40</f>
        <v>0</v>
      </c>
      <c r="H40" s="41">
        <f t="shared" ref="H40:H42" si="11">G40-D40</f>
        <v>0</v>
      </c>
      <c r="I40" s="42">
        <f t="shared" ref="I40:I42" si="12">IF(ISERROR(H40/D40),0,H40/D40)</f>
        <v>0</v>
      </c>
      <c r="J40" s="62">
        <f t="shared" si="0"/>
        <v>0</v>
      </c>
    </row>
    <row r="41" spans="1:10">
      <c r="A41" s="61"/>
      <c r="B41" s="43">
        <f>B24</f>
        <v>2000</v>
      </c>
      <c r="C41" s="40">
        <f t="shared" si="8"/>
        <v>0</v>
      </c>
      <c r="D41" s="41">
        <f t="shared" si="6"/>
        <v>0</v>
      </c>
      <c r="E41" s="43">
        <f>B24</f>
        <v>2000</v>
      </c>
      <c r="F41" s="40">
        <f t="shared" si="9"/>
        <v>0</v>
      </c>
      <c r="G41" s="41">
        <f t="shared" si="10"/>
        <v>0</v>
      </c>
      <c r="H41" s="41">
        <f t="shared" si="11"/>
        <v>0</v>
      </c>
      <c r="I41" s="42">
        <f t="shared" si="12"/>
        <v>0</v>
      </c>
      <c r="J41" s="62">
        <f t="shared" si="0"/>
        <v>0</v>
      </c>
    </row>
    <row r="42" spans="1:10">
      <c r="A42" s="61"/>
      <c r="B42" s="43">
        <f>B24</f>
        <v>2000</v>
      </c>
      <c r="C42" s="40">
        <f t="shared" si="8"/>
        <v>0</v>
      </c>
      <c r="D42" s="41">
        <f t="shared" si="6"/>
        <v>0</v>
      </c>
      <c r="E42" s="43">
        <f>B24</f>
        <v>2000</v>
      </c>
      <c r="F42" s="40">
        <f t="shared" si="9"/>
        <v>0</v>
      </c>
      <c r="G42" s="41">
        <f t="shared" si="10"/>
        <v>0</v>
      </c>
      <c r="H42" s="41">
        <f t="shared" si="11"/>
        <v>0</v>
      </c>
      <c r="I42" s="42">
        <f t="shared" si="12"/>
        <v>0</v>
      </c>
      <c r="J42" s="62">
        <f t="shared" si="0"/>
        <v>0</v>
      </c>
    </row>
    <row r="43" spans="1:10" ht="12.75" thickBot="1">
      <c r="A43" s="61" t="str">
        <f t="shared" ref="A43" si="13">A15</f>
        <v>Rate Rider for Tax Changes - effective until December 31, 2012</v>
      </c>
      <c r="B43" s="43">
        <f>B24</f>
        <v>2000</v>
      </c>
      <c r="C43" s="40">
        <f t="shared" si="8"/>
        <v>-2.0000000000000001E-4</v>
      </c>
      <c r="D43" s="41">
        <f t="shared" si="6"/>
        <v>-0.4</v>
      </c>
      <c r="E43" s="43">
        <f>B24</f>
        <v>2000</v>
      </c>
      <c r="F43" s="40">
        <f t="shared" si="9"/>
        <v>-1E-4</v>
      </c>
      <c r="G43" s="41">
        <f t="shared" si="7"/>
        <v>-0.2</v>
      </c>
      <c r="H43" s="41">
        <f t="shared" si="1"/>
        <v>0.2</v>
      </c>
      <c r="I43" s="42">
        <f t="shared" si="2"/>
        <v>-0.5</v>
      </c>
      <c r="J43" s="62">
        <f t="shared" si="0"/>
        <v>-5.7888659836840628E-4</v>
      </c>
    </row>
    <row r="44" spans="1:10" ht="12.75" thickBot="1">
      <c r="A44" s="73" t="s">
        <v>40</v>
      </c>
      <c r="B44" s="74"/>
      <c r="C44" s="75"/>
      <c r="D44" s="80">
        <f>SUM(D32:D43)</f>
        <v>80.11</v>
      </c>
      <c r="E44" s="75"/>
      <c r="F44" s="75"/>
      <c r="G44" s="76">
        <f>SUM(G32:G43)</f>
        <v>80.709999999999994</v>
      </c>
      <c r="H44" s="76">
        <f t="shared" si="1"/>
        <v>0.59999999999999432</v>
      </c>
      <c r="I44" s="77">
        <f t="shared" si="2"/>
        <v>7.4897016602171306E-3</v>
      </c>
      <c r="J44" s="78">
        <f t="shared" si="0"/>
        <v>0.23360968677157035</v>
      </c>
    </row>
    <row r="45" spans="1:10">
      <c r="A45" s="69" t="str">
        <f>A16</f>
        <v>Retail Transmission Rate - Network Service Rate</v>
      </c>
      <c r="B45" s="44">
        <f>B24*Rates!D87</f>
        <v>2172.8000000000002</v>
      </c>
      <c r="C45" s="45">
        <f>C16</f>
        <v>7.1000000000000004E-3</v>
      </c>
      <c r="D45" s="47">
        <f>B45*C45</f>
        <v>15.426880000000002</v>
      </c>
      <c r="E45" s="44">
        <f>B24*H24</f>
        <v>2172.8000000000002</v>
      </c>
      <c r="F45" s="45">
        <f>D16</f>
        <v>6.7999999999999996E-3</v>
      </c>
      <c r="G45" s="47">
        <f>E45*F45</f>
        <v>14.775040000000001</v>
      </c>
      <c r="H45" s="47">
        <f t="shared" si="1"/>
        <v>-0.65184000000000175</v>
      </c>
      <c r="I45" s="48">
        <f t="shared" si="2"/>
        <v>-4.2253521126760674E-2</v>
      </c>
      <c r="J45" s="72">
        <f t="shared" si="0"/>
        <v>4.2765363231785689E-2</v>
      </c>
    </row>
    <row r="46" spans="1:10" ht="12.75" thickBot="1">
      <c r="A46" s="63" t="str">
        <f>A17</f>
        <v>Retail Transmission Rate - Line and Transformation Connection Service Rate</v>
      </c>
      <c r="B46" s="64">
        <f>B24*Rates!D87</f>
        <v>2172.8000000000002</v>
      </c>
      <c r="C46" s="65">
        <f>C17</f>
        <v>5.1000000000000004E-3</v>
      </c>
      <c r="D46" s="66">
        <f>B46*C46</f>
        <v>11.081280000000001</v>
      </c>
      <c r="E46" s="64">
        <f>B24*H24</f>
        <v>2172.8000000000002</v>
      </c>
      <c r="F46" s="65">
        <f>D17</f>
        <v>5.0000000000000001E-3</v>
      </c>
      <c r="G46" s="66">
        <f>E46*F46</f>
        <v>10.864000000000001</v>
      </c>
      <c r="H46" s="66">
        <f t="shared" si="1"/>
        <v>-0.21728000000000058</v>
      </c>
      <c r="I46" s="67">
        <f t="shared" si="2"/>
        <v>-1.9607843137254954E-2</v>
      </c>
      <c r="J46" s="68">
        <f t="shared" si="0"/>
        <v>3.1445120023371832E-2</v>
      </c>
    </row>
    <row r="47" spans="1:10" ht="12.75" thickBot="1">
      <c r="A47" s="73" t="s">
        <v>32</v>
      </c>
      <c r="B47" s="74"/>
      <c r="C47" s="75"/>
      <c r="D47" s="76">
        <f>SUM(D45:D46)</f>
        <v>26.508160000000004</v>
      </c>
      <c r="E47" s="75"/>
      <c r="F47" s="75"/>
      <c r="G47" s="76">
        <f>SUM(G45:G46)</f>
        <v>25.639040000000001</v>
      </c>
      <c r="H47" s="76">
        <f t="shared" si="1"/>
        <v>-0.86912000000000234</v>
      </c>
      <c r="I47" s="77">
        <f t="shared" si="2"/>
        <v>-3.2786885245901724E-2</v>
      </c>
      <c r="J47" s="78">
        <f t="shared" si="0"/>
        <v>7.4210483255157528E-2</v>
      </c>
    </row>
    <row r="48" spans="1:10" ht="12.75" thickBot="1">
      <c r="A48" s="81" t="s">
        <v>41</v>
      </c>
      <c r="B48" s="82"/>
      <c r="C48" s="83"/>
      <c r="D48" s="84">
        <f>D44+D47</f>
        <v>106.61816</v>
      </c>
      <c r="E48" s="83"/>
      <c r="F48" s="83"/>
      <c r="G48" s="84">
        <f>G44+G47</f>
        <v>106.34904</v>
      </c>
      <c r="H48" s="84">
        <f t="shared" si="1"/>
        <v>-0.26912000000000091</v>
      </c>
      <c r="I48" s="85">
        <f t="shared" si="2"/>
        <v>-2.5241478562376325E-3</v>
      </c>
      <c r="J48" s="86">
        <f t="shared" si="0"/>
        <v>0.3078201700267279</v>
      </c>
    </row>
    <row r="49" spans="1:10">
      <c r="A49" s="69" t="str">
        <f>A18</f>
        <v>Wholesale Market Service Rate</v>
      </c>
      <c r="B49" s="44">
        <f>B24*Rates!D87</f>
        <v>2172.8000000000002</v>
      </c>
      <c r="C49" s="45">
        <f>C18</f>
        <v>5.1999999999999998E-3</v>
      </c>
      <c r="D49" s="47">
        <f>B49*C49</f>
        <v>11.29856</v>
      </c>
      <c r="E49" s="44">
        <f>B24*H24</f>
        <v>2172.8000000000002</v>
      </c>
      <c r="F49" s="45">
        <f>D18</f>
        <v>5.1999999999999998E-3</v>
      </c>
      <c r="G49" s="47">
        <f>E49*F49</f>
        <v>11.29856</v>
      </c>
      <c r="H49" s="47">
        <f t="shared" si="1"/>
        <v>0</v>
      </c>
      <c r="I49" s="48">
        <f t="shared" si="2"/>
        <v>0</v>
      </c>
      <c r="J49" s="72">
        <f t="shared" si="0"/>
        <v>3.2702924824306701E-2</v>
      </c>
    </row>
    <row r="50" spans="1:10">
      <c r="A50" s="61" t="str">
        <f>A19</f>
        <v>Rural Rate Protection Charge</v>
      </c>
      <c r="B50" s="39">
        <f>B24*Rates!D87</f>
        <v>2172.8000000000002</v>
      </c>
      <c r="C50" s="40">
        <f>C19</f>
        <v>1.1000000000000001E-3</v>
      </c>
      <c r="D50" s="41">
        <f>B50*C50</f>
        <v>2.3900800000000002</v>
      </c>
      <c r="E50" s="39">
        <f>B24*H24</f>
        <v>2172.8000000000002</v>
      </c>
      <c r="F50" s="40">
        <f>D19</f>
        <v>1.1000000000000001E-3</v>
      </c>
      <c r="G50" s="41">
        <f>E50*F50</f>
        <v>2.3900800000000002</v>
      </c>
      <c r="H50" s="41">
        <f t="shared" si="1"/>
        <v>0</v>
      </c>
      <c r="I50" s="42">
        <f t="shared" si="2"/>
        <v>0</v>
      </c>
      <c r="J50" s="62">
        <f t="shared" si="0"/>
        <v>6.9179264051418034E-3</v>
      </c>
    </row>
    <row r="51" spans="1:10">
      <c r="A51" s="63" t="s">
        <v>45</v>
      </c>
      <c r="B51" s="64">
        <f>B24*Rates!D87</f>
        <v>2172.8000000000002</v>
      </c>
      <c r="C51" s="65">
        <f>Rates!D18</f>
        <v>0</v>
      </c>
      <c r="D51" s="66">
        <f>B51*C51</f>
        <v>0</v>
      </c>
      <c r="E51" s="64">
        <f>B24*Rates!F87</f>
        <v>2172.8000000000002</v>
      </c>
      <c r="F51" s="65">
        <f>Rates!F18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0"/>
        <v>0</v>
      </c>
    </row>
    <row r="52" spans="1:10" ht="12.75" thickBot="1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0"/>
        <v>7.2360824796050785E-4</v>
      </c>
    </row>
    <row r="53" spans="1:10" ht="12.75" thickBot="1">
      <c r="A53" s="73" t="s">
        <v>42</v>
      </c>
      <c r="B53" s="74"/>
      <c r="C53" s="75"/>
      <c r="D53" s="76">
        <f>SUM(D49:D52)</f>
        <v>13.938639999999999</v>
      </c>
      <c r="E53" s="75"/>
      <c r="F53" s="75"/>
      <c r="G53" s="76">
        <f>SUM(G49:G52)</f>
        <v>13.938639999999999</v>
      </c>
      <c r="H53" s="76">
        <f t="shared" si="1"/>
        <v>0</v>
      </c>
      <c r="I53" s="77">
        <f t="shared" si="2"/>
        <v>0</v>
      </c>
      <c r="J53" s="78">
        <f t="shared" si="0"/>
        <v>4.0344459477409014E-2</v>
      </c>
    </row>
    <row r="54" spans="1:10" ht="12.75" thickBot="1">
      <c r="A54" s="87" t="s">
        <v>19</v>
      </c>
      <c r="B54" s="88">
        <f>B24</f>
        <v>2000</v>
      </c>
      <c r="C54" s="89">
        <f>Rates!D81</f>
        <v>2E-3</v>
      </c>
      <c r="D54" s="90">
        <f>B54*C54</f>
        <v>4</v>
      </c>
      <c r="E54" s="88">
        <f>B24</f>
        <v>2000</v>
      </c>
      <c r="F54" s="89">
        <f>Rates!F81</f>
        <v>2E-3</v>
      </c>
      <c r="G54" s="90">
        <f>E54*F54</f>
        <v>4</v>
      </c>
      <c r="H54" s="90">
        <f t="shared" si="1"/>
        <v>0</v>
      </c>
      <c r="I54" s="91">
        <f t="shared" si="2"/>
        <v>0</v>
      </c>
      <c r="J54" s="92">
        <f t="shared" si="0"/>
        <v>1.1577731967368126E-2</v>
      </c>
    </row>
    <row r="55" spans="1:10" ht="12.75" thickBot="1">
      <c r="A55" s="73" t="s">
        <v>43</v>
      </c>
      <c r="B55" s="74"/>
      <c r="C55" s="75"/>
      <c r="D55" s="76">
        <f>D31+D48+D53+D54</f>
        <v>306.01320000000004</v>
      </c>
      <c r="E55" s="75"/>
      <c r="F55" s="75"/>
      <c r="G55" s="76">
        <f>G31+G48+G53+G54</f>
        <v>305.74408</v>
      </c>
      <c r="H55" s="76">
        <f t="shared" si="1"/>
        <v>-0.26912000000004355</v>
      </c>
      <c r="I55" s="77">
        <f t="shared" si="2"/>
        <v>-8.7943918759074283E-4</v>
      </c>
      <c r="J55" s="78">
        <f t="shared" si="0"/>
        <v>0.88495575221238942</v>
      </c>
    </row>
    <row r="56" spans="1:10" ht="12.75" thickBot="1">
      <c r="A56" s="93" t="s">
        <v>46</v>
      </c>
      <c r="B56" s="94"/>
      <c r="C56" s="95">
        <f>Rates!D88</f>
        <v>0.13</v>
      </c>
      <c r="D56" s="90">
        <f>C56*D55</f>
        <v>39.78171600000001</v>
      </c>
      <c r="E56" s="96"/>
      <c r="F56" s="95">
        <f>Rates!F88</f>
        <v>0.13</v>
      </c>
      <c r="G56" s="90">
        <f>F56*G55</f>
        <v>39.746730400000004</v>
      </c>
      <c r="H56" s="90">
        <f t="shared" si="1"/>
        <v>-3.4985600000005945E-2</v>
      </c>
      <c r="I56" s="91">
        <f t="shared" si="2"/>
        <v>-8.7943918759074988E-4</v>
      </c>
      <c r="J56" s="92">
        <f t="shared" si="0"/>
        <v>0.11504424778761063</v>
      </c>
    </row>
    <row r="57" spans="1:10" ht="12.75" thickBot="1">
      <c r="A57" s="81" t="s">
        <v>33</v>
      </c>
      <c r="B57" s="82"/>
      <c r="C57" s="83"/>
      <c r="D57" s="104">
        <f>D55+D56</f>
        <v>345.79491600000006</v>
      </c>
      <c r="E57" s="83"/>
      <c r="F57" s="83"/>
      <c r="G57" s="104">
        <f>G55+G56</f>
        <v>345.49081039999999</v>
      </c>
      <c r="H57" s="104">
        <f t="shared" si="1"/>
        <v>-0.30410560000007081</v>
      </c>
      <c r="I57" s="85">
        <f t="shared" si="2"/>
        <v>-8.7943918759080528E-4</v>
      </c>
      <c r="J57" s="86">
        <f t="shared" si="0"/>
        <v>1</v>
      </c>
    </row>
    <row r="58" spans="1:10">
      <c r="A58" s="130"/>
      <c r="B58" s="131"/>
      <c r="C58" s="132"/>
      <c r="D58" s="132"/>
      <c r="E58" s="132"/>
      <c r="F58" s="132"/>
      <c r="G58" s="132"/>
      <c r="H58" s="132"/>
      <c r="I58" s="132"/>
      <c r="J58" s="133"/>
    </row>
    <row r="59" spans="1:10">
      <c r="A59" s="134" t="s">
        <v>62</v>
      </c>
      <c r="B59" s="135"/>
      <c r="C59" s="136"/>
      <c r="D59" s="137">
        <f>D57*0.1</f>
        <v>34.579491600000004</v>
      </c>
      <c r="E59" s="136"/>
      <c r="F59" s="136"/>
      <c r="G59" s="137">
        <f>G57*0.1</f>
        <v>34.549081039999997</v>
      </c>
      <c r="H59" s="136"/>
      <c r="I59" s="136"/>
      <c r="J59" s="138"/>
    </row>
    <row r="60" spans="1:10" ht="12.75" thickBot="1">
      <c r="A60" s="139" t="s">
        <v>63</v>
      </c>
      <c r="B60" s="140"/>
      <c r="C60" s="141"/>
      <c r="D60" s="142">
        <f>D57-D59</f>
        <v>311.21542440000007</v>
      </c>
      <c r="E60" s="141"/>
      <c r="F60" s="141"/>
      <c r="G60" s="142">
        <f>G57-G59</f>
        <v>310.94172936000001</v>
      </c>
      <c r="H60" s="144">
        <f>G60-D60</f>
        <v>-0.27369504000006373</v>
      </c>
      <c r="I60" s="145">
        <f>H60/D60</f>
        <v>-8.7943918759080517E-4</v>
      </c>
      <c r="J60" s="143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2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5"/>
  <sheetViews>
    <sheetView view="pageLayout" zoomScaleNormal="100" workbookViewId="0">
      <selection activeCell="F5" sqref="F5"/>
    </sheetView>
  </sheetViews>
  <sheetFormatPr defaultRowHeight="1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Rates!A21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Rates!A22</f>
        <v>Monthly Service Charge</v>
      </c>
      <c r="B4" s="24" t="str">
        <f>Rates!B22</f>
        <v>$</v>
      </c>
      <c r="C4" s="25">
        <f>Rates!D22</f>
        <v>596.12</v>
      </c>
      <c r="D4" s="26">
        <f>Rates!F22</f>
        <v>596.12</v>
      </c>
    </row>
    <row r="5" spans="1:4">
      <c r="A5" s="27" t="str">
        <f>Rates!A23</f>
        <v>Smart Meter Rate Adder</v>
      </c>
      <c r="B5" s="28" t="str">
        <f>Rates!B23</f>
        <v>$</v>
      </c>
      <c r="C5" s="29">
        <f>Rates!D23</f>
        <v>1</v>
      </c>
      <c r="D5" s="30">
        <f>Rates!F23</f>
        <v>0</v>
      </c>
    </row>
    <row r="6" spans="1:4">
      <c r="A6" s="27" t="str">
        <f>Rates!A24</f>
        <v>Distribution Volumetric Rate</v>
      </c>
      <c r="B6" s="28" t="str">
        <f>Rates!B24</f>
        <v>$/kW</v>
      </c>
      <c r="C6" s="31">
        <f>Rates!D24</f>
        <v>2.7086000000000001</v>
      </c>
      <c r="D6" s="32">
        <f>Rates!F24</f>
        <v>2.8481999999999998</v>
      </c>
    </row>
    <row r="7" spans="1:4">
      <c r="A7" s="27" t="str">
        <f>Rates!A25</f>
        <v>Rate Rider for Foregone Revenue Recovery - effective until December 31, 2012</v>
      </c>
      <c r="B7" s="28" t="str">
        <f>Rates!B25</f>
        <v>$/kW</v>
      </c>
      <c r="C7" s="31">
        <f>Rates!D25</f>
        <v>2.7199999999999998E-2</v>
      </c>
      <c r="D7" s="32">
        <f>Rates!F25</f>
        <v>0</v>
      </c>
    </row>
    <row r="8" spans="1:4">
      <c r="A8" s="27" t="str">
        <f>Rates!A26</f>
        <v>Rate Rider for Deferral/Variance Account Disposition - effective until May 31, 2013</v>
      </c>
      <c r="B8" s="28" t="str">
        <f>Rates!B26</f>
        <v>$/kW</v>
      </c>
      <c r="C8" s="31">
        <f>Rates!D26</f>
        <v>2.2664</v>
      </c>
      <c r="D8" s="32">
        <f>Rates!F26</f>
        <v>2.2664</v>
      </c>
    </row>
    <row r="9" spans="1:4">
      <c r="A9" s="27" t="str">
        <f>Rates!A27</f>
        <v>Rate Rider for Deferral/Variance Account Disposition - effective until May 31, 2013</v>
      </c>
      <c r="B9" s="28" t="str">
        <f>Rates!B27</f>
        <v>$/kW</v>
      </c>
      <c r="C9" s="31">
        <f>Rates!D27</f>
        <v>-2.8218999999999999</v>
      </c>
      <c r="D9" s="32">
        <f>Rates!F27</f>
        <v>-2.8218999999999999</v>
      </c>
    </row>
    <row r="10" spans="1:4">
      <c r="A10" s="27" t="str">
        <f>Rates!A28</f>
        <v>Rate Rider for Deferral/Variance Account Disposition (2012) - effective until December 31, 2013</v>
      </c>
      <c r="B10" s="28" t="str">
        <f>Rates!B28</f>
        <v>$/kW</v>
      </c>
      <c r="C10" s="31">
        <f>Rates!D28</f>
        <v>0</v>
      </c>
      <c r="D10" s="32">
        <f>Rates!F28</f>
        <v>0.1096</v>
      </c>
    </row>
    <row r="11" spans="1:4">
      <c r="A11" s="27" t="str">
        <f>Rates!A29</f>
        <v>Rate Rider for Global Adjustment Sub-Account Disposition (2012) - effective until December 31, 2013</v>
      </c>
      <c r="B11" s="28" t="str">
        <f>Rates!B29</f>
        <v>$/kW</v>
      </c>
      <c r="C11" s="31">
        <f>Rates!D29</f>
        <v>0</v>
      </c>
      <c r="D11" s="32"/>
    </row>
    <row r="12" spans="1:4">
      <c r="A12" s="27" t="str">
        <f>Rates!A30</f>
        <v>Rate Rider for PILs - effective until December 31, 2013</v>
      </c>
      <c r="B12" s="28" t="str">
        <f>Rates!B30</f>
        <v>$/kW</v>
      </c>
      <c r="C12" s="31">
        <f>Rates!D30</f>
        <v>0</v>
      </c>
      <c r="D12" s="32">
        <f>Rates!F30</f>
        <v>0</v>
      </c>
    </row>
    <row r="13" spans="1:4">
      <c r="A13" s="27" t="str">
        <f>Rates!A31</f>
        <v>Rate Rider for Tax Changes - effective until December 31, 2012</v>
      </c>
      <c r="B13" s="28" t="str">
        <f>Rates!B31</f>
        <v>$/kW</v>
      </c>
      <c r="C13" s="31">
        <f>Rates!D31</f>
        <v>-2.7300000000000001E-2</v>
      </c>
      <c r="D13" s="32">
        <f>Rates!F31</f>
        <v>-0.02</v>
      </c>
    </row>
    <row r="14" spans="1:4">
      <c r="A14" s="27" t="str">
        <f>Rates!A32</f>
        <v>Retail Transmission Rate - Network Service Rate</v>
      </c>
      <c r="B14" s="28" t="str">
        <f>Rates!B32</f>
        <v>$/kW</v>
      </c>
      <c r="C14" s="31">
        <f>Rates!D32</f>
        <v>2.6396000000000002</v>
      </c>
      <c r="D14" s="32">
        <f>Rates!F32</f>
        <v>2.5209000000000001</v>
      </c>
    </row>
    <row r="15" spans="1:4">
      <c r="A15" s="27" t="str">
        <f>Rates!A33</f>
        <v>Retail Transmission Rate - Line and Transformation Connection Service Rate</v>
      </c>
      <c r="B15" s="28" t="str">
        <f>Rates!B33</f>
        <v>$/kW</v>
      </c>
      <c r="C15" s="31">
        <f>Rates!D33</f>
        <v>1.8099000000000001</v>
      </c>
      <c r="D15" s="32">
        <f>Rates!F33</f>
        <v>1.7696000000000001</v>
      </c>
    </row>
    <row r="16" spans="1:4">
      <c r="A16" s="19" t="str">
        <f>Rates!A34</f>
        <v>Retail Transmission Rate - Network Service Rate - Interval Meter &gt; 1,000 kW</v>
      </c>
      <c r="B16" s="20" t="str">
        <f>Rates!B34</f>
        <v>$/kW</v>
      </c>
      <c r="C16" s="21">
        <f>Rates!D34</f>
        <v>2.8001</v>
      </c>
      <c r="D16" s="22">
        <f>Rates!F34</f>
        <v>2.6741999999999999</v>
      </c>
    </row>
    <row r="17" spans="1:10">
      <c r="A17" s="19" t="str">
        <f>Rates!A35</f>
        <v>Retail Transmission Rate - Line and Transformation Connection Service Rate - Interval &gt; 1,000 kW</v>
      </c>
      <c r="B17" s="20" t="str">
        <f>Rates!B35</f>
        <v>$/kW</v>
      </c>
      <c r="C17" s="21">
        <f>Rates!D35</f>
        <v>2.0003000000000002</v>
      </c>
      <c r="D17" s="22">
        <f>Rates!F35</f>
        <v>1.9558</v>
      </c>
    </row>
    <row r="18" spans="1:10">
      <c r="A18" s="19" t="str">
        <f>Rates!A36</f>
        <v>Wholesale Market Service Rate</v>
      </c>
      <c r="B18" s="20" t="str">
        <f>Rates!B36</f>
        <v>$/kWh</v>
      </c>
      <c r="C18" s="21">
        <f>Rates!D36</f>
        <v>5.1999999999999998E-3</v>
      </c>
      <c r="D18" s="22">
        <f>Rates!F36</f>
        <v>5.1999999999999998E-3</v>
      </c>
    </row>
    <row r="19" spans="1:10">
      <c r="A19" s="19" t="str">
        <f>Rates!A37</f>
        <v>Rural Rate Protection Charge</v>
      </c>
      <c r="B19" s="20" t="str">
        <f>Rates!B37</f>
        <v>$/kWh</v>
      </c>
      <c r="C19" s="21">
        <f>Rates!D37</f>
        <v>1.1000000000000001E-3</v>
      </c>
      <c r="D19" s="22">
        <f>Rates!F37</f>
        <v>1.1000000000000001E-3</v>
      </c>
    </row>
    <row r="20" spans="1:10">
      <c r="A20" s="27" t="str">
        <f>Rates!A38</f>
        <v>Special Purpose Charge</v>
      </c>
      <c r="B20" s="28" t="str">
        <f>Rates!B38</f>
        <v>$/kWh</v>
      </c>
      <c r="C20" s="31">
        <f>Rates!D38</f>
        <v>0</v>
      </c>
      <c r="D20" s="32">
        <f>Rates!F38</f>
        <v>0</v>
      </c>
    </row>
    <row r="21" spans="1:10" ht="12.75" thickBot="1">
      <c r="A21" s="12" t="str">
        <f>Rates!A39</f>
        <v>Standard Supply Service - Administarive Charge (if applicable)</v>
      </c>
      <c r="B21" s="17" t="str">
        <f>Rates!B39</f>
        <v>$</v>
      </c>
      <c r="C21" s="18">
        <f>Rates!D39</f>
        <v>0.25</v>
      </c>
      <c r="D21" s="13">
        <f>Rates!F39</f>
        <v>0.25</v>
      </c>
    </row>
    <row r="23" spans="1:10" ht="12.75" thickBot="1"/>
    <row r="24" spans="1:10" ht="13.5" thickBot="1">
      <c r="A24" s="33" t="s">
        <v>26</v>
      </c>
      <c r="B24" s="34">
        <v>90000</v>
      </c>
      <c r="C24" s="35" t="s">
        <v>27</v>
      </c>
      <c r="D24" s="36">
        <v>225</v>
      </c>
      <c r="E24" s="35" t="s">
        <v>28</v>
      </c>
      <c r="G24" s="37" t="s">
        <v>23</v>
      </c>
      <c r="H24" s="53">
        <f>Rates!F87</f>
        <v>1.0864</v>
      </c>
    </row>
    <row r="25" spans="1:10" ht="13.5" thickBot="1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0.54824561403508776</v>
      </c>
    </row>
    <row r="26" spans="1:10" ht="12.75" thickBot="1"/>
    <row r="27" spans="1:10" ht="12.75" customHeight="1">
      <c r="A27" s="149" t="str">
        <f>A3</f>
        <v>Residential - R2</v>
      </c>
      <c r="B27" s="151" t="s">
        <v>31</v>
      </c>
      <c r="C27" s="49" t="s">
        <v>37</v>
      </c>
      <c r="D27" s="49" t="s">
        <v>38</v>
      </c>
      <c r="E27" s="151" t="s">
        <v>31</v>
      </c>
      <c r="F27" s="49" t="s">
        <v>37</v>
      </c>
      <c r="G27" s="49" t="s">
        <v>38</v>
      </c>
      <c r="H27" s="153" t="s">
        <v>44</v>
      </c>
      <c r="I27" s="153"/>
      <c r="J27" s="154"/>
    </row>
    <row r="28" spans="1:10" ht="12.75" thickBot="1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>
      <c r="A29" s="54" t="s">
        <v>35</v>
      </c>
      <c r="B29" s="55">
        <f>IF(B24*Rates!D87&gt;B25,B25,B24*Rates!D87)</f>
        <v>750</v>
      </c>
      <c r="C29" s="56">
        <f>Rates!D82</f>
        <v>7.4999999999999997E-2</v>
      </c>
      <c r="D29" s="57">
        <f>B29*C29</f>
        <v>56.25</v>
      </c>
      <c r="E29" s="55">
        <f>IF(B24*H24&gt;B25,B25,B24*H24)</f>
        <v>750</v>
      </c>
      <c r="F29" s="56">
        <f>Rates!F82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4.301773237649258E-3</v>
      </c>
    </row>
    <row r="30" spans="1:10" ht="12.75" thickBot="1">
      <c r="A30" s="63" t="s">
        <v>36</v>
      </c>
      <c r="B30" s="64">
        <f>IF(B24*Rates!D87&gt;=B25,B24*Rates!D87-B25,0)</f>
        <v>97026</v>
      </c>
      <c r="C30" s="65">
        <f>Rates!D83</f>
        <v>8.7999999999999995E-2</v>
      </c>
      <c r="D30" s="66">
        <f>B30*C30</f>
        <v>8538.2879999999986</v>
      </c>
      <c r="E30" s="64">
        <f>IF(B24*H24&gt;=B25,B24*H24-B25,0)</f>
        <v>97026</v>
      </c>
      <c r="F30" s="65">
        <f>Rates!F83</f>
        <v>8.7999999999999995E-2</v>
      </c>
      <c r="G30" s="66">
        <f>E30*F30</f>
        <v>8538.2879999999986</v>
      </c>
      <c r="H30" s="66">
        <f t="shared" si="0"/>
        <v>0</v>
      </c>
      <c r="I30" s="67">
        <f>IF(ISERROR(H30/D30),0,H30/D30)</f>
        <v>0</v>
      </c>
      <c r="J30" s="68">
        <f t="shared" si="1"/>
        <v>0.65297384557763205</v>
      </c>
    </row>
    <row r="31" spans="1:10" ht="12.75" thickBot="1">
      <c r="A31" s="73" t="s">
        <v>39</v>
      </c>
      <c r="B31" s="74"/>
      <c r="C31" s="75"/>
      <c r="D31" s="76">
        <f>SUM(D29:D30)</f>
        <v>8594.5379999999986</v>
      </c>
      <c r="E31" s="75"/>
      <c r="F31" s="75"/>
      <c r="G31" s="76">
        <f>SUM(G29:G30)</f>
        <v>8594.5379999999986</v>
      </c>
      <c r="H31" s="76">
        <f t="shared" si="0"/>
        <v>0</v>
      </c>
      <c r="I31" s="77">
        <f>IF(ISERROR(H31/D31),0,H31/D31)</f>
        <v>0</v>
      </c>
      <c r="J31" s="78">
        <f t="shared" si="1"/>
        <v>0.65727561881528129</v>
      </c>
    </row>
    <row r="32" spans="1:10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4.5588854443155129E-2</v>
      </c>
    </row>
    <row r="33" spans="1:10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>
      <c r="A34" s="61" t="str">
        <f t="shared" si="2"/>
        <v>Distribution Volumetric Rate</v>
      </c>
      <c r="B34" s="43">
        <f>D24</f>
        <v>225</v>
      </c>
      <c r="C34" s="40">
        <f t="shared" si="3"/>
        <v>2.7086000000000001</v>
      </c>
      <c r="D34" s="41">
        <f t="shared" si="4"/>
        <v>609.43500000000006</v>
      </c>
      <c r="E34" s="43">
        <f>D24</f>
        <v>225</v>
      </c>
      <c r="F34" s="40">
        <f t="shared" si="5"/>
        <v>2.8481999999999998</v>
      </c>
      <c r="G34" s="41">
        <f t="shared" si="6"/>
        <v>640.84499999999991</v>
      </c>
      <c r="H34" s="41">
        <f t="shared" si="0"/>
        <v>31.409999999999854</v>
      </c>
      <c r="I34" s="42">
        <f t="shared" ref="I34:I55" si="7">IF(ISERROR(H34/D34),0,H34/D34)</f>
        <v>5.1539540722144041E-2</v>
      </c>
      <c r="J34" s="62">
        <f t="shared" si="1"/>
        <v>4.9009242141890466E-2</v>
      </c>
    </row>
    <row r="35" spans="1:10">
      <c r="A35" s="61" t="str">
        <f t="shared" si="2"/>
        <v>Rate Rider for Foregone Revenue Recovery - effective until December 31, 2012</v>
      </c>
      <c r="B35" s="43">
        <f>D24</f>
        <v>225</v>
      </c>
      <c r="C35" s="40">
        <f t="shared" si="3"/>
        <v>2.7199999999999998E-2</v>
      </c>
      <c r="D35" s="41">
        <f t="shared" si="4"/>
        <v>6.1199999999999992</v>
      </c>
      <c r="E35" s="43">
        <f>D24</f>
        <v>225</v>
      </c>
      <c r="F35" s="40">
        <f t="shared" si="5"/>
        <v>0</v>
      </c>
      <c r="G35" s="41">
        <f>E35*F35</f>
        <v>0</v>
      </c>
      <c r="H35" s="41">
        <f>G35-D35</f>
        <v>-6.1199999999999992</v>
      </c>
      <c r="I35" s="42">
        <f>IF(ISERROR(H35/D35),0,H35/D35)</f>
        <v>-1</v>
      </c>
      <c r="J35" s="62">
        <f t="shared" si="1"/>
        <v>0</v>
      </c>
    </row>
    <row r="36" spans="1:10">
      <c r="A36" s="61" t="str">
        <f t="shared" si="2"/>
        <v>Rate Rider for Deferral/Variance Account Disposition - effective until May 31, 2013</v>
      </c>
      <c r="B36" s="43">
        <f>D24</f>
        <v>225</v>
      </c>
      <c r="C36" s="40">
        <f t="shared" si="3"/>
        <v>2.2664</v>
      </c>
      <c r="D36" s="41">
        <f t="shared" si="4"/>
        <v>509.94</v>
      </c>
      <c r="E36" s="43">
        <f>D24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3.8998155463233118E-2</v>
      </c>
    </row>
    <row r="37" spans="1:10">
      <c r="A37" s="61" t="str">
        <f t="shared" si="2"/>
        <v>Rate Rider for Deferral/Variance Account Disposition - effective until May 31, 2013</v>
      </c>
      <c r="B37" s="43">
        <f>D24</f>
        <v>225</v>
      </c>
      <c r="C37" s="40">
        <f t="shared" si="3"/>
        <v>-2.8218999999999999</v>
      </c>
      <c r="D37" s="41">
        <f t="shared" si="4"/>
        <v>-634.92750000000001</v>
      </c>
      <c r="E37" s="43">
        <f>D24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-4.855669559728977E-2</v>
      </c>
    </row>
    <row r="38" spans="1:10">
      <c r="A38" s="61" t="str">
        <f>A10</f>
        <v>Rate Rider for Deferral/Variance Account Disposition (2012) - effective until December 31, 2013</v>
      </c>
      <c r="B38" s="43">
        <f>D24</f>
        <v>225</v>
      </c>
      <c r="C38" s="40">
        <f>C10</f>
        <v>0</v>
      </c>
      <c r="D38" s="41">
        <f t="shared" si="4"/>
        <v>0</v>
      </c>
      <c r="E38" s="43">
        <f>D24</f>
        <v>225</v>
      </c>
      <c r="F38" s="40">
        <f>D10</f>
        <v>0.1096</v>
      </c>
      <c r="G38" s="41">
        <f>E38*F38</f>
        <v>24.66</v>
      </c>
      <c r="H38" s="41">
        <f>G38-D38</f>
        <v>24.66</v>
      </c>
      <c r="I38" s="42">
        <f>IF(ISERROR(H38/D38),0,H38/D38)</f>
        <v>0</v>
      </c>
      <c r="J38" s="62">
        <f t="shared" si="1"/>
        <v>1.8858973873854348E-3</v>
      </c>
    </row>
    <row r="39" spans="1:10">
      <c r="A39" s="61" t="str">
        <f>A11</f>
        <v>Rate Rider for Global Adjustment Sub-Account Disposition (2012) - effective until December 31, 2013</v>
      </c>
      <c r="B39" s="43">
        <f>D24</f>
        <v>225</v>
      </c>
      <c r="C39" s="40">
        <f>C11</f>
        <v>0</v>
      </c>
      <c r="D39" s="41">
        <f t="shared" si="4"/>
        <v>0</v>
      </c>
      <c r="E39" s="43">
        <f>D24</f>
        <v>225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>
      <c r="A40" s="61" t="str">
        <f>A12</f>
        <v>Rate Rider for PILs - effective until December 31, 2013</v>
      </c>
      <c r="B40" s="43">
        <f>D24</f>
        <v>225</v>
      </c>
      <c r="C40" s="40">
        <f>C12</f>
        <v>0</v>
      </c>
      <c r="D40" s="41">
        <f t="shared" si="4"/>
        <v>0</v>
      </c>
      <c r="E40" s="43">
        <f>D24</f>
        <v>225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>
      <c r="A41" s="61" t="str">
        <f t="shared" ref="A41" si="8">A13</f>
        <v>Rate Rider for Tax Changes - effective until December 31, 2012</v>
      </c>
      <c r="B41" s="43">
        <f>D24</f>
        <v>225</v>
      </c>
      <c r="C41" s="40">
        <f t="shared" ref="C41" si="9">C13</f>
        <v>-2.7300000000000001E-2</v>
      </c>
      <c r="D41" s="41">
        <f t="shared" si="4"/>
        <v>-6.1425000000000001</v>
      </c>
      <c r="E41" s="43">
        <f>D24</f>
        <v>225</v>
      </c>
      <c r="F41" s="40">
        <f t="shared" ref="F41" si="10">D13</f>
        <v>-0.02</v>
      </c>
      <c r="G41" s="41">
        <f t="shared" si="6"/>
        <v>-4.5</v>
      </c>
      <c r="H41" s="41">
        <f t="shared" si="0"/>
        <v>1.6425000000000001</v>
      </c>
      <c r="I41" s="42">
        <f t="shared" si="7"/>
        <v>-0.26739926739926739</v>
      </c>
      <c r="J41" s="62">
        <f t="shared" si="1"/>
        <v>-3.4414185901194069E-4</v>
      </c>
    </row>
    <row r="42" spans="1:10" ht="12.75" thickBot="1">
      <c r="A42" s="73" t="s">
        <v>40</v>
      </c>
      <c r="B42" s="74"/>
      <c r="C42" s="75"/>
      <c r="D42" s="80">
        <f>SUM(D32:D41)</f>
        <v>1081.5450000000001</v>
      </c>
      <c r="E42" s="75"/>
      <c r="F42" s="75"/>
      <c r="G42" s="76">
        <f>SUM(G32:G41)</f>
        <v>1132.1375</v>
      </c>
      <c r="H42" s="76">
        <f t="shared" si="0"/>
        <v>50.592499999999973</v>
      </c>
      <c r="I42" s="77">
        <f t="shared" si="7"/>
        <v>4.6777988895515182E-2</v>
      </c>
      <c r="J42" s="78">
        <f t="shared" si="1"/>
        <v>8.6581311979362446E-2</v>
      </c>
    </row>
    <row r="43" spans="1:10">
      <c r="A43" s="69" t="str">
        <f>A14</f>
        <v>Retail Transmission Rate - Network Service Rate</v>
      </c>
      <c r="B43" s="44">
        <f>D24*Rates!D87</f>
        <v>244.44</v>
      </c>
      <c r="C43" s="45">
        <f>C14</f>
        <v>2.6396000000000002</v>
      </c>
      <c r="D43" s="47">
        <f>B43*C43</f>
        <v>645.22382400000004</v>
      </c>
      <c r="E43" s="44">
        <f>D24*H24</f>
        <v>244.44</v>
      </c>
      <c r="F43" s="45">
        <f>D14</f>
        <v>2.5209000000000001</v>
      </c>
      <c r="G43" s="47">
        <f>E43*F43</f>
        <v>616.20879600000001</v>
      </c>
      <c r="H43" s="47">
        <f t="shared" si="0"/>
        <v>-29.015028000000029</v>
      </c>
      <c r="I43" s="48">
        <f t="shared" si="7"/>
        <v>-4.4968934687073844E-2</v>
      </c>
      <c r="J43" s="72">
        <f t="shared" si="1"/>
        <v>4.7125164576655491E-2</v>
      </c>
    </row>
    <row r="44" spans="1:10" ht="12.75" thickBot="1">
      <c r="A44" s="63" t="str">
        <f>A15</f>
        <v>Retail Transmission Rate - Line and Transformation Connection Service Rate</v>
      </c>
      <c r="B44" s="64">
        <f>D24*Rates!D87</f>
        <v>244.44</v>
      </c>
      <c r="C44" s="65">
        <f>C15</f>
        <v>1.8099000000000001</v>
      </c>
      <c r="D44" s="66">
        <f>B44*C44</f>
        <v>442.41195600000003</v>
      </c>
      <c r="E44" s="64">
        <f>D24*H24</f>
        <v>244.44</v>
      </c>
      <c r="F44" s="65">
        <f>D15</f>
        <v>1.7696000000000001</v>
      </c>
      <c r="G44" s="66">
        <f>E44*F44</f>
        <v>432.56102400000003</v>
      </c>
      <c r="H44" s="66">
        <f t="shared" si="0"/>
        <v>-9.8509320000000002</v>
      </c>
      <c r="I44" s="67">
        <f t="shared" si="7"/>
        <v>-2.226642355931267E-2</v>
      </c>
      <c r="J44" s="68">
        <f t="shared" si="1"/>
        <v>3.3080523318993041E-2</v>
      </c>
    </row>
    <row r="45" spans="1:10" ht="12.75" thickBot="1">
      <c r="A45" s="73" t="s">
        <v>32</v>
      </c>
      <c r="B45" s="74"/>
      <c r="C45" s="75"/>
      <c r="D45" s="76">
        <f>SUM(D43:D44)</f>
        <v>1087.6357800000001</v>
      </c>
      <c r="E45" s="75"/>
      <c r="F45" s="75"/>
      <c r="G45" s="76">
        <f>SUM(G43:G44)</f>
        <v>1048.76982</v>
      </c>
      <c r="H45" s="76">
        <f t="shared" si="0"/>
        <v>-38.865960000000086</v>
      </c>
      <c r="I45" s="77">
        <f t="shared" si="7"/>
        <v>-3.5734352174401698E-2</v>
      </c>
      <c r="J45" s="78">
        <f t="shared" si="1"/>
        <v>8.0205687895648525E-2</v>
      </c>
    </row>
    <row r="46" spans="1:10" ht="12.75" thickBot="1">
      <c r="A46" s="81" t="s">
        <v>41</v>
      </c>
      <c r="B46" s="82"/>
      <c r="C46" s="83"/>
      <c r="D46" s="84">
        <f>D42+D45</f>
        <v>2169.1807800000001</v>
      </c>
      <c r="E46" s="83"/>
      <c r="F46" s="83"/>
      <c r="G46" s="84">
        <f>G42+G45</f>
        <v>2180.9073200000003</v>
      </c>
      <c r="H46" s="84">
        <f t="shared" si="0"/>
        <v>11.726540000000114</v>
      </c>
      <c r="I46" s="85">
        <f t="shared" si="7"/>
        <v>5.405976352049419E-3</v>
      </c>
      <c r="J46" s="86">
        <f t="shared" si="1"/>
        <v>0.166786999875011</v>
      </c>
    </row>
    <row r="47" spans="1:10">
      <c r="A47" s="69" t="str">
        <f>A18</f>
        <v>Wholesale Market Service Rate</v>
      </c>
      <c r="B47" s="44">
        <f>B24*Rates!D87</f>
        <v>97776</v>
      </c>
      <c r="C47" s="45">
        <f>C18</f>
        <v>5.1999999999999998E-3</v>
      </c>
      <c r="D47" s="47">
        <f>B47*C47</f>
        <v>508.43519999999995</v>
      </c>
      <c r="E47" s="44">
        <f>B24*H24</f>
        <v>97776</v>
      </c>
      <c r="F47" s="45">
        <f>D18</f>
        <v>5.1999999999999998E-3</v>
      </c>
      <c r="G47" s="47">
        <f>E47*F47</f>
        <v>508.43519999999995</v>
      </c>
      <c r="H47" s="47">
        <f t="shared" si="0"/>
        <v>0</v>
      </c>
      <c r="I47" s="48">
        <f t="shared" si="7"/>
        <v>0</v>
      </c>
      <c r="J47" s="72">
        <f t="shared" si="1"/>
        <v>3.888307442557952E-2</v>
      </c>
    </row>
    <row r="48" spans="1:10">
      <c r="A48" s="61" t="str">
        <f>A19</f>
        <v>Rural Rate Protection Charge</v>
      </c>
      <c r="B48" s="39">
        <f>B24*Rates!D87</f>
        <v>97776</v>
      </c>
      <c r="C48" s="40">
        <f>C19</f>
        <v>1.1000000000000001E-3</v>
      </c>
      <c r="D48" s="41">
        <f>B48*C48</f>
        <v>107.5536</v>
      </c>
      <c r="E48" s="39">
        <f>B24*H24</f>
        <v>97776</v>
      </c>
      <c r="F48" s="40">
        <f>D19</f>
        <v>1.1000000000000001E-3</v>
      </c>
      <c r="G48" s="41">
        <f>E48*F48</f>
        <v>107.5536</v>
      </c>
      <c r="H48" s="41">
        <f t="shared" si="0"/>
        <v>0</v>
      </c>
      <c r="I48" s="42">
        <f t="shared" si="7"/>
        <v>0</v>
      </c>
      <c r="J48" s="62">
        <f t="shared" si="1"/>
        <v>8.225265743872591E-3</v>
      </c>
    </row>
    <row r="49" spans="1:10">
      <c r="A49" s="63" t="s">
        <v>45</v>
      </c>
      <c r="B49" s="64">
        <f>B24*Rates!D87</f>
        <v>97776</v>
      </c>
      <c r="C49" s="65">
        <f>Rates!D38</f>
        <v>0</v>
      </c>
      <c r="D49" s="66">
        <f>B49*C49</f>
        <v>0</v>
      </c>
      <c r="E49" s="64">
        <f>B24*Rates!F87</f>
        <v>97776</v>
      </c>
      <c r="F49" s="65">
        <f>Rates!F38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1.9118992167330037E-5</v>
      </c>
    </row>
    <row r="51" spans="1:10" ht="12.75" thickBot="1">
      <c r="A51" s="73" t="s">
        <v>42</v>
      </c>
      <c r="B51" s="74"/>
      <c r="C51" s="75"/>
      <c r="D51" s="76">
        <f>SUM(D47:D50)</f>
        <v>616.23879999999997</v>
      </c>
      <c r="E51" s="75"/>
      <c r="F51" s="75"/>
      <c r="G51" s="76">
        <f>SUM(G47:G50)</f>
        <v>616.23879999999997</v>
      </c>
      <c r="H51" s="76">
        <f t="shared" si="0"/>
        <v>0</v>
      </c>
      <c r="I51" s="77">
        <f t="shared" si="7"/>
        <v>0</v>
      </c>
      <c r="J51" s="78">
        <f t="shared" si="1"/>
        <v>4.7127459161619444E-2</v>
      </c>
    </row>
    <row r="52" spans="1:10" ht="12.75" thickBot="1">
      <c r="A52" s="87" t="s">
        <v>19</v>
      </c>
      <c r="B52" s="88">
        <f>B24</f>
        <v>90000</v>
      </c>
      <c r="C52" s="89">
        <f>Rates!D81</f>
        <v>2E-3</v>
      </c>
      <c r="D52" s="90">
        <f>B52*C52</f>
        <v>180</v>
      </c>
      <c r="E52" s="88">
        <f>B24</f>
        <v>90000</v>
      </c>
      <c r="F52" s="89">
        <f>Rates!F81</f>
        <v>2E-3</v>
      </c>
      <c r="G52" s="90">
        <f>E52*F52</f>
        <v>180</v>
      </c>
      <c r="H52" s="90">
        <f t="shared" si="0"/>
        <v>0</v>
      </c>
      <c r="I52" s="91">
        <f t="shared" si="7"/>
        <v>0</v>
      </c>
      <c r="J52" s="92">
        <f t="shared" si="1"/>
        <v>1.3765674360477627E-2</v>
      </c>
    </row>
    <row r="53" spans="1:10" ht="12.75" thickBot="1">
      <c r="A53" s="73" t="s">
        <v>43</v>
      </c>
      <c r="B53" s="74"/>
      <c r="C53" s="75"/>
      <c r="D53" s="76">
        <f>D31+D46+D51+D52</f>
        <v>11559.957579999998</v>
      </c>
      <c r="E53" s="75"/>
      <c r="F53" s="75"/>
      <c r="G53" s="76">
        <f>G31+G46+G51+G52</f>
        <v>11571.684119999998</v>
      </c>
      <c r="H53" s="76">
        <f t="shared" si="0"/>
        <v>11.726539999999659</v>
      </c>
      <c r="I53" s="77">
        <f t="shared" si="7"/>
        <v>1.0144102968239145E-3</v>
      </c>
      <c r="J53" s="78">
        <f t="shared" si="1"/>
        <v>0.88495575221238931</v>
      </c>
    </row>
    <row r="54" spans="1:10" ht="12.75" thickBot="1">
      <c r="A54" s="93" t="s">
        <v>46</v>
      </c>
      <c r="B54" s="94"/>
      <c r="C54" s="95">
        <f>Rates!D88</f>
        <v>0.13</v>
      </c>
      <c r="D54" s="90">
        <f>C54*D53</f>
        <v>1502.7944853999998</v>
      </c>
      <c r="E54" s="96"/>
      <c r="F54" s="95">
        <f>Rates!F88</f>
        <v>0.13</v>
      </c>
      <c r="G54" s="90">
        <f>F54*G53</f>
        <v>1504.3189355999998</v>
      </c>
      <c r="H54" s="90">
        <f t="shared" si="0"/>
        <v>1.5244502000000466</v>
      </c>
      <c r="I54" s="91">
        <f t="shared" si="7"/>
        <v>1.014410296823975E-3</v>
      </c>
      <c r="J54" s="92">
        <f t="shared" si="1"/>
        <v>0.11504424778761062</v>
      </c>
    </row>
    <row r="55" spans="1:10" ht="12.75" thickBot="1">
      <c r="A55" s="81" t="s">
        <v>33</v>
      </c>
      <c r="B55" s="82"/>
      <c r="C55" s="83"/>
      <c r="D55" s="104">
        <f>D53+D54</f>
        <v>13062.752065399998</v>
      </c>
      <c r="E55" s="83"/>
      <c r="F55" s="83"/>
      <c r="G55" s="104">
        <f>G53+G54</f>
        <v>13076.003055599998</v>
      </c>
      <c r="H55" s="104">
        <f t="shared" si="0"/>
        <v>13.25099020000016</v>
      </c>
      <c r="I55" s="85">
        <f t="shared" si="7"/>
        <v>1.0144102968239564E-3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5"/>
  <sheetViews>
    <sheetView view="pageLayout" zoomScaleNormal="100" workbookViewId="0">
      <selection activeCell="G6" sqref="G6"/>
    </sheetView>
  </sheetViews>
  <sheetFormatPr defaultRowHeight="1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Rates!A21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Rates!A22</f>
        <v>Monthly Service Charge</v>
      </c>
      <c r="B4" s="24" t="str">
        <f>Rates!B22</f>
        <v>$</v>
      </c>
      <c r="C4" s="25">
        <f>Rates!D22</f>
        <v>596.12</v>
      </c>
      <c r="D4" s="26">
        <f>Rates!F22</f>
        <v>596.12</v>
      </c>
    </row>
    <row r="5" spans="1:4">
      <c r="A5" s="27" t="str">
        <f>Rates!A23</f>
        <v>Smart Meter Rate Adder</v>
      </c>
      <c r="B5" s="28" t="str">
        <f>Rates!B23</f>
        <v>$</v>
      </c>
      <c r="C5" s="29">
        <f>Rates!D23</f>
        <v>1</v>
      </c>
      <c r="D5" s="30">
        <f>Rates!F23</f>
        <v>0</v>
      </c>
    </row>
    <row r="6" spans="1:4">
      <c r="A6" s="27" t="str">
        <f>Rates!A24</f>
        <v>Distribution Volumetric Rate</v>
      </c>
      <c r="B6" s="28" t="str">
        <f>Rates!B24</f>
        <v>$/kW</v>
      </c>
      <c r="C6" s="31">
        <f>Rates!D24</f>
        <v>2.7086000000000001</v>
      </c>
      <c r="D6" s="32">
        <f>Rates!F24</f>
        <v>2.8481999999999998</v>
      </c>
    </row>
    <row r="7" spans="1:4">
      <c r="A7" s="27" t="str">
        <f>Rates!A25</f>
        <v>Rate Rider for Foregone Revenue Recovery - effective until December 31, 2012</v>
      </c>
      <c r="B7" s="28" t="str">
        <f>Rates!B25</f>
        <v>$/kW</v>
      </c>
      <c r="C7" s="31">
        <f>Rates!D25</f>
        <v>2.7199999999999998E-2</v>
      </c>
      <c r="D7" s="32">
        <f>Rates!F25</f>
        <v>0</v>
      </c>
    </row>
    <row r="8" spans="1:4">
      <c r="A8" s="27" t="str">
        <f>Rates!A26</f>
        <v>Rate Rider for Deferral/Variance Account Disposition - effective until May 31, 2013</v>
      </c>
      <c r="B8" s="28" t="str">
        <f>Rates!B26</f>
        <v>$/kW</v>
      </c>
      <c r="C8" s="31">
        <f>Rates!D26</f>
        <v>2.2664</v>
      </c>
      <c r="D8" s="32">
        <f>Rates!F26</f>
        <v>2.2664</v>
      </c>
    </row>
    <row r="9" spans="1:4">
      <c r="A9" s="27" t="str">
        <f>Rates!A27</f>
        <v>Rate Rider for Deferral/Variance Account Disposition - effective until May 31, 2013</v>
      </c>
      <c r="B9" s="28" t="str">
        <f>Rates!B27</f>
        <v>$/kW</v>
      </c>
      <c r="C9" s="31">
        <f>Rates!D27</f>
        <v>-2.8218999999999999</v>
      </c>
      <c r="D9" s="32">
        <f>Rates!F27</f>
        <v>-2.8218999999999999</v>
      </c>
    </row>
    <row r="10" spans="1:4">
      <c r="A10" s="27" t="str">
        <f>Rates!A28</f>
        <v>Rate Rider for Deferral/Variance Account Disposition (2012) - effective until December 31, 2013</v>
      </c>
      <c r="B10" s="28" t="str">
        <f>Rates!B28</f>
        <v>$/kW</v>
      </c>
      <c r="C10" s="31">
        <f>Rates!D28</f>
        <v>0</v>
      </c>
      <c r="D10" s="32">
        <f>Rates!F28</f>
        <v>0.1096</v>
      </c>
    </row>
    <row r="11" spans="1:4">
      <c r="A11" s="27" t="str">
        <f>Rates!A29</f>
        <v>Rate Rider for Global Adjustment Sub-Account Disposition (2012) - effective until December 31, 2013</v>
      </c>
      <c r="B11" s="28" t="str">
        <f>Rates!B29</f>
        <v>$/kW</v>
      </c>
      <c r="C11" s="31">
        <f>Rates!D29</f>
        <v>0</v>
      </c>
      <c r="D11" s="32">
        <f>Rates!F29</f>
        <v>0.46450000000000002</v>
      </c>
    </row>
    <row r="12" spans="1:4">
      <c r="A12" s="27" t="str">
        <f>Rates!A30</f>
        <v>Rate Rider for PILs - effective until December 31, 2013</v>
      </c>
      <c r="B12" s="28" t="str">
        <f>Rates!B30</f>
        <v>$/kW</v>
      </c>
      <c r="C12" s="31">
        <f>Rates!D30</f>
        <v>0</v>
      </c>
      <c r="D12" s="32">
        <f>Rates!F30</f>
        <v>0</v>
      </c>
    </row>
    <row r="13" spans="1:4">
      <c r="A13" s="27" t="str">
        <f>Rates!A31</f>
        <v>Rate Rider for Tax Changes - effective until December 31, 2012</v>
      </c>
      <c r="B13" s="28" t="str">
        <f>Rates!B31</f>
        <v>$/kW</v>
      </c>
      <c r="C13" s="31">
        <f>Rates!D31</f>
        <v>-2.7300000000000001E-2</v>
      </c>
      <c r="D13" s="32">
        <f>Rates!F31</f>
        <v>-0.02</v>
      </c>
    </row>
    <row r="14" spans="1:4">
      <c r="A14" s="27" t="str">
        <f>Rates!A32</f>
        <v>Retail Transmission Rate - Network Service Rate</v>
      </c>
      <c r="B14" s="28" t="str">
        <f>Rates!B32</f>
        <v>$/kW</v>
      </c>
      <c r="C14" s="31">
        <f>Rates!D32</f>
        <v>2.6396000000000002</v>
      </c>
      <c r="D14" s="32">
        <f>Rates!F32</f>
        <v>2.5209000000000001</v>
      </c>
    </row>
    <row r="15" spans="1:4">
      <c r="A15" s="27" t="str">
        <f>Rates!A33</f>
        <v>Retail Transmission Rate - Line and Transformation Connection Service Rate</v>
      </c>
      <c r="B15" s="28" t="str">
        <f>Rates!B33</f>
        <v>$/kW</v>
      </c>
      <c r="C15" s="31">
        <f>Rates!D33</f>
        <v>1.8099000000000001</v>
      </c>
      <c r="D15" s="32">
        <f>Rates!F33</f>
        <v>1.7696000000000001</v>
      </c>
    </row>
    <row r="16" spans="1:4">
      <c r="A16" s="19" t="str">
        <f>Rates!A34</f>
        <v>Retail Transmission Rate - Network Service Rate - Interval Meter &gt; 1,000 kW</v>
      </c>
      <c r="B16" s="20" t="str">
        <f>Rates!B34</f>
        <v>$/kW</v>
      </c>
      <c r="C16" s="21">
        <f>Rates!D34</f>
        <v>2.8001</v>
      </c>
      <c r="D16" s="22">
        <f>Rates!F34</f>
        <v>2.6741999999999999</v>
      </c>
    </row>
    <row r="17" spans="1:10">
      <c r="A17" s="19" t="str">
        <f>Rates!A35</f>
        <v>Retail Transmission Rate - Line and Transformation Connection Service Rate - Interval &gt; 1,000 kW</v>
      </c>
      <c r="B17" s="20" t="str">
        <f>Rates!B35</f>
        <v>$/kW</v>
      </c>
      <c r="C17" s="21">
        <f>Rates!D35</f>
        <v>2.0003000000000002</v>
      </c>
      <c r="D17" s="22">
        <f>Rates!F35</f>
        <v>1.9558</v>
      </c>
    </row>
    <row r="18" spans="1:10">
      <c r="A18" s="19" t="str">
        <f>Rates!A36</f>
        <v>Wholesale Market Service Rate</v>
      </c>
      <c r="B18" s="20" t="str">
        <f>Rates!B36</f>
        <v>$/kWh</v>
      </c>
      <c r="C18" s="21">
        <f>Rates!D36</f>
        <v>5.1999999999999998E-3</v>
      </c>
      <c r="D18" s="22">
        <f>Rates!F36</f>
        <v>5.1999999999999998E-3</v>
      </c>
    </row>
    <row r="19" spans="1:10">
      <c r="A19" s="19" t="str">
        <f>Rates!A37</f>
        <v>Rural Rate Protection Charge</v>
      </c>
      <c r="B19" s="20" t="str">
        <f>Rates!B37</f>
        <v>$/kWh</v>
      </c>
      <c r="C19" s="21">
        <f>Rates!D37</f>
        <v>1.1000000000000001E-3</v>
      </c>
      <c r="D19" s="22">
        <f>Rates!F37</f>
        <v>1.1000000000000001E-3</v>
      </c>
    </row>
    <row r="20" spans="1:10">
      <c r="A20" s="27" t="str">
        <f>Rates!A38</f>
        <v>Special Purpose Charge</v>
      </c>
      <c r="B20" s="28" t="str">
        <f>Rates!B38</f>
        <v>$/kWh</v>
      </c>
      <c r="C20" s="31">
        <f>Rates!D38</f>
        <v>0</v>
      </c>
      <c r="D20" s="32">
        <f>Rates!F38</f>
        <v>0</v>
      </c>
    </row>
    <row r="21" spans="1:10" ht="12.75" thickBot="1">
      <c r="A21" s="12" t="str">
        <f>Rates!A39</f>
        <v>Standard Supply Service - Administarive Charge (if applicable)</v>
      </c>
      <c r="B21" s="17" t="str">
        <f>Rates!B39</f>
        <v>$</v>
      </c>
      <c r="C21" s="18">
        <f>Rates!D39</f>
        <v>0.25</v>
      </c>
      <c r="D21" s="13">
        <f>Rates!F39</f>
        <v>0.25</v>
      </c>
    </row>
    <row r="23" spans="1:10" ht="12.75" thickBot="1"/>
    <row r="24" spans="1:10" ht="13.5" thickBot="1">
      <c r="A24" s="33" t="s">
        <v>26</v>
      </c>
      <c r="B24" s="34">
        <v>90000</v>
      </c>
      <c r="C24" s="35" t="s">
        <v>27</v>
      </c>
      <c r="D24" s="36">
        <v>225</v>
      </c>
      <c r="E24" s="35" t="s">
        <v>28</v>
      </c>
      <c r="G24" s="37" t="s">
        <v>23</v>
      </c>
      <c r="H24" s="53">
        <f>Rates!F87</f>
        <v>1.0864</v>
      </c>
    </row>
    <row r="25" spans="1:10" ht="13.5" thickBot="1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0.54824561403508776</v>
      </c>
    </row>
    <row r="26" spans="1:10" ht="12.75" thickBot="1"/>
    <row r="27" spans="1:10" ht="12.75" customHeight="1">
      <c r="A27" s="149" t="str">
        <f>A3</f>
        <v>Residential - R2</v>
      </c>
      <c r="B27" s="151" t="s">
        <v>31</v>
      </c>
      <c r="C27" s="146" t="s">
        <v>37</v>
      </c>
      <c r="D27" s="146" t="s">
        <v>38</v>
      </c>
      <c r="E27" s="151" t="s">
        <v>31</v>
      </c>
      <c r="F27" s="146" t="s">
        <v>37</v>
      </c>
      <c r="G27" s="146" t="s">
        <v>38</v>
      </c>
      <c r="H27" s="153" t="s">
        <v>44</v>
      </c>
      <c r="I27" s="153"/>
      <c r="J27" s="154"/>
    </row>
    <row r="28" spans="1:10" ht="12.75" thickBot="1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>
      <c r="A29" s="54" t="s">
        <v>35</v>
      </c>
      <c r="B29" s="55">
        <f>IF(B24*Rates!D87&gt;B25,B25,B24*Rates!D87)</f>
        <v>750</v>
      </c>
      <c r="C29" s="56">
        <f>Rates!D82</f>
        <v>7.4999999999999997E-2</v>
      </c>
      <c r="D29" s="57">
        <f>B29*C29</f>
        <v>56.25</v>
      </c>
      <c r="E29" s="55">
        <f>IF(B24*H24&gt;B25,B25,B24*H24)</f>
        <v>750</v>
      </c>
      <c r="F29" s="56">
        <f>Rates!F82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4.2632684839069542E-3</v>
      </c>
    </row>
    <row r="30" spans="1:10" ht="12.75" thickBot="1">
      <c r="A30" s="63" t="s">
        <v>36</v>
      </c>
      <c r="B30" s="64">
        <f>IF(B24*Rates!D87&gt;=B25,B24*Rates!D87-B25,0)</f>
        <v>97026</v>
      </c>
      <c r="C30" s="65">
        <f>Rates!D83</f>
        <v>8.7999999999999995E-2</v>
      </c>
      <c r="D30" s="66">
        <f>B30*C30</f>
        <v>8538.2879999999986</v>
      </c>
      <c r="E30" s="64">
        <f>IF(B24*H24&gt;=B25,B24*H24-B25,0)</f>
        <v>97026</v>
      </c>
      <c r="F30" s="65">
        <f>Rates!F83</f>
        <v>8.7999999999999995E-2</v>
      </c>
      <c r="G30" s="66">
        <f>E30*F30</f>
        <v>8538.2879999999986</v>
      </c>
      <c r="H30" s="66">
        <f t="shared" si="0"/>
        <v>0</v>
      </c>
      <c r="I30" s="67">
        <f>IF(ISERROR(H30/D30),0,H30/D30)</f>
        <v>0</v>
      </c>
      <c r="J30" s="68">
        <f t="shared" si="1"/>
        <v>0.6471291402119278</v>
      </c>
    </row>
    <row r="31" spans="1:10" ht="12.75" thickBot="1">
      <c r="A31" s="73" t="s">
        <v>39</v>
      </c>
      <c r="B31" s="74"/>
      <c r="C31" s="75"/>
      <c r="D31" s="76">
        <f>SUM(D29:D30)</f>
        <v>8594.5379999999986</v>
      </c>
      <c r="E31" s="75"/>
      <c r="F31" s="75"/>
      <c r="G31" s="76">
        <f>SUM(G29:G30)</f>
        <v>8594.5379999999986</v>
      </c>
      <c r="H31" s="76">
        <f t="shared" si="0"/>
        <v>0</v>
      </c>
      <c r="I31" s="77">
        <f>IF(ISERROR(H31/D31),0,H31/D31)</f>
        <v>0</v>
      </c>
      <c r="J31" s="78">
        <f t="shared" si="1"/>
        <v>0.6513924086958347</v>
      </c>
    </row>
    <row r="32" spans="1:10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4.5180793042250908E-2</v>
      </c>
    </row>
    <row r="33" spans="1:10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>
      <c r="A34" s="61" t="str">
        <f t="shared" si="2"/>
        <v>Distribution Volumetric Rate</v>
      </c>
      <c r="B34" s="43">
        <f>D24</f>
        <v>225</v>
      </c>
      <c r="C34" s="40">
        <f t="shared" si="3"/>
        <v>2.7086000000000001</v>
      </c>
      <c r="D34" s="41">
        <f t="shared" si="4"/>
        <v>609.43500000000006</v>
      </c>
      <c r="E34" s="43">
        <f>D24</f>
        <v>225</v>
      </c>
      <c r="F34" s="40">
        <f t="shared" si="5"/>
        <v>2.8481999999999998</v>
      </c>
      <c r="G34" s="41">
        <f t="shared" si="6"/>
        <v>640.84499999999991</v>
      </c>
      <c r="H34" s="41">
        <f t="shared" si="0"/>
        <v>31.409999999999854</v>
      </c>
      <c r="I34" s="42">
        <f t="shared" ref="I34:I55" si="7">IF(ISERROR(H34/D34),0,H34/D34)</f>
        <v>5.1539540722144041E-2</v>
      </c>
      <c r="J34" s="62">
        <f t="shared" si="1"/>
        <v>4.8570565183455143E-2</v>
      </c>
    </row>
    <row r="35" spans="1:10">
      <c r="A35" s="61" t="str">
        <f t="shared" si="2"/>
        <v>Rate Rider for Foregone Revenue Recovery - effective until December 31, 2012</v>
      </c>
      <c r="B35" s="43">
        <f>D24</f>
        <v>225</v>
      </c>
      <c r="C35" s="40">
        <f t="shared" si="3"/>
        <v>2.7199999999999998E-2</v>
      </c>
      <c r="D35" s="41">
        <f t="shared" si="4"/>
        <v>6.1199999999999992</v>
      </c>
      <c r="E35" s="43">
        <f>D24</f>
        <v>225</v>
      </c>
      <c r="F35" s="40">
        <f t="shared" si="5"/>
        <v>0</v>
      </c>
      <c r="G35" s="41">
        <f>E35*F35</f>
        <v>0</v>
      </c>
      <c r="H35" s="41">
        <f>G35-D35</f>
        <v>-6.1199999999999992</v>
      </c>
      <c r="I35" s="42">
        <f>IF(ISERROR(H35/D35),0,H35/D35)</f>
        <v>-1</v>
      </c>
      <c r="J35" s="62">
        <f t="shared" si="1"/>
        <v>0</v>
      </c>
    </row>
    <row r="36" spans="1:10">
      <c r="A36" s="61" t="str">
        <f t="shared" si="2"/>
        <v>Rate Rider for Deferral/Variance Account Disposition - effective until May 31, 2013</v>
      </c>
      <c r="B36" s="43">
        <f>D24</f>
        <v>225</v>
      </c>
      <c r="C36" s="40">
        <f t="shared" si="3"/>
        <v>2.2664</v>
      </c>
      <c r="D36" s="41">
        <f t="shared" si="4"/>
        <v>509.94</v>
      </c>
      <c r="E36" s="43">
        <f>D24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3.8649086767706883E-2</v>
      </c>
    </row>
    <row r="37" spans="1:10">
      <c r="A37" s="61" t="str">
        <f t="shared" si="2"/>
        <v>Rate Rider for Deferral/Variance Account Disposition - effective until May 31, 2013</v>
      </c>
      <c r="B37" s="43">
        <f>D24</f>
        <v>225</v>
      </c>
      <c r="C37" s="40">
        <f t="shared" si="3"/>
        <v>-2.8218999999999999</v>
      </c>
      <c r="D37" s="41">
        <f t="shared" si="4"/>
        <v>-634.92750000000001</v>
      </c>
      <c r="E37" s="43">
        <f>D24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-4.8122069338948137E-2</v>
      </c>
    </row>
    <row r="38" spans="1:10">
      <c r="A38" s="61" t="str">
        <f>A10</f>
        <v>Rate Rider for Deferral/Variance Account Disposition (2012) - effective until December 31, 2013</v>
      </c>
      <c r="B38" s="43">
        <f>D24</f>
        <v>225</v>
      </c>
      <c r="C38" s="40">
        <f>C10</f>
        <v>0</v>
      </c>
      <c r="D38" s="41">
        <f t="shared" si="4"/>
        <v>0</v>
      </c>
      <c r="E38" s="43">
        <f>D24</f>
        <v>225</v>
      </c>
      <c r="F38" s="40">
        <f>D10</f>
        <v>0.1096</v>
      </c>
      <c r="G38" s="41">
        <f>E38*F38</f>
        <v>24.66</v>
      </c>
      <c r="H38" s="41">
        <f>G38-D38</f>
        <v>24.66</v>
      </c>
      <c r="I38" s="42">
        <f>IF(ISERROR(H38/D38),0,H38/D38)</f>
        <v>0</v>
      </c>
      <c r="J38" s="62">
        <f t="shared" si="1"/>
        <v>1.8690169033448089E-3</v>
      </c>
    </row>
    <row r="39" spans="1:10">
      <c r="A39" s="61" t="str">
        <f>A11</f>
        <v>Rate Rider for Global Adjustment Sub-Account Disposition (2012) - effective until December 31, 2013</v>
      </c>
      <c r="B39" s="43">
        <f>D24</f>
        <v>225</v>
      </c>
      <c r="C39" s="40">
        <f>C11</f>
        <v>0</v>
      </c>
      <c r="D39" s="41">
        <f t="shared" si="4"/>
        <v>0</v>
      </c>
      <c r="E39" s="43">
        <f>D24</f>
        <v>225</v>
      </c>
      <c r="F39" s="40">
        <f>D11</f>
        <v>0.46450000000000002</v>
      </c>
      <c r="G39" s="41">
        <f>E39*F39</f>
        <v>104.5125</v>
      </c>
      <c r="H39" s="41">
        <f>G39-D39</f>
        <v>104.5125</v>
      </c>
      <c r="I39" s="42">
        <f>IF(ISERROR(H39/D39),0,H39/D39)</f>
        <v>0</v>
      </c>
      <c r="J39" s="62">
        <f t="shared" si="1"/>
        <v>7.9211528430991225E-3</v>
      </c>
    </row>
    <row r="40" spans="1:10">
      <c r="A40" s="61" t="str">
        <f>A12</f>
        <v>Rate Rider for PILs - effective until December 31, 2013</v>
      </c>
      <c r="B40" s="43">
        <f>D24</f>
        <v>225</v>
      </c>
      <c r="C40" s="40">
        <f>C12</f>
        <v>0</v>
      </c>
      <c r="D40" s="41">
        <f t="shared" si="4"/>
        <v>0</v>
      </c>
      <c r="E40" s="43">
        <f>D24</f>
        <v>225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>
      <c r="A41" s="61" t="str">
        <f t="shared" ref="A41" si="8">A13</f>
        <v>Rate Rider for Tax Changes - effective until December 31, 2012</v>
      </c>
      <c r="B41" s="43">
        <f>D24</f>
        <v>225</v>
      </c>
      <c r="C41" s="40">
        <f t="shared" ref="C41" si="9">C13</f>
        <v>-2.7300000000000001E-2</v>
      </c>
      <c r="D41" s="41">
        <f t="shared" si="4"/>
        <v>-6.1425000000000001</v>
      </c>
      <c r="E41" s="43">
        <f>D24</f>
        <v>225</v>
      </c>
      <c r="F41" s="40">
        <f t="shared" ref="F41" si="10">D13</f>
        <v>-0.02</v>
      </c>
      <c r="G41" s="41">
        <f t="shared" si="6"/>
        <v>-4.5</v>
      </c>
      <c r="H41" s="41">
        <f t="shared" si="0"/>
        <v>1.6425000000000001</v>
      </c>
      <c r="I41" s="42">
        <f t="shared" si="7"/>
        <v>-0.26739926739926739</v>
      </c>
      <c r="J41" s="62">
        <f t="shared" si="1"/>
        <v>-3.4106147871255634E-4</v>
      </c>
    </row>
    <row r="42" spans="1:10" ht="12.75" thickBot="1">
      <c r="A42" s="73" t="s">
        <v>40</v>
      </c>
      <c r="B42" s="74"/>
      <c r="C42" s="75"/>
      <c r="D42" s="80">
        <f>SUM(D32:D41)</f>
        <v>1081.5450000000001</v>
      </c>
      <c r="E42" s="75"/>
      <c r="F42" s="75"/>
      <c r="G42" s="76">
        <f>SUM(G32:G41)</f>
        <v>1236.6500000000001</v>
      </c>
      <c r="H42" s="76">
        <f t="shared" si="0"/>
        <v>155.10500000000002</v>
      </c>
      <c r="I42" s="77">
        <f t="shared" si="7"/>
        <v>0.14341058393316969</v>
      </c>
      <c r="J42" s="78">
        <f t="shared" si="1"/>
        <v>9.3727483922196195E-2</v>
      </c>
    </row>
    <row r="43" spans="1:10">
      <c r="A43" s="69" t="str">
        <f>A14</f>
        <v>Retail Transmission Rate - Network Service Rate</v>
      </c>
      <c r="B43" s="44">
        <f>D24*Rates!D87</f>
        <v>244.44</v>
      </c>
      <c r="C43" s="45">
        <f>C14</f>
        <v>2.6396000000000002</v>
      </c>
      <c r="D43" s="47">
        <f>B43*C43</f>
        <v>645.22382400000004</v>
      </c>
      <c r="E43" s="44">
        <f>D24*H24</f>
        <v>244.44</v>
      </c>
      <c r="F43" s="45">
        <f>D14</f>
        <v>2.5209000000000001</v>
      </c>
      <c r="G43" s="47">
        <f>E43*F43</f>
        <v>616.20879600000001</v>
      </c>
      <c r="H43" s="47">
        <f t="shared" si="0"/>
        <v>-29.015028000000029</v>
      </c>
      <c r="I43" s="48">
        <f t="shared" si="7"/>
        <v>-4.4968934687073844E-2</v>
      </c>
      <c r="J43" s="72">
        <f t="shared" si="1"/>
        <v>4.6703351813209774E-2</v>
      </c>
    </row>
    <row r="44" spans="1:10" ht="12.75" thickBot="1">
      <c r="A44" s="63" t="str">
        <f>A15</f>
        <v>Retail Transmission Rate - Line and Transformation Connection Service Rate</v>
      </c>
      <c r="B44" s="64">
        <f>D24*Rates!D87</f>
        <v>244.44</v>
      </c>
      <c r="C44" s="65">
        <f>C15</f>
        <v>1.8099000000000001</v>
      </c>
      <c r="D44" s="66">
        <f>B44*C44</f>
        <v>442.41195600000003</v>
      </c>
      <c r="E44" s="64">
        <f>D24*H24</f>
        <v>244.44</v>
      </c>
      <c r="F44" s="65">
        <f>D15</f>
        <v>1.7696000000000001</v>
      </c>
      <c r="G44" s="66">
        <f>E44*F44</f>
        <v>432.56102400000003</v>
      </c>
      <c r="H44" s="66">
        <f t="shared" si="0"/>
        <v>-9.8509320000000002</v>
      </c>
      <c r="I44" s="67">
        <f t="shared" si="7"/>
        <v>-2.226642355931267E-2</v>
      </c>
      <c r="J44" s="68">
        <f t="shared" si="1"/>
        <v>3.2784422773079462E-2</v>
      </c>
    </row>
    <row r="45" spans="1:10" ht="12.75" thickBot="1">
      <c r="A45" s="73" t="s">
        <v>32</v>
      </c>
      <c r="B45" s="74"/>
      <c r="C45" s="75"/>
      <c r="D45" s="76">
        <f>SUM(D43:D44)</f>
        <v>1087.6357800000001</v>
      </c>
      <c r="E45" s="75"/>
      <c r="F45" s="75"/>
      <c r="G45" s="76">
        <f>SUM(G43:G44)</f>
        <v>1048.76982</v>
      </c>
      <c r="H45" s="76">
        <f t="shared" si="0"/>
        <v>-38.865960000000086</v>
      </c>
      <c r="I45" s="77">
        <f t="shared" si="7"/>
        <v>-3.5734352174401698E-2</v>
      </c>
      <c r="J45" s="78">
        <f t="shared" si="1"/>
        <v>7.9487774586289237E-2</v>
      </c>
    </row>
    <row r="46" spans="1:10" ht="12.75" thickBot="1">
      <c r="A46" s="81" t="s">
        <v>41</v>
      </c>
      <c r="B46" s="82"/>
      <c r="C46" s="83"/>
      <c r="D46" s="84">
        <f>D42+D45</f>
        <v>2169.1807800000001</v>
      </c>
      <c r="E46" s="83"/>
      <c r="F46" s="83"/>
      <c r="G46" s="84">
        <f>G42+G45</f>
        <v>2285.4198200000001</v>
      </c>
      <c r="H46" s="84">
        <f t="shared" si="0"/>
        <v>116.23903999999993</v>
      </c>
      <c r="I46" s="85">
        <f t="shared" si="7"/>
        <v>5.3586607935923132E-2</v>
      </c>
      <c r="J46" s="86">
        <f t="shared" si="1"/>
        <v>0.17321525850848543</v>
      </c>
    </row>
    <row r="47" spans="1:10">
      <c r="A47" s="69" t="str">
        <f>A18</f>
        <v>Wholesale Market Service Rate</v>
      </c>
      <c r="B47" s="44">
        <f>B24*Rates!D87</f>
        <v>97776</v>
      </c>
      <c r="C47" s="45">
        <f>C18</f>
        <v>5.1999999999999998E-3</v>
      </c>
      <c r="D47" s="47">
        <f>B47*C47</f>
        <v>508.43519999999995</v>
      </c>
      <c r="E47" s="44">
        <f>B24*H24</f>
        <v>97776</v>
      </c>
      <c r="F47" s="45">
        <f>D18</f>
        <v>5.1999999999999998E-3</v>
      </c>
      <c r="G47" s="47">
        <f>E47*F47</f>
        <v>508.43519999999995</v>
      </c>
      <c r="H47" s="47">
        <f t="shared" si="0"/>
        <v>0</v>
      </c>
      <c r="I47" s="48">
        <f t="shared" si="7"/>
        <v>0</v>
      </c>
      <c r="J47" s="72">
        <f t="shared" si="1"/>
        <v>3.8535035809225404E-2</v>
      </c>
    </row>
    <row r="48" spans="1:10">
      <c r="A48" s="61" t="str">
        <f>A19</f>
        <v>Rural Rate Protection Charge</v>
      </c>
      <c r="B48" s="39">
        <f>B24*Rates!D87</f>
        <v>97776</v>
      </c>
      <c r="C48" s="40">
        <f>C19</f>
        <v>1.1000000000000001E-3</v>
      </c>
      <c r="D48" s="41">
        <f>B48*C48</f>
        <v>107.5536</v>
      </c>
      <c r="E48" s="39">
        <f>B24*H24</f>
        <v>97776</v>
      </c>
      <c r="F48" s="40">
        <f>D19</f>
        <v>1.1000000000000001E-3</v>
      </c>
      <c r="G48" s="41">
        <f>E48*F48</f>
        <v>107.5536</v>
      </c>
      <c r="H48" s="41">
        <f t="shared" si="0"/>
        <v>0</v>
      </c>
      <c r="I48" s="42">
        <f t="shared" si="7"/>
        <v>0</v>
      </c>
      <c r="J48" s="62">
        <f t="shared" si="1"/>
        <v>8.1516421904130679E-3</v>
      </c>
    </row>
    <row r="49" spans="1:10">
      <c r="A49" s="63" t="s">
        <v>45</v>
      </c>
      <c r="B49" s="64">
        <f>B24*Rates!D87</f>
        <v>97776</v>
      </c>
      <c r="C49" s="65">
        <f>Rates!D38</f>
        <v>0</v>
      </c>
      <c r="D49" s="66">
        <f>B49*C49</f>
        <v>0</v>
      </c>
      <c r="E49" s="64">
        <f>B24*Rates!F87</f>
        <v>97776</v>
      </c>
      <c r="F49" s="65">
        <f>Rates!F38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1.8947859928475355E-5</v>
      </c>
    </row>
    <row r="51" spans="1:10" ht="12.75" thickBot="1">
      <c r="A51" s="73" t="s">
        <v>42</v>
      </c>
      <c r="B51" s="74"/>
      <c r="C51" s="75"/>
      <c r="D51" s="76">
        <f>SUM(D47:D50)</f>
        <v>616.23879999999997</v>
      </c>
      <c r="E51" s="75"/>
      <c r="F51" s="75"/>
      <c r="G51" s="76">
        <f>SUM(G47:G50)</f>
        <v>616.23879999999997</v>
      </c>
      <c r="H51" s="76">
        <f t="shared" si="0"/>
        <v>0</v>
      </c>
      <c r="I51" s="77">
        <f t="shared" si="7"/>
        <v>0</v>
      </c>
      <c r="J51" s="78">
        <f t="shared" si="1"/>
        <v>4.6705625859566946E-2</v>
      </c>
    </row>
    <row r="52" spans="1:10" ht="12.75" thickBot="1">
      <c r="A52" s="87" t="s">
        <v>19</v>
      </c>
      <c r="B52" s="88">
        <f>B24</f>
        <v>90000</v>
      </c>
      <c r="C52" s="89">
        <f>Rates!D81</f>
        <v>2E-3</v>
      </c>
      <c r="D52" s="90">
        <f>B52*C52</f>
        <v>180</v>
      </c>
      <c r="E52" s="88">
        <f>B24</f>
        <v>90000</v>
      </c>
      <c r="F52" s="89">
        <f>Rates!F81</f>
        <v>2E-3</v>
      </c>
      <c r="G52" s="90">
        <f>E52*F52</f>
        <v>180</v>
      </c>
      <c r="H52" s="90">
        <f t="shared" si="0"/>
        <v>0</v>
      </c>
      <c r="I52" s="91">
        <f t="shared" si="7"/>
        <v>0</v>
      </c>
      <c r="J52" s="92">
        <f t="shared" si="1"/>
        <v>1.3642459148502255E-2</v>
      </c>
    </row>
    <row r="53" spans="1:10" ht="12.75" thickBot="1">
      <c r="A53" s="73" t="s">
        <v>43</v>
      </c>
      <c r="B53" s="74"/>
      <c r="C53" s="75"/>
      <c r="D53" s="76">
        <f>D31+D46+D51+D52</f>
        <v>11559.957579999998</v>
      </c>
      <c r="E53" s="75"/>
      <c r="F53" s="75"/>
      <c r="G53" s="76">
        <f>G31+G46+G51+G52</f>
        <v>11676.196619999999</v>
      </c>
      <c r="H53" s="76">
        <f t="shared" si="0"/>
        <v>116.23904000000039</v>
      </c>
      <c r="I53" s="77">
        <f t="shared" si="7"/>
        <v>1.0055317175307525E-2</v>
      </c>
      <c r="J53" s="78">
        <f t="shared" si="1"/>
        <v>0.88495575221238931</v>
      </c>
    </row>
    <row r="54" spans="1:10" ht="12.75" thickBot="1">
      <c r="A54" s="93" t="s">
        <v>46</v>
      </c>
      <c r="B54" s="94"/>
      <c r="C54" s="95">
        <f>Rates!D88</f>
        <v>0.13</v>
      </c>
      <c r="D54" s="90">
        <f>C54*D53</f>
        <v>1502.7944853999998</v>
      </c>
      <c r="E54" s="96"/>
      <c r="F54" s="95">
        <f>Rates!F88</f>
        <v>0.13</v>
      </c>
      <c r="G54" s="90">
        <f>F54*G53</f>
        <v>1517.9055605999999</v>
      </c>
      <c r="H54" s="90">
        <f t="shared" si="0"/>
        <v>15.111075200000187</v>
      </c>
      <c r="I54" s="91">
        <f t="shared" si="7"/>
        <v>1.0055317175307615E-2</v>
      </c>
      <c r="J54" s="92">
        <f t="shared" si="1"/>
        <v>0.11504424778761062</v>
      </c>
    </row>
    <row r="55" spans="1:10" ht="12.75" thickBot="1">
      <c r="A55" s="81" t="s">
        <v>33</v>
      </c>
      <c r="B55" s="82"/>
      <c r="C55" s="83"/>
      <c r="D55" s="104">
        <f>D53+D54</f>
        <v>13062.752065399998</v>
      </c>
      <c r="E55" s="83"/>
      <c r="F55" s="83"/>
      <c r="G55" s="104">
        <f>G53+G54</f>
        <v>13194.102180599999</v>
      </c>
      <c r="H55" s="104">
        <f t="shared" si="0"/>
        <v>131.3501152000008</v>
      </c>
      <c r="I55" s="85">
        <f t="shared" si="7"/>
        <v>1.0055317175307553E-2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5"/>
  <sheetViews>
    <sheetView view="pageBreakPreview" zoomScale="60" zoomScaleNormal="100" workbookViewId="0">
      <selection activeCell="D11" sqref="D11"/>
    </sheetView>
  </sheetViews>
  <sheetFormatPr defaultRowHeight="1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>
      <c r="A2" s="107" t="s">
        <v>48</v>
      </c>
    </row>
    <row r="3" spans="1:4" ht="36.75" thickBot="1">
      <c r="A3" s="14" t="str">
        <f>Rates!A21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>
      <c r="A4" s="23" t="str">
        <f>Rates!A22</f>
        <v>Monthly Service Charge</v>
      </c>
      <c r="B4" s="24" t="str">
        <f>Rates!B22</f>
        <v>$</v>
      </c>
      <c r="C4" s="25">
        <f>Rates!D22</f>
        <v>596.12</v>
      </c>
      <c r="D4" s="26">
        <f>Rates!F22</f>
        <v>596.12</v>
      </c>
    </row>
    <row r="5" spans="1:4">
      <c r="A5" s="27" t="str">
        <f>Rates!A23</f>
        <v>Smart Meter Rate Adder</v>
      </c>
      <c r="B5" s="28" t="str">
        <f>Rates!B23</f>
        <v>$</v>
      </c>
      <c r="C5" s="29">
        <f>Rates!D23</f>
        <v>1</v>
      </c>
      <c r="D5" s="30">
        <f>Rates!F23</f>
        <v>0</v>
      </c>
    </row>
    <row r="6" spans="1:4">
      <c r="A6" s="27" t="str">
        <f>Rates!A24</f>
        <v>Distribution Volumetric Rate</v>
      </c>
      <c r="B6" s="28" t="str">
        <f>Rates!B24</f>
        <v>$/kW</v>
      </c>
      <c r="C6" s="31">
        <f>Rates!D24</f>
        <v>2.7086000000000001</v>
      </c>
      <c r="D6" s="32">
        <f>Rates!F24</f>
        <v>2.8481999999999998</v>
      </c>
    </row>
    <row r="7" spans="1:4">
      <c r="A7" s="27" t="str">
        <f>Rates!A25</f>
        <v>Rate Rider for Foregone Revenue Recovery - effective until December 31, 2012</v>
      </c>
      <c r="B7" s="28" t="str">
        <f>Rates!B25</f>
        <v>$/kW</v>
      </c>
      <c r="C7" s="31">
        <f>Rates!D25</f>
        <v>2.7199999999999998E-2</v>
      </c>
      <c r="D7" s="32">
        <f>Rates!F25</f>
        <v>0</v>
      </c>
    </row>
    <row r="8" spans="1:4">
      <c r="A8" s="27" t="str">
        <f>Rates!A26</f>
        <v>Rate Rider for Deferral/Variance Account Disposition - effective until May 31, 2013</v>
      </c>
      <c r="B8" s="28" t="str">
        <f>Rates!B26</f>
        <v>$/kW</v>
      </c>
      <c r="C8" s="31">
        <f>Rates!D26</f>
        <v>2.2664</v>
      </c>
      <c r="D8" s="32">
        <f>Rates!F26</f>
        <v>2.2664</v>
      </c>
    </row>
    <row r="9" spans="1:4">
      <c r="A9" s="27" t="str">
        <f>Rates!A27</f>
        <v>Rate Rider for Deferral/Variance Account Disposition - effective until May 31, 2013</v>
      </c>
      <c r="B9" s="28" t="str">
        <f>Rates!B27</f>
        <v>$/kW</v>
      </c>
      <c r="C9" s="31">
        <f>Rates!D27</f>
        <v>-2.8218999999999999</v>
      </c>
      <c r="D9" s="32">
        <f>Rates!F27</f>
        <v>-2.8218999999999999</v>
      </c>
    </row>
    <row r="10" spans="1:4">
      <c r="A10" s="27" t="str">
        <f>Rates!A28</f>
        <v>Rate Rider for Deferral/Variance Account Disposition (2012) - effective until December 31, 2013</v>
      </c>
      <c r="B10" s="28" t="str">
        <f>Rates!B28</f>
        <v>$/kW</v>
      </c>
      <c r="C10" s="31">
        <f>Rates!D28</f>
        <v>0</v>
      </c>
      <c r="D10" s="32">
        <f>Rates!F28</f>
        <v>0.1096</v>
      </c>
    </row>
    <row r="11" spans="1:4">
      <c r="A11" s="27" t="str">
        <f>Rates!A29</f>
        <v>Rate Rider for Global Adjustment Sub-Account Disposition (2012) - effective until December 31, 2013</v>
      </c>
      <c r="B11" s="28" t="str">
        <f>Rates!B29</f>
        <v>$/kW</v>
      </c>
      <c r="C11" s="31">
        <f>Rates!D29</f>
        <v>0</v>
      </c>
      <c r="D11" s="32"/>
    </row>
    <row r="12" spans="1:4">
      <c r="A12" s="27" t="str">
        <f>Rates!A30</f>
        <v>Rate Rider for PILs - effective until December 31, 2013</v>
      </c>
      <c r="B12" s="28" t="str">
        <f>Rates!B30</f>
        <v>$/kW</v>
      </c>
      <c r="C12" s="31">
        <f>Rates!D30</f>
        <v>0</v>
      </c>
      <c r="D12" s="32">
        <f>Rates!F30</f>
        <v>0</v>
      </c>
    </row>
    <row r="13" spans="1:4">
      <c r="A13" s="27" t="str">
        <f>Rates!A31</f>
        <v>Rate Rider for Tax Changes - effective until December 31, 2012</v>
      </c>
      <c r="B13" s="28" t="str">
        <f>Rates!B31</f>
        <v>$/kW</v>
      </c>
      <c r="C13" s="31">
        <f>Rates!D31</f>
        <v>-2.7300000000000001E-2</v>
      </c>
      <c r="D13" s="32">
        <f>Rates!F31</f>
        <v>-0.02</v>
      </c>
    </row>
    <row r="14" spans="1:4">
      <c r="A14" s="27" t="str">
        <f>Rates!A32</f>
        <v>Retail Transmission Rate - Network Service Rate</v>
      </c>
      <c r="B14" s="28" t="str">
        <f>Rates!B32</f>
        <v>$/kW</v>
      </c>
      <c r="C14" s="31">
        <f>Rates!D32</f>
        <v>2.6396000000000002</v>
      </c>
      <c r="D14" s="32">
        <f>Rates!F32</f>
        <v>2.5209000000000001</v>
      </c>
    </row>
    <row r="15" spans="1:4">
      <c r="A15" s="27" t="str">
        <f>Rates!A33</f>
        <v>Retail Transmission Rate - Line and Transformation Connection Service Rate</v>
      </c>
      <c r="B15" s="28" t="str">
        <f>Rates!B33</f>
        <v>$/kW</v>
      </c>
      <c r="C15" s="31">
        <f>Rates!D33</f>
        <v>1.8099000000000001</v>
      </c>
      <c r="D15" s="32">
        <f>Rates!F33</f>
        <v>1.7696000000000001</v>
      </c>
    </row>
    <row r="16" spans="1:4">
      <c r="A16" s="19" t="str">
        <f>Rates!A34</f>
        <v>Retail Transmission Rate - Network Service Rate - Interval Meter &gt; 1,000 kW</v>
      </c>
      <c r="B16" s="20" t="str">
        <f>Rates!B34</f>
        <v>$/kW</v>
      </c>
      <c r="C16" s="21">
        <f>Rates!D34</f>
        <v>2.8001</v>
      </c>
      <c r="D16" s="22">
        <f>Rates!F34</f>
        <v>2.6741999999999999</v>
      </c>
    </row>
    <row r="17" spans="1:10">
      <c r="A17" s="19" t="str">
        <f>Rates!A35</f>
        <v>Retail Transmission Rate - Line and Transformation Connection Service Rate - Interval &gt; 1,000 kW</v>
      </c>
      <c r="B17" s="20" t="str">
        <f>Rates!B35</f>
        <v>$/kW</v>
      </c>
      <c r="C17" s="21">
        <f>Rates!D35</f>
        <v>2.0003000000000002</v>
      </c>
      <c r="D17" s="22">
        <f>Rates!F35</f>
        <v>1.9558</v>
      </c>
    </row>
    <row r="18" spans="1:10">
      <c r="A18" s="19" t="str">
        <f>Rates!A36</f>
        <v>Wholesale Market Service Rate</v>
      </c>
      <c r="B18" s="20" t="str">
        <f>Rates!B36</f>
        <v>$/kWh</v>
      </c>
      <c r="C18" s="21">
        <f>Rates!D36</f>
        <v>5.1999999999999998E-3</v>
      </c>
      <c r="D18" s="22">
        <f>Rates!F36</f>
        <v>5.1999999999999998E-3</v>
      </c>
    </row>
    <row r="19" spans="1:10">
      <c r="A19" s="19" t="str">
        <f>Rates!A37</f>
        <v>Rural Rate Protection Charge</v>
      </c>
      <c r="B19" s="20" t="str">
        <f>Rates!B37</f>
        <v>$/kWh</v>
      </c>
      <c r="C19" s="21">
        <f>Rates!D37</f>
        <v>1.1000000000000001E-3</v>
      </c>
      <c r="D19" s="22">
        <f>Rates!F37</f>
        <v>1.1000000000000001E-3</v>
      </c>
    </row>
    <row r="20" spans="1:10">
      <c r="A20" s="27" t="str">
        <f>Rates!A38</f>
        <v>Special Purpose Charge</v>
      </c>
      <c r="B20" s="28" t="str">
        <f>Rates!B38</f>
        <v>$/kWh</v>
      </c>
      <c r="C20" s="31">
        <f>Rates!D38</f>
        <v>0</v>
      </c>
      <c r="D20" s="32">
        <f>Rates!F38</f>
        <v>0</v>
      </c>
    </row>
    <row r="21" spans="1:10" ht="12.75" thickBot="1">
      <c r="A21" s="12" t="str">
        <f>Rates!A39</f>
        <v>Standard Supply Service - Administarive Charge (if applicable)</v>
      </c>
      <c r="B21" s="17" t="str">
        <f>Rates!B39</f>
        <v>$</v>
      </c>
      <c r="C21" s="18">
        <f>Rates!D39</f>
        <v>0.25</v>
      </c>
      <c r="D21" s="13">
        <f>Rates!F39</f>
        <v>0.25</v>
      </c>
    </row>
    <row r="23" spans="1:10" ht="12.75" thickBot="1"/>
    <row r="24" spans="1:10" ht="13.5" thickBot="1">
      <c r="A24" s="33" t="s">
        <v>26</v>
      </c>
      <c r="B24" s="34">
        <v>1100000</v>
      </c>
      <c r="C24" s="35" t="s">
        <v>27</v>
      </c>
      <c r="D24" s="36">
        <v>2500</v>
      </c>
      <c r="E24" s="35" t="s">
        <v>28</v>
      </c>
      <c r="G24" s="37" t="s">
        <v>23</v>
      </c>
      <c r="H24" s="53">
        <f>Rates!F87</f>
        <v>1.0864</v>
      </c>
    </row>
    <row r="25" spans="1:10" ht="13.5" thickBot="1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0.60307017543859653</v>
      </c>
    </row>
    <row r="26" spans="1:10" ht="12.75" thickBot="1"/>
    <row r="27" spans="1:10" ht="12.75" customHeight="1">
      <c r="A27" s="149" t="str">
        <f>A3</f>
        <v>Residential - R2</v>
      </c>
      <c r="B27" s="151" t="s">
        <v>31</v>
      </c>
      <c r="C27" s="49" t="s">
        <v>37</v>
      </c>
      <c r="D27" s="49" t="s">
        <v>38</v>
      </c>
      <c r="E27" s="151" t="s">
        <v>31</v>
      </c>
      <c r="F27" s="49" t="s">
        <v>37</v>
      </c>
      <c r="G27" s="49" t="s">
        <v>38</v>
      </c>
      <c r="H27" s="153" t="s">
        <v>44</v>
      </c>
      <c r="I27" s="153"/>
      <c r="J27" s="154"/>
    </row>
    <row r="28" spans="1:10" ht="12.75" thickBot="1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>
      <c r="A29" s="54" t="s">
        <v>35</v>
      </c>
      <c r="B29" s="55">
        <f>IF(B24*Rates!D87&gt;B25,B25,B24*Rates!D87)</f>
        <v>750</v>
      </c>
      <c r="C29" s="56">
        <f>Rates!D82</f>
        <v>7.4999999999999997E-2</v>
      </c>
      <c r="D29" s="57">
        <f>B29*C29</f>
        <v>56.25</v>
      </c>
      <c r="E29" s="55">
        <f>IF(B24*H24&gt;B25,B25,B24*H24)</f>
        <v>750</v>
      </c>
      <c r="F29" s="56">
        <f>Rates!F82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3.7145634151787067E-4</v>
      </c>
    </row>
    <row r="30" spans="1:10" ht="12.75" thickBot="1">
      <c r="A30" s="63" t="s">
        <v>36</v>
      </c>
      <c r="B30" s="64">
        <f>IF(B24*Rates!D87&gt;=B25,B24*Rates!D87-B25,0)</f>
        <v>1194290</v>
      </c>
      <c r="C30" s="65">
        <f>Rates!D83</f>
        <v>8.7999999999999995E-2</v>
      </c>
      <c r="D30" s="66">
        <f>B30*C30</f>
        <v>105097.51999999999</v>
      </c>
      <c r="E30" s="64">
        <f>IF(B24*H24&gt;=B25,B24*H24-B25,0)</f>
        <v>1194290</v>
      </c>
      <c r="F30" s="65">
        <f>Rates!F83</f>
        <v>8.7999999999999995E-2</v>
      </c>
      <c r="G30" s="66">
        <f>E30*F30</f>
        <v>105097.51999999999</v>
      </c>
      <c r="H30" s="66">
        <f t="shared" si="0"/>
        <v>0</v>
      </c>
      <c r="I30" s="67">
        <f>IF(ISERROR(H30/D30),0,H30/D30)</f>
        <v>0</v>
      </c>
      <c r="J30" s="68">
        <f t="shared" si="1"/>
        <v>0.69402916056535535</v>
      </c>
    </row>
    <row r="31" spans="1:10" ht="12.75" thickBot="1">
      <c r="A31" s="73" t="s">
        <v>39</v>
      </c>
      <c r="B31" s="74"/>
      <c r="C31" s="75"/>
      <c r="D31" s="76">
        <f>SUM(D29:D30)</f>
        <v>105153.76999999999</v>
      </c>
      <c r="E31" s="75"/>
      <c r="F31" s="75"/>
      <c r="G31" s="76">
        <f>SUM(G29:G30)</f>
        <v>105153.76999999999</v>
      </c>
      <c r="H31" s="76">
        <f t="shared" si="0"/>
        <v>0</v>
      </c>
      <c r="I31" s="77">
        <f>IF(ISERROR(H31/D31),0,H31/D31)</f>
        <v>0</v>
      </c>
      <c r="J31" s="78">
        <f t="shared" si="1"/>
        <v>0.69440061690687327</v>
      </c>
    </row>
    <row r="32" spans="1:10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3.9365787432112543E-3</v>
      </c>
    </row>
    <row r="33" spans="1:10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>
      <c r="A34" s="61" t="str">
        <f t="shared" si="2"/>
        <v>Distribution Volumetric Rate</v>
      </c>
      <c r="B34" s="43">
        <f>D24</f>
        <v>2500</v>
      </c>
      <c r="C34" s="40">
        <f t="shared" si="3"/>
        <v>2.7086000000000001</v>
      </c>
      <c r="D34" s="41">
        <f t="shared" si="4"/>
        <v>6771.5</v>
      </c>
      <c r="E34" s="43">
        <f>D24</f>
        <v>2500</v>
      </c>
      <c r="F34" s="40">
        <f t="shared" si="5"/>
        <v>2.8481999999999998</v>
      </c>
      <c r="G34" s="41">
        <f t="shared" si="6"/>
        <v>7120.5</v>
      </c>
      <c r="H34" s="41">
        <f t="shared" si="0"/>
        <v>349</v>
      </c>
      <c r="I34" s="42">
        <f t="shared" ref="I34:I55" si="7">IF(ISERROR(H34/D34),0,H34/D34)</f>
        <v>5.1539540722144284E-2</v>
      </c>
      <c r="J34" s="62">
        <f t="shared" si="1"/>
        <v>4.7021420084942187E-2</v>
      </c>
    </row>
    <row r="35" spans="1:10">
      <c r="A35" s="61" t="str">
        <f t="shared" si="2"/>
        <v>Rate Rider for Foregone Revenue Recovery - effective until December 31, 2012</v>
      </c>
      <c r="B35" s="43">
        <f>D24</f>
        <v>2500</v>
      </c>
      <c r="C35" s="40">
        <f t="shared" si="3"/>
        <v>2.7199999999999998E-2</v>
      </c>
      <c r="D35" s="41">
        <f t="shared" si="4"/>
        <v>68</v>
      </c>
      <c r="E35" s="43">
        <f>D24</f>
        <v>2500</v>
      </c>
      <c r="F35" s="40">
        <f t="shared" si="5"/>
        <v>0</v>
      </c>
      <c r="G35" s="41">
        <f>E35*F35</f>
        <v>0</v>
      </c>
      <c r="H35" s="41">
        <f>G35-D35</f>
        <v>-68</v>
      </c>
      <c r="I35" s="42">
        <f>IF(ISERROR(H35/D35),0,H35/D35)</f>
        <v>-1</v>
      </c>
      <c r="J35" s="62">
        <f t="shared" si="1"/>
        <v>0</v>
      </c>
    </row>
    <row r="36" spans="1:10">
      <c r="A36" s="61" t="str">
        <f t="shared" si="2"/>
        <v>Rate Rider for Deferral/Variance Account Disposition - effective until May 31, 2013</v>
      </c>
      <c r="B36" s="43">
        <f>D24</f>
        <v>2500</v>
      </c>
      <c r="C36" s="40">
        <f t="shared" si="3"/>
        <v>2.2664</v>
      </c>
      <c r="D36" s="41">
        <f t="shared" si="4"/>
        <v>5666</v>
      </c>
      <c r="E36" s="43">
        <f>D24</f>
        <v>2500</v>
      </c>
      <c r="F36" s="40">
        <f t="shared" si="5"/>
        <v>2.2664</v>
      </c>
      <c r="G36" s="41">
        <f t="shared" si="6"/>
        <v>5666</v>
      </c>
      <c r="H36" s="41">
        <f t="shared" si="0"/>
        <v>0</v>
      </c>
      <c r="I36" s="42">
        <f t="shared" si="7"/>
        <v>0</v>
      </c>
      <c r="J36" s="62">
        <f t="shared" si="1"/>
        <v>3.7416384551826762E-2</v>
      </c>
    </row>
    <row r="37" spans="1:10">
      <c r="A37" s="61" t="str">
        <f t="shared" si="2"/>
        <v>Rate Rider for Deferral/Variance Account Disposition - effective until May 31, 2013</v>
      </c>
      <c r="B37" s="43">
        <f>D24</f>
        <v>2500</v>
      </c>
      <c r="C37" s="40">
        <f t="shared" si="3"/>
        <v>-2.8218999999999999</v>
      </c>
      <c r="D37" s="41">
        <f t="shared" si="4"/>
        <v>-7054.75</v>
      </c>
      <c r="E37" s="43">
        <f>D24</f>
        <v>2500</v>
      </c>
      <c r="F37" s="40">
        <f t="shared" si="5"/>
        <v>-2.8218999999999999</v>
      </c>
      <c r="G37" s="41">
        <f>E37*F37</f>
        <v>-7054.75</v>
      </c>
      <c r="H37" s="41">
        <f>G37-D37</f>
        <v>0</v>
      </c>
      <c r="I37" s="42">
        <f>IF(ISERROR(H37/D37),0,H37/D37)</f>
        <v>0</v>
      </c>
      <c r="J37" s="62">
        <f t="shared" si="1"/>
        <v>-4.6587228894634632E-2</v>
      </c>
    </row>
    <row r="38" spans="1:10">
      <c r="A38" s="61" t="str">
        <f>A10</f>
        <v>Rate Rider for Deferral/Variance Account Disposition (2012) - effective until December 31, 2013</v>
      </c>
      <c r="B38" s="43">
        <f>D24</f>
        <v>2500</v>
      </c>
      <c r="C38" s="40">
        <f>C10</f>
        <v>0</v>
      </c>
      <c r="D38" s="41">
        <f t="shared" si="4"/>
        <v>0</v>
      </c>
      <c r="E38" s="43">
        <f>D24</f>
        <v>2500</v>
      </c>
      <c r="F38" s="40">
        <f>D10</f>
        <v>0.1096</v>
      </c>
      <c r="G38" s="41">
        <f>E38*F38</f>
        <v>274</v>
      </c>
      <c r="H38" s="41">
        <f>G38-D38</f>
        <v>274</v>
      </c>
      <c r="I38" s="42">
        <f>IF(ISERROR(H38/D38),0,H38/D38)</f>
        <v>0</v>
      </c>
      <c r="J38" s="62">
        <f t="shared" si="1"/>
        <v>1.8094051124603833E-3</v>
      </c>
    </row>
    <row r="39" spans="1:10">
      <c r="A39" s="61" t="str">
        <f>A11</f>
        <v>Rate Rider for Global Adjustment Sub-Account Disposition (2012) - effective until December 31, 2013</v>
      </c>
      <c r="B39" s="43">
        <f>D24</f>
        <v>2500</v>
      </c>
      <c r="C39" s="40">
        <f>C11</f>
        <v>0</v>
      </c>
      <c r="D39" s="41">
        <f t="shared" si="4"/>
        <v>0</v>
      </c>
      <c r="E39" s="43">
        <f>D24</f>
        <v>2500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>
      <c r="A40" s="61" t="str">
        <f>A12</f>
        <v>Rate Rider for PILs - effective until December 31, 2013</v>
      </c>
      <c r="B40" s="43">
        <f>D24</f>
        <v>2500</v>
      </c>
      <c r="C40" s="40">
        <f>C12</f>
        <v>0</v>
      </c>
      <c r="D40" s="41">
        <f t="shared" si="4"/>
        <v>0</v>
      </c>
      <c r="E40" s="43">
        <f>D24</f>
        <v>2500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>
      <c r="A41" s="61" t="str">
        <f t="shared" ref="A41" si="8">A13</f>
        <v>Rate Rider for Tax Changes - effective until December 31, 2012</v>
      </c>
      <c r="B41" s="43">
        <f>D24</f>
        <v>2500</v>
      </c>
      <c r="C41" s="40">
        <f t="shared" ref="C41" si="9">C13</f>
        <v>-2.7300000000000001E-2</v>
      </c>
      <c r="D41" s="41">
        <f t="shared" si="4"/>
        <v>-68.25</v>
      </c>
      <c r="E41" s="43">
        <f>D24</f>
        <v>2500</v>
      </c>
      <c r="F41" s="40">
        <f t="shared" ref="F41" si="10">D13</f>
        <v>-0.02</v>
      </c>
      <c r="G41" s="41">
        <f t="shared" si="6"/>
        <v>-50</v>
      </c>
      <c r="H41" s="41">
        <f t="shared" si="0"/>
        <v>18.25</v>
      </c>
      <c r="I41" s="42">
        <f t="shared" si="7"/>
        <v>-0.26739926739926739</v>
      </c>
      <c r="J41" s="62">
        <f t="shared" si="1"/>
        <v>-3.301834146825517E-4</v>
      </c>
    </row>
    <row r="42" spans="1:10" ht="12.75" thickBot="1">
      <c r="A42" s="73" t="s">
        <v>40</v>
      </c>
      <c r="B42" s="74"/>
      <c r="C42" s="75"/>
      <c r="D42" s="80">
        <f>SUM(D32:D41)</f>
        <v>5979.619999999999</v>
      </c>
      <c r="E42" s="75"/>
      <c r="F42" s="75"/>
      <c r="G42" s="76">
        <f>SUM(G32:G41)</f>
        <v>6551.869999999999</v>
      </c>
      <c r="H42" s="76">
        <f t="shared" si="0"/>
        <v>572.25</v>
      </c>
      <c r="I42" s="77">
        <f t="shared" si="7"/>
        <v>9.5700061207902865E-2</v>
      </c>
      <c r="J42" s="78">
        <f t="shared" si="1"/>
        <v>4.3266376183123394E-2</v>
      </c>
    </row>
    <row r="43" spans="1:10">
      <c r="A43" s="69" t="str">
        <f>A16</f>
        <v>Retail Transmission Rate - Network Service Rate - Interval Meter &gt; 1,000 kW</v>
      </c>
      <c r="B43" s="44">
        <f>D24*Rates!D87</f>
        <v>2716</v>
      </c>
      <c r="C43" s="45">
        <f>C16</f>
        <v>2.8001</v>
      </c>
      <c r="D43" s="47">
        <f>B43*C43</f>
        <v>7605.0716000000002</v>
      </c>
      <c r="E43" s="44">
        <f>D24*H24</f>
        <v>2716</v>
      </c>
      <c r="F43" s="45">
        <f>D16</f>
        <v>2.6741999999999999</v>
      </c>
      <c r="G43" s="47">
        <f>E43*F43</f>
        <v>7263.1271999999999</v>
      </c>
      <c r="H43" s="47">
        <f t="shared" si="0"/>
        <v>-341.94440000000031</v>
      </c>
      <c r="I43" s="48">
        <f t="shared" si="7"/>
        <v>-4.496267990428917E-2</v>
      </c>
      <c r="J43" s="72">
        <f t="shared" si="1"/>
        <v>4.7963282803394416E-2</v>
      </c>
    </row>
    <row r="44" spans="1:10" ht="12.75" thickBot="1">
      <c r="A44" s="63" t="str">
        <f>A17</f>
        <v>Retail Transmission Rate - Line and Transformation Connection Service Rate - Interval &gt; 1,000 kW</v>
      </c>
      <c r="B44" s="64">
        <f>D24*Rates!D87</f>
        <v>2716</v>
      </c>
      <c r="C44" s="65">
        <f>C17</f>
        <v>2.0003000000000002</v>
      </c>
      <c r="D44" s="66">
        <f>B44*C44</f>
        <v>5432.8148000000001</v>
      </c>
      <c r="E44" s="64">
        <f>D24*H24</f>
        <v>2716</v>
      </c>
      <c r="F44" s="65">
        <f>D17</f>
        <v>1.9558</v>
      </c>
      <c r="G44" s="66">
        <f>E44*F44</f>
        <v>5311.9528</v>
      </c>
      <c r="H44" s="66">
        <f t="shared" si="0"/>
        <v>-120.86200000000008</v>
      </c>
      <c r="I44" s="67">
        <f t="shared" si="7"/>
        <v>-2.2246663000549931E-2</v>
      </c>
      <c r="J44" s="68">
        <f t="shared" si="1"/>
        <v>3.5078374282730834E-2</v>
      </c>
    </row>
    <row r="45" spans="1:10" ht="12.75" thickBot="1">
      <c r="A45" s="73" t="s">
        <v>32</v>
      </c>
      <c r="B45" s="74"/>
      <c r="C45" s="75"/>
      <c r="D45" s="76">
        <f>SUM(D43:D44)</f>
        <v>13037.886399999999</v>
      </c>
      <c r="E45" s="75"/>
      <c r="F45" s="75"/>
      <c r="G45" s="76">
        <f>SUM(G43:G44)</f>
        <v>12575.08</v>
      </c>
      <c r="H45" s="76">
        <f t="shared" si="0"/>
        <v>-462.80639999999948</v>
      </c>
      <c r="I45" s="77">
        <f t="shared" si="7"/>
        <v>-3.5497041913173863E-2</v>
      </c>
      <c r="J45" s="78">
        <f t="shared" si="1"/>
        <v>8.3041657086125251E-2</v>
      </c>
    </row>
    <row r="46" spans="1:10" ht="12.75" thickBot="1">
      <c r="A46" s="81" t="s">
        <v>41</v>
      </c>
      <c r="B46" s="82"/>
      <c r="C46" s="83"/>
      <c r="D46" s="84">
        <f>D42+D45</f>
        <v>19017.506399999998</v>
      </c>
      <c r="E46" s="83"/>
      <c r="F46" s="83"/>
      <c r="G46" s="84">
        <f>G42+G45</f>
        <v>19126.949999999997</v>
      </c>
      <c r="H46" s="84">
        <f t="shared" si="0"/>
        <v>109.4435999999987</v>
      </c>
      <c r="I46" s="85">
        <f t="shared" si="7"/>
        <v>5.7548869813972402E-3</v>
      </c>
      <c r="J46" s="86">
        <f t="shared" si="1"/>
        <v>0.12630803326924864</v>
      </c>
    </row>
    <row r="47" spans="1:10">
      <c r="A47" s="69" t="str">
        <f>A18</f>
        <v>Wholesale Market Service Rate</v>
      </c>
      <c r="B47" s="44">
        <f>B24*Rates!D87</f>
        <v>1195040</v>
      </c>
      <c r="C47" s="45">
        <f>C18</f>
        <v>5.1999999999999998E-3</v>
      </c>
      <c r="D47" s="47">
        <f>B47*C47</f>
        <v>6214.2079999999996</v>
      </c>
      <c r="E47" s="44">
        <f>B24*H24</f>
        <v>1195040</v>
      </c>
      <c r="F47" s="45">
        <f>D18</f>
        <v>5.1999999999999998E-3</v>
      </c>
      <c r="G47" s="47">
        <f>E47*F47</f>
        <v>6214.2079999999996</v>
      </c>
      <c r="H47" s="47">
        <f t="shared" si="0"/>
        <v>0</v>
      </c>
      <c r="I47" s="48">
        <f t="shared" si="7"/>
        <v>0</v>
      </c>
      <c r="J47" s="72">
        <f t="shared" si="1"/>
        <v>4.1036568339752603E-2</v>
      </c>
    </row>
    <row r="48" spans="1:10">
      <c r="A48" s="61" t="str">
        <f>A19</f>
        <v>Rural Rate Protection Charge</v>
      </c>
      <c r="B48" s="39">
        <f>B24*Rates!D87</f>
        <v>1195040</v>
      </c>
      <c r="C48" s="40">
        <f>C19</f>
        <v>1.1000000000000001E-3</v>
      </c>
      <c r="D48" s="41">
        <f>B48*C48</f>
        <v>1314.5440000000001</v>
      </c>
      <c r="E48" s="39">
        <f>B24*H24</f>
        <v>1195040</v>
      </c>
      <c r="F48" s="40">
        <f>D19</f>
        <v>1.1000000000000001E-3</v>
      </c>
      <c r="G48" s="41">
        <f>E48*F48</f>
        <v>1314.5440000000001</v>
      </c>
      <c r="H48" s="41">
        <f t="shared" si="0"/>
        <v>0</v>
      </c>
      <c r="I48" s="42">
        <f t="shared" si="7"/>
        <v>0</v>
      </c>
      <c r="J48" s="62">
        <f t="shared" si="1"/>
        <v>8.6808125334092053E-3</v>
      </c>
    </row>
    <row r="49" spans="1:10">
      <c r="A49" s="63" t="s">
        <v>45</v>
      </c>
      <c r="B49" s="64">
        <f>B24*Rates!D87</f>
        <v>1195040</v>
      </c>
      <c r="C49" s="65">
        <f>Rates!D38</f>
        <v>0</v>
      </c>
      <c r="D49" s="66">
        <f>B49*C49</f>
        <v>0</v>
      </c>
      <c r="E49" s="64">
        <f>B24*Rates!F87</f>
        <v>1195040</v>
      </c>
      <c r="F49" s="65">
        <f>Rates!F38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1.6509170734127585E-6</v>
      </c>
    </row>
    <row r="51" spans="1:10" ht="12.75" thickBot="1">
      <c r="A51" s="73" t="s">
        <v>42</v>
      </c>
      <c r="B51" s="74"/>
      <c r="C51" s="75"/>
      <c r="D51" s="76">
        <f>SUM(D47:D50)</f>
        <v>7529.0019999999995</v>
      </c>
      <c r="E51" s="75"/>
      <c r="F51" s="75"/>
      <c r="G51" s="76">
        <f>SUM(G47:G50)</f>
        <v>7529.0019999999995</v>
      </c>
      <c r="H51" s="76">
        <f t="shared" si="0"/>
        <v>0</v>
      </c>
      <c r="I51" s="77">
        <f t="shared" si="7"/>
        <v>0</v>
      </c>
      <c r="J51" s="78">
        <f t="shared" si="1"/>
        <v>4.9719031790235221E-2</v>
      </c>
    </row>
    <row r="52" spans="1:10" ht="12.75" thickBot="1">
      <c r="A52" s="87" t="s">
        <v>19</v>
      </c>
      <c r="B52" s="88">
        <f>B24</f>
        <v>1100000</v>
      </c>
      <c r="C52" s="89">
        <f>Rates!D81</f>
        <v>2E-3</v>
      </c>
      <c r="D52" s="90">
        <f>B52*C52</f>
        <v>2200</v>
      </c>
      <c r="E52" s="88">
        <f>B24</f>
        <v>1100000</v>
      </c>
      <c r="F52" s="89">
        <f>Rates!F81</f>
        <v>2E-3</v>
      </c>
      <c r="G52" s="90">
        <f>E52*F52</f>
        <v>2200</v>
      </c>
      <c r="H52" s="90">
        <f t="shared" si="0"/>
        <v>0</v>
      </c>
      <c r="I52" s="91">
        <f t="shared" si="7"/>
        <v>0</v>
      </c>
      <c r="J52" s="92">
        <f t="shared" si="1"/>
        <v>1.4528070246032275E-2</v>
      </c>
    </row>
    <row r="53" spans="1:10" ht="12.75" thickBot="1">
      <c r="A53" s="73" t="s">
        <v>43</v>
      </c>
      <c r="B53" s="74"/>
      <c r="C53" s="75"/>
      <c r="D53" s="76">
        <f>D31+D46+D51+D52</f>
        <v>133900.27839999998</v>
      </c>
      <c r="E53" s="75"/>
      <c r="F53" s="75"/>
      <c r="G53" s="76">
        <f>G31+G46+G51+G52</f>
        <v>134009.72199999998</v>
      </c>
      <c r="H53" s="76">
        <f t="shared" si="0"/>
        <v>109.4435999999987</v>
      </c>
      <c r="I53" s="77">
        <f t="shared" si="7"/>
        <v>8.1735154928549211E-4</v>
      </c>
      <c r="J53" s="78">
        <f t="shared" si="1"/>
        <v>0.88495575221238931</v>
      </c>
    </row>
    <row r="54" spans="1:10" ht="12.75" thickBot="1">
      <c r="A54" s="93" t="s">
        <v>46</v>
      </c>
      <c r="B54" s="94"/>
      <c r="C54" s="95">
        <f>Rates!D88</f>
        <v>0.13</v>
      </c>
      <c r="D54" s="90">
        <f>C54*D53</f>
        <v>17407.036192</v>
      </c>
      <c r="E54" s="96"/>
      <c r="F54" s="95">
        <f>Rates!F88</f>
        <v>0.13</v>
      </c>
      <c r="G54" s="90">
        <f>F54*G53</f>
        <v>17421.263859999999</v>
      </c>
      <c r="H54" s="90">
        <f t="shared" si="0"/>
        <v>14.227667999999539</v>
      </c>
      <c r="I54" s="91">
        <f t="shared" si="7"/>
        <v>8.173515492854753E-4</v>
      </c>
      <c r="J54" s="92">
        <f t="shared" si="1"/>
        <v>0.11504424778761062</v>
      </c>
    </row>
    <row r="55" spans="1:10" ht="12.75" thickBot="1">
      <c r="A55" s="81" t="s">
        <v>33</v>
      </c>
      <c r="B55" s="82"/>
      <c r="C55" s="83"/>
      <c r="D55" s="104">
        <f>D53+D54</f>
        <v>151307.31459199998</v>
      </c>
      <c r="E55" s="83"/>
      <c r="F55" s="83"/>
      <c r="G55" s="104">
        <f>G53+G54</f>
        <v>151430.98585999999</v>
      </c>
      <c r="H55" s="104">
        <f t="shared" si="0"/>
        <v>123.67126800000551</v>
      </c>
      <c r="I55" s="85">
        <f t="shared" si="7"/>
        <v>8.1735154928553829E-4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7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Cover</vt:lpstr>
      <vt:lpstr>Rates</vt:lpstr>
      <vt:lpstr>Residential R1 Impact</vt:lpstr>
      <vt:lpstr>Residential R1 Impact Non-RPP</vt:lpstr>
      <vt:lpstr>Residential R1 Impact (2)</vt:lpstr>
      <vt:lpstr>Resident R1 Impact (2) Non-RPP</vt:lpstr>
      <vt:lpstr>Residential R2 Impact</vt:lpstr>
      <vt:lpstr>Residential R2 Impact No-RPP</vt:lpstr>
      <vt:lpstr>Residential R2 Impact Interval</vt:lpstr>
      <vt:lpstr>Res R2 Impact Interval Non-RPP</vt:lpstr>
      <vt:lpstr>Seasonal Impact</vt:lpstr>
      <vt:lpstr>Seasonal Impact Non-RPP</vt:lpstr>
      <vt:lpstr>Street Light Impact</vt:lpstr>
      <vt:lpstr>Street Light Impact Non-RPP</vt:lpstr>
      <vt:lpstr>Summary</vt:lpstr>
      <vt:lpstr>'Seasonal Impact'!Print_Area</vt:lpstr>
      <vt:lpstr>'Seasonal Impact Non-RPP'!Print_Area</vt:lpstr>
      <vt:lpstr>'Street Light Impact'!Print_Area</vt:lpstr>
      <vt:lpstr>'Street Light Impact Non-RPP'!Print_Area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2012-10-22T15:54:48Z</cp:lastPrinted>
  <dcterms:created xsi:type="dcterms:W3CDTF">2010-01-19T01:47:37Z</dcterms:created>
  <dcterms:modified xsi:type="dcterms:W3CDTF">2012-10-22T16:00:07Z</dcterms:modified>
</cp:coreProperties>
</file>